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05" yWindow="-105" windowWidth="23250" windowHeight="12450"/>
  </bookViews>
  <sheets>
    <sheet name="Compiled dehradun" sheetId="7" r:id="rId1"/>
    <sheet name="Abstract" sheetId="8" r:id="rId2"/>
  </sheets>
  <definedNames>
    <definedName name="_xlnm.Print_Area" localSheetId="0">'Compiled dehradun'!$A$1:$O$1244</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8"/>
  <c r="C10"/>
  <c r="O519" i="7"/>
  <c r="G519"/>
  <c r="D6" i="8"/>
  <c r="T523" i="7"/>
  <c r="G509"/>
  <c r="O509"/>
  <c r="G508"/>
  <c r="G507"/>
  <c r="G506"/>
  <c r="G505"/>
  <c r="G504"/>
  <c r="G503"/>
  <c r="G502"/>
  <c r="G501"/>
  <c r="G500"/>
  <c r="E500"/>
  <c r="G499"/>
  <c r="G498"/>
  <c r="G497"/>
  <c r="G496"/>
  <c r="G495"/>
  <c r="G494"/>
  <c r="G493"/>
  <c r="G492"/>
  <c r="G491"/>
  <c r="G490"/>
  <c r="G489"/>
  <c r="O488"/>
  <c r="G488"/>
  <c r="G487"/>
  <c r="G486"/>
  <c r="O485"/>
  <c r="G485"/>
  <c r="G484"/>
  <c r="G483"/>
  <c r="G482"/>
  <c r="G481"/>
  <c r="G480"/>
  <c r="G479"/>
  <c r="G478"/>
  <c r="G477"/>
  <c r="O476"/>
  <c r="G476"/>
  <c r="G475"/>
  <c r="G474"/>
  <c r="G473"/>
  <c r="G472"/>
  <c r="G471"/>
  <c r="G470"/>
  <c r="G469"/>
  <c r="G468"/>
  <c r="G467"/>
  <c r="O466"/>
  <c r="G466"/>
  <c r="G465"/>
  <c r="G464"/>
  <c r="G463"/>
  <c r="G462"/>
  <c r="G461"/>
  <c r="O460"/>
  <c r="G460"/>
  <c r="G459"/>
  <c r="G458"/>
  <c r="G457"/>
  <c r="G456"/>
  <c r="O455"/>
  <c r="G455"/>
  <c r="G454"/>
  <c r="G453"/>
  <c r="G452"/>
  <c r="G451"/>
  <c r="G450"/>
  <c r="G449"/>
  <c r="G448"/>
  <c r="O447"/>
  <c r="G447"/>
  <c r="G446"/>
  <c r="G445"/>
  <c r="G444"/>
  <c r="G443"/>
  <c r="G442"/>
  <c r="G441"/>
  <c r="G440"/>
  <c r="G439"/>
  <c r="G438"/>
  <c r="G437"/>
  <c r="G436"/>
  <c r="G435"/>
  <c r="G434"/>
  <c r="O433"/>
  <c r="G433"/>
  <c r="G432"/>
  <c r="G431"/>
  <c r="G430"/>
  <c r="G429"/>
  <c r="M428"/>
  <c r="G428"/>
  <c r="M427"/>
  <c r="G427"/>
  <c r="M426"/>
  <c r="M509" s="1"/>
  <c r="G426"/>
  <c r="M425"/>
  <c r="G425"/>
  <c r="G424"/>
  <c r="G423"/>
  <c r="G422"/>
  <c r="G421"/>
  <c r="G420"/>
  <c r="G419"/>
  <c r="O418"/>
  <c r="M418"/>
  <c r="G418"/>
  <c r="G417"/>
  <c r="G416"/>
  <c r="G415"/>
  <c r="G414"/>
  <c r="G413"/>
  <c r="G412"/>
  <c r="G411"/>
  <c r="G410"/>
  <c r="G409"/>
  <c r="G408"/>
  <c r="G407"/>
  <c r="G406"/>
  <c r="G405"/>
  <c r="G404"/>
  <c r="G403"/>
  <c r="G402"/>
  <c r="G401"/>
  <c r="G400"/>
  <c r="G399"/>
  <c r="G398"/>
  <c r="G397"/>
  <c r="G396"/>
  <c r="G395"/>
  <c r="G394"/>
  <c r="G393"/>
  <c r="G392"/>
  <c r="G391"/>
  <c r="G390"/>
  <c r="G389"/>
  <c r="G388"/>
  <c r="G387"/>
  <c r="G386"/>
  <c r="G385"/>
  <c r="G384"/>
  <c r="G383"/>
  <c r="G382"/>
  <c r="G381"/>
  <c r="G511"/>
  <c r="G518" s="1"/>
  <c r="G512"/>
  <c r="G513"/>
  <c r="G514"/>
  <c r="G515"/>
  <c r="G516"/>
  <c r="G517"/>
  <c r="O1244"/>
  <c r="M1244"/>
  <c r="I1244"/>
  <c r="G1243"/>
  <c r="G1242"/>
  <c r="G1241"/>
  <c r="G1240"/>
  <c r="G1239"/>
  <c r="G1238"/>
  <c r="G1237"/>
  <c r="G1236"/>
  <c r="G1235"/>
  <c r="G1234"/>
  <c r="G1233"/>
  <c r="G1232"/>
  <c r="G1231"/>
  <c r="G1230"/>
  <c r="G1229"/>
  <c r="G1228"/>
  <c r="G1227"/>
  <c r="G1226"/>
  <c r="G1225"/>
  <c r="G1224"/>
  <c r="G1213"/>
  <c r="G1212"/>
  <c r="G1211"/>
  <c r="G1210"/>
  <c r="G1209"/>
  <c r="G1208"/>
  <c r="G1207"/>
  <c r="G1206"/>
  <c r="G1205"/>
  <c r="G1204"/>
  <c r="G1203"/>
  <c r="G1202"/>
  <c r="G1201"/>
  <c r="G1200"/>
  <c r="G1199"/>
  <c r="G1198"/>
  <c r="G1197"/>
  <c r="F1196"/>
  <c r="G1196" s="1"/>
  <c r="G1195"/>
  <c r="G1194"/>
  <c r="F1194"/>
  <c r="F1193"/>
  <c r="G1193" s="1"/>
  <c r="G1192"/>
  <c r="F1192"/>
  <c r="G1191"/>
  <c r="F1191"/>
  <c r="G1190"/>
  <c r="G1189"/>
  <c r="F1188"/>
  <c r="G1188" s="1"/>
  <c r="G1187"/>
  <c r="F1186"/>
  <c r="G1186" s="1"/>
  <c r="F1185"/>
  <c r="G1185" s="1"/>
  <c r="F1184"/>
  <c r="G1184" s="1"/>
  <c r="F1183"/>
  <c r="G1183" s="1"/>
  <c r="F1182"/>
  <c r="G1182" s="1"/>
  <c r="G1181"/>
  <c r="G1180"/>
  <c r="O1179"/>
  <c r="G1179"/>
  <c r="G1178"/>
  <c r="F1178"/>
  <c r="G1177"/>
  <c r="F1177"/>
  <c r="G1176"/>
  <c r="K1175"/>
  <c r="F1174"/>
  <c r="K1174" s="1"/>
  <c r="I1173"/>
  <c r="M1172"/>
  <c r="F1172"/>
  <c r="M1171"/>
  <c r="F1171"/>
  <c r="F1170"/>
  <c r="M1170" s="1"/>
  <c r="M1214" s="1"/>
  <c r="M1169"/>
  <c r="F1169"/>
  <c r="I1168"/>
  <c r="I1167"/>
  <c r="F1166"/>
  <c r="O1166" s="1"/>
  <c r="O1164"/>
  <c r="G1163"/>
  <c r="F1163"/>
  <c r="G1162"/>
  <c r="F1162"/>
  <c r="G1161"/>
  <c r="F1161"/>
  <c r="G1160"/>
  <c r="O1159"/>
  <c r="O1158"/>
  <c r="O1157"/>
  <c r="O1156"/>
  <c r="A1156"/>
  <c r="A1157" s="1"/>
  <c r="A1158" s="1"/>
  <c r="A1159" s="1"/>
  <c r="A1160" s="1"/>
  <c r="A1161" s="1"/>
  <c r="A1162" s="1"/>
  <c r="A1163" s="1"/>
  <c r="A1164" s="1"/>
  <c r="A1165" s="1"/>
  <c r="A1166" s="1"/>
  <c r="A1167" s="1"/>
  <c r="A1168" s="1"/>
  <c r="A1169" s="1"/>
  <c r="A1170" s="1"/>
  <c r="A1171" s="1"/>
  <c r="A1172" s="1"/>
  <c r="A1173" s="1"/>
  <c r="A1174" s="1"/>
  <c r="A1175" s="1"/>
  <c r="A1176" s="1"/>
  <c r="A1177" s="1"/>
  <c r="A1178" s="1"/>
  <c r="A1179" s="1"/>
  <c r="A1180" s="1"/>
  <c r="A1181" s="1"/>
  <c r="A1182" s="1"/>
  <c r="A1183" s="1"/>
  <c r="A1184" s="1"/>
  <c r="A1185" s="1"/>
  <c r="A1186" s="1"/>
  <c r="A1187" s="1"/>
  <c r="A1188" s="1"/>
  <c r="A1189" s="1"/>
  <c r="A1190" s="1"/>
  <c r="A1191" s="1"/>
  <c r="A1192" s="1"/>
  <c r="A1193" s="1"/>
  <c r="A1194" s="1"/>
  <c r="A1195" s="1"/>
  <c r="A1196" s="1"/>
  <c r="A1197" s="1"/>
  <c r="A1198" s="1"/>
  <c r="A1199" s="1"/>
  <c r="A1200" s="1"/>
  <c r="A1201" s="1"/>
  <c r="A1202" s="1"/>
  <c r="A1203" s="1"/>
  <c r="A1204" s="1"/>
  <c r="A1205" s="1"/>
  <c r="A1206" s="1"/>
  <c r="A1207" s="1"/>
  <c r="A1208" s="1"/>
  <c r="A1209" s="1"/>
  <c r="A1210" s="1"/>
  <c r="A1211" s="1"/>
  <c r="A1212" s="1"/>
  <c r="A1213" s="1"/>
  <c r="I1155"/>
  <c r="A1155"/>
  <c r="O1154"/>
  <c r="A1154"/>
  <c r="O1153"/>
  <c r="G1143"/>
  <c r="G1142"/>
  <c r="G1144" s="1"/>
  <c r="O1135"/>
  <c r="K1135"/>
  <c r="G1134"/>
  <c r="G1133"/>
  <c r="G1132"/>
  <c r="G1131"/>
  <c r="G1130"/>
  <c r="G1129"/>
  <c r="G1128"/>
  <c r="G1127"/>
  <c r="G1126"/>
  <c r="G1125"/>
  <c r="G1124"/>
  <c r="G1123"/>
  <c r="G1122"/>
  <c r="G1121"/>
  <c r="G1120"/>
  <c r="G1119"/>
  <c r="G1118"/>
  <c r="G1117"/>
  <c r="I1116"/>
  <c r="I1135" s="1"/>
  <c r="I1115"/>
  <c r="M1114"/>
  <c r="G1113"/>
  <c r="M1112"/>
  <c r="M1111"/>
  <c r="M1110"/>
  <c r="G1109"/>
  <c r="G1108"/>
  <c r="G1107"/>
  <c r="M1106"/>
  <c r="M1105"/>
  <c r="O1097"/>
  <c r="M1097"/>
  <c r="K1097"/>
  <c r="I1097"/>
  <c r="G1096"/>
  <c r="G1095"/>
  <c r="G1094"/>
  <c r="G1093"/>
  <c r="G1092"/>
  <c r="G1091"/>
  <c r="G1090"/>
  <c r="G1089"/>
  <c r="G1088"/>
  <c r="G1087"/>
  <c r="G1086"/>
  <c r="G1085"/>
  <c r="G1084"/>
  <c r="G1083"/>
  <c r="G1082"/>
  <c r="G1081"/>
  <c r="G1080"/>
  <c r="G1079"/>
  <c r="G1078"/>
  <c r="G1077"/>
  <c r="G1076"/>
  <c r="G1075"/>
  <c r="G1074"/>
  <c r="G1073"/>
  <c r="G1072"/>
  <c r="G1071"/>
  <c r="G1061"/>
  <c r="G1060"/>
  <c r="G1059"/>
  <c r="G1058"/>
  <c r="G1057"/>
  <c r="G1056"/>
  <c r="G1055"/>
  <c r="G1054"/>
  <c r="G1053"/>
  <c r="G1052"/>
  <c r="G1051"/>
  <c r="G1050"/>
  <c r="G1049"/>
  <c r="G1048"/>
  <c r="G1047"/>
  <c r="G1046"/>
  <c r="G1045"/>
  <c r="G1044"/>
  <c r="G1043"/>
  <c r="G1042"/>
  <c r="G1041"/>
  <c r="G1040"/>
  <c r="G1039"/>
  <c r="G1038"/>
  <c r="O1037"/>
  <c r="G1036"/>
  <c r="G1035"/>
  <c r="G1034"/>
  <c r="O1033"/>
  <c r="G1032"/>
  <c r="G1031"/>
  <c r="G1030"/>
  <c r="G1029"/>
  <c r="G1028"/>
  <c r="G1027"/>
  <c r="G1026"/>
  <c r="G1025"/>
  <c r="G1024"/>
  <c r="G1023"/>
  <c r="O1022"/>
  <c r="G1021"/>
  <c r="G1020"/>
  <c r="G1019"/>
  <c r="G1018"/>
  <c r="G1017"/>
  <c r="G1016"/>
  <c r="G1015"/>
  <c r="G1014"/>
  <c r="G1013"/>
  <c r="G1012"/>
  <c r="G1011"/>
  <c r="G1010"/>
  <c r="G1009"/>
  <c r="G1008"/>
  <c r="O1007"/>
  <c r="G1006"/>
  <c r="O1005"/>
  <c r="O1004"/>
  <c r="M1003"/>
  <c r="M1002"/>
  <c r="G1001"/>
  <c r="G1000"/>
  <c r="G999"/>
  <c r="O998"/>
  <c r="G997"/>
  <c r="G996"/>
  <c r="M995"/>
  <c r="I994"/>
  <c r="I993"/>
  <c r="G992"/>
  <c r="G991"/>
  <c r="G990"/>
  <c r="G989"/>
  <c r="G988"/>
  <c r="O987"/>
  <c r="O986"/>
  <c r="O985"/>
  <c r="O984"/>
  <c r="O983"/>
  <c r="O982"/>
  <c r="I981"/>
  <c r="M980"/>
  <c r="G979"/>
  <c r="M978"/>
  <c r="G977"/>
  <c r="G976"/>
  <c r="G975"/>
  <c r="G974"/>
  <c r="M973"/>
  <c r="I972"/>
  <c r="G971"/>
  <c r="M970"/>
  <c r="M969"/>
  <c r="G968"/>
  <c r="G967"/>
  <c r="K966"/>
  <c r="K965"/>
  <c r="K1062" s="1"/>
  <c r="D34" i="8"/>
  <c r="D33"/>
  <c r="C9"/>
  <c r="C8"/>
  <c r="C7"/>
  <c r="D7"/>
  <c r="D8"/>
  <c r="O958" i="7"/>
  <c r="O957"/>
  <c r="D36" i="8" s="1"/>
  <c r="M957" i="7"/>
  <c r="D35" i="8" s="1"/>
  <c r="G956" i="7"/>
  <c r="G955"/>
  <c r="G954"/>
  <c r="G953"/>
  <c r="G952"/>
  <c r="G951"/>
  <c r="G950"/>
  <c r="G949"/>
  <c r="G948"/>
  <c r="G947"/>
  <c r="G946"/>
  <c r="G945"/>
  <c r="G944"/>
  <c r="G942"/>
  <c r="G941"/>
  <c r="G940"/>
  <c r="G939"/>
  <c r="G936"/>
  <c r="G935"/>
  <c r="G934"/>
  <c r="G933"/>
  <c r="G932"/>
  <c r="G931"/>
  <c r="G930"/>
  <c r="G929"/>
  <c r="G928"/>
  <c r="G927"/>
  <c r="G924"/>
  <c r="G923"/>
  <c r="G922"/>
  <c r="G921"/>
  <c r="G920"/>
  <c r="G919"/>
  <c r="G918"/>
  <c r="G917"/>
  <c r="G916"/>
  <c r="G915"/>
  <c r="G914"/>
  <c r="G913"/>
  <c r="G912"/>
  <c r="G911"/>
  <c r="G910"/>
  <c r="G909"/>
  <c r="G908"/>
  <c r="G907"/>
  <c r="G906"/>
  <c r="G905"/>
  <c r="G904"/>
  <c r="G903"/>
  <c r="G902"/>
  <c r="G901"/>
  <c r="G900"/>
  <c r="G899"/>
  <c r="G898"/>
  <c r="G897"/>
  <c r="G896"/>
  <c r="G895"/>
  <c r="G894"/>
  <c r="G893"/>
  <c r="G892"/>
  <c r="G891"/>
  <c r="G890"/>
  <c r="G889"/>
  <c r="G888"/>
  <c r="G887"/>
  <c r="G886"/>
  <c r="G885"/>
  <c r="G884"/>
  <c r="G883"/>
  <c r="G882"/>
  <c r="G881"/>
  <c r="G880"/>
  <c r="G879"/>
  <c r="G878"/>
  <c r="G877"/>
  <c r="G876"/>
  <c r="G875"/>
  <c r="G874"/>
  <c r="G873"/>
  <c r="G872"/>
  <c r="G871"/>
  <c r="G870"/>
  <c r="G869"/>
  <c r="G868"/>
  <c r="G867"/>
  <c r="G866"/>
  <c r="G865"/>
  <c r="G864"/>
  <c r="G863"/>
  <c r="G862"/>
  <c r="G861"/>
  <c r="G860"/>
  <c r="G859"/>
  <c r="G858"/>
  <c r="G857"/>
  <c r="G856"/>
  <c r="G855"/>
  <c r="G854"/>
  <c r="G853"/>
  <c r="G852"/>
  <c r="G851"/>
  <c r="G850"/>
  <c r="G849"/>
  <c r="G848"/>
  <c r="G847"/>
  <c r="G846"/>
  <c r="G845"/>
  <c r="G844"/>
  <c r="G843"/>
  <c r="G842"/>
  <c r="G841"/>
  <c r="G840"/>
  <c r="G839"/>
  <c r="G838"/>
  <c r="G837"/>
  <c r="G831"/>
  <c r="G830"/>
  <c r="G829"/>
  <c r="G828"/>
  <c r="G827"/>
  <c r="G826"/>
  <c r="G825"/>
  <c r="G824"/>
  <c r="G823"/>
  <c r="G822"/>
  <c r="G821"/>
  <c r="G820"/>
  <c r="G819"/>
  <c r="G818"/>
  <c r="G817"/>
  <c r="G816"/>
  <c r="G815"/>
  <c r="G814"/>
  <c r="G813"/>
  <c r="G812"/>
  <c r="G811"/>
  <c r="G810"/>
  <c r="G809"/>
  <c r="G808"/>
  <c r="G807"/>
  <c r="G806"/>
  <c r="G805"/>
  <c r="G804"/>
  <c r="G803"/>
  <c r="G802"/>
  <c r="G801"/>
  <c r="G800"/>
  <c r="G799"/>
  <c r="G798"/>
  <c r="G797"/>
  <c r="G796"/>
  <c r="G795"/>
  <c r="G794"/>
  <c r="G793"/>
  <c r="G792"/>
  <c r="O790"/>
  <c r="C36" i="8" s="1"/>
  <c r="N790" i="7"/>
  <c r="M790"/>
  <c r="C35" i="8" s="1"/>
  <c r="L790" i="7"/>
  <c r="L958" s="1"/>
  <c r="K790"/>
  <c r="K958" s="1"/>
  <c r="J790"/>
  <c r="I790"/>
  <c r="C33" i="8" s="1"/>
  <c r="H790" i="7"/>
  <c r="G789"/>
  <c r="G788"/>
  <c r="G787"/>
  <c r="G786"/>
  <c r="G785"/>
  <c r="G784"/>
  <c r="G783"/>
  <c r="G782"/>
  <c r="G781"/>
  <c r="G780"/>
  <c r="G779"/>
  <c r="G778"/>
  <c r="G777"/>
  <c r="G776"/>
  <c r="G775"/>
  <c r="G774"/>
  <c r="G773"/>
  <c r="G772"/>
  <c r="G771"/>
  <c r="G770"/>
  <c r="G769"/>
  <c r="G768"/>
  <c r="G767"/>
  <c r="G766"/>
  <c r="G765"/>
  <c r="G764"/>
  <c r="G763"/>
  <c r="G762"/>
  <c r="G761"/>
  <c r="G760"/>
  <c r="G759"/>
  <c r="G758"/>
  <c r="G757"/>
  <c r="G756"/>
  <c r="G755"/>
  <c r="G754"/>
  <c r="G753"/>
  <c r="G752"/>
  <c r="G751"/>
  <c r="G750"/>
  <c r="G749"/>
  <c r="G748"/>
  <c r="G747"/>
  <c r="O745"/>
  <c r="N745"/>
  <c r="M745"/>
  <c r="L745"/>
  <c r="K745"/>
  <c r="J745"/>
  <c r="I745"/>
  <c r="H745"/>
  <c r="H958" s="1"/>
  <c r="G744"/>
  <c r="G743"/>
  <c r="G742"/>
  <c r="G741"/>
  <c r="G740"/>
  <c r="G739"/>
  <c r="G738"/>
  <c r="G737"/>
  <c r="G736"/>
  <c r="G735"/>
  <c r="G734"/>
  <c r="G733"/>
  <c r="G732"/>
  <c r="G731"/>
  <c r="G730"/>
  <c r="G729"/>
  <c r="G728"/>
  <c r="G727"/>
  <c r="G726"/>
  <c r="G725"/>
  <c r="G724"/>
  <c r="G723"/>
  <c r="G722"/>
  <c r="G721"/>
  <c r="G720"/>
  <c r="G719"/>
  <c r="G718"/>
  <c r="G717"/>
  <c r="G716"/>
  <c r="G715"/>
  <c r="G714"/>
  <c r="G713"/>
  <c r="G712"/>
  <c r="G711"/>
  <c r="G710"/>
  <c r="G709"/>
  <c r="G708"/>
  <c r="G707"/>
  <c r="G706"/>
  <c r="G705"/>
  <c r="G704"/>
  <c r="G703"/>
  <c r="G702"/>
  <c r="G701"/>
  <c r="G700"/>
  <c r="G699"/>
  <c r="G698"/>
  <c r="G697"/>
  <c r="G696"/>
  <c r="G695"/>
  <c r="G694"/>
  <c r="G693"/>
  <c r="G692"/>
  <c r="G691"/>
  <c r="G690"/>
  <c r="G689"/>
  <c r="G688"/>
  <c r="G687"/>
  <c r="G686"/>
  <c r="G685"/>
  <c r="G684"/>
  <c r="G683"/>
  <c r="G682"/>
  <c r="G681"/>
  <c r="G680"/>
  <c r="G679"/>
  <c r="G678"/>
  <c r="G677"/>
  <c r="G676"/>
  <c r="G675"/>
  <c r="G674"/>
  <c r="G673"/>
  <c r="G672"/>
  <c r="G671"/>
  <c r="G670"/>
  <c r="G669"/>
  <c r="G668"/>
  <c r="G667"/>
  <c r="G666"/>
  <c r="G665"/>
  <c r="G664"/>
  <c r="G663"/>
  <c r="G662"/>
  <c r="G661"/>
  <c r="G660"/>
  <c r="G659"/>
  <c r="G658"/>
  <c r="G657"/>
  <c r="G656"/>
  <c r="G655"/>
  <c r="G654"/>
  <c r="G653"/>
  <c r="G652"/>
  <c r="G651"/>
  <c r="G650"/>
  <c r="G649"/>
  <c r="G648"/>
  <c r="G647"/>
  <c r="G646"/>
  <c r="G645"/>
  <c r="G644"/>
  <c r="G642"/>
  <c r="G641"/>
  <c r="G640"/>
  <c r="G639"/>
  <c r="G638"/>
  <c r="G637"/>
  <c r="G636"/>
  <c r="G635"/>
  <c r="G634"/>
  <c r="G633"/>
  <c r="G632"/>
  <c r="G631"/>
  <c r="G630"/>
  <c r="G629"/>
  <c r="G628"/>
  <c r="G627"/>
  <c r="G626"/>
  <c r="G625"/>
  <c r="G624"/>
  <c r="G623"/>
  <c r="G622"/>
  <c r="G621"/>
  <c r="G620"/>
  <c r="G619"/>
  <c r="G618"/>
  <c r="G617"/>
  <c r="G616"/>
  <c r="G615"/>
  <c r="G614"/>
  <c r="G613"/>
  <c r="G612"/>
  <c r="G611"/>
  <c r="G610"/>
  <c r="G609"/>
  <c r="G608"/>
  <c r="G607"/>
  <c r="G606"/>
  <c r="G605"/>
  <c r="G604"/>
  <c r="G603"/>
  <c r="G602"/>
  <c r="G601"/>
  <c r="G600"/>
  <c r="G599"/>
  <c r="G598"/>
  <c r="G597"/>
  <c r="G596"/>
  <c r="G595"/>
  <c r="G594"/>
  <c r="G593"/>
  <c r="G592"/>
  <c r="G591"/>
  <c r="G590"/>
  <c r="G589"/>
  <c r="G588"/>
  <c r="G587"/>
  <c r="G586"/>
  <c r="G585"/>
  <c r="G584"/>
  <c r="G583"/>
  <c r="G582"/>
  <c r="G581"/>
  <c r="G580"/>
  <c r="G579"/>
  <c r="G578"/>
  <c r="G577"/>
  <c r="G576"/>
  <c r="G575"/>
  <c r="G574"/>
  <c r="G573"/>
  <c r="G572"/>
  <c r="G571"/>
  <c r="G570"/>
  <c r="G569"/>
  <c r="G568"/>
  <c r="G567"/>
  <c r="G566"/>
  <c r="G565"/>
  <c r="G564"/>
  <c r="G563"/>
  <c r="G562"/>
  <c r="G561"/>
  <c r="G560"/>
  <c r="G559"/>
  <c r="G558"/>
  <c r="G557"/>
  <c r="G556"/>
  <c r="G555"/>
  <c r="G554"/>
  <c r="G553"/>
  <c r="G552"/>
  <c r="G551"/>
  <c r="G550"/>
  <c r="G549"/>
  <c r="G548"/>
  <c r="G547"/>
  <c r="G546"/>
  <c r="G545"/>
  <c r="G544"/>
  <c r="G543"/>
  <c r="G542"/>
  <c r="G541"/>
  <c r="G540"/>
  <c r="G539"/>
  <c r="G538"/>
  <c r="G537"/>
  <c r="G536"/>
  <c r="G535"/>
  <c r="G534"/>
  <c r="G533"/>
  <c r="G532"/>
  <c r="G531"/>
  <c r="G530"/>
  <c r="G529"/>
  <c r="G528"/>
  <c r="E35" i="8" l="1"/>
  <c r="E8"/>
  <c r="F1214" i="7"/>
  <c r="M1062"/>
  <c r="D22" i="8" s="1"/>
  <c r="G1097" i="7"/>
  <c r="G1244"/>
  <c r="J958"/>
  <c r="G1062"/>
  <c r="I1062"/>
  <c r="D20" i="8" s="1"/>
  <c r="N958" i="7"/>
  <c r="G1135"/>
  <c r="D19" i="8" s="1"/>
  <c r="C19"/>
  <c r="K1214" i="7"/>
  <c r="C21" i="8" s="1"/>
  <c r="M1135" i="7"/>
  <c r="D21" i="8"/>
  <c r="O1214" i="7"/>
  <c r="O1062"/>
  <c r="D23" i="8" s="1"/>
  <c r="I1214" i="7"/>
  <c r="C20" i="8" s="1"/>
  <c r="C23"/>
  <c r="G1214" i="7"/>
  <c r="C22" i="8"/>
  <c r="E36"/>
  <c r="G790" i="7"/>
  <c r="C34" i="8"/>
  <c r="E34" s="1"/>
  <c r="I958" i="7"/>
  <c r="G957"/>
  <c r="D32" i="8" s="1"/>
  <c r="D37" s="1"/>
  <c r="E7"/>
  <c r="G745" i="7"/>
  <c r="M958"/>
  <c r="E33" i="8"/>
  <c r="E20" l="1"/>
  <c r="E42" s="1"/>
  <c r="E23"/>
  <c r="E21"/>
  <c r="E43" s="1"/>
  <c r="E19"/>
  <c r="C24"/>
  <c r="E24" s="1"/>
  <c r="E25" s="1"/>
  <c r="D24"/>
  <c r="E22"/>
  <c r="G958" i="7"/>
  <c r="C32" i="8"/>
  <c r="E32" s="1"/>
  <c r="C37" l="1"/>
  <c r="E37" s="1"/>
  <c r="E38" s="1"/>
  <c r="D9" l="1"/>
  <c r="E9" s="1"/>
  <c r="E44" s="1"/>
  <c r="G378" i="7"/>
  <c r="E378"/>
  <c r="E377"/>
  <c r="G377" s="1"/>
  <c r="E376"/>
  <c r="G376" s="1"/>
  <c r="E375"/>
  <c r="G375" s="1"/>
  <c r="E374"/>
  <c r="G374" s="1"/>
  <c r="E373"/>
  <c r="G373" s="1"/>
  <c r="E372"/>
  <c r="G372" s="1"/>
  <c r="G371"/>
  <c r="E371"/>
  <c r="E370"/>
  <c r="G370" s="1"/>
  <c r="E369"/>
  <c r="G369" s="1"/>
  <c r="G379" l="1"/>
  <c r="G366"/>
  <c r="G365"/>
  <c r="G364"/>
  <c r="G363"/>
  <c r="G362"/>
  <c r="G361"/>
  <c r="G360"/>
  <c r="G359"/>
  <c r="G358"/>
  <c r="G357"/>
  <c r="G356"/>
  <c r="G355"/>
  <c r="G354"/>
  <c r="G353"/>
  <c r="G352"/>
  <c r="E351"/>
  <c r="G351" s="1"/>
  <c r="G350"/>
  <c r="E350"/>
  <c r="E349"/>
  <c r="G349" s="1"/>
  <c r="F348"/>
  <c r="E348"/>
  <c r="G347"/>
  <c r="F346"/>
  <c r="E346"/>
  <c r="F345"/>
  <c r="E345"/>
  <c r="E344"/>
  <c r="G344" s="1"/>
  <c r="G343"/>
  <c r="E342"/>
  <c r="G342" s="1"/>
  <c r="E341"/>
  <c r="G341" s="1"/>
  <c r="E340"/>
  <c r="G340" s="1"/>
  <c r="E339"/>
  <c r="G339" s="1"/>
  <c r="E338"/>
  <c r="O338" s="1"/>
  <c r="F337"/>
  <c r="E337"/>
  <c r="F336"/>
  <c r="E336"/>
  <c r="E335"/>
  <c r="G335" s="1"/>
  <c r="E334"/>
  <c r="G334" s="1"/>
  <c r="G333"/>
  <c r="F332"/>
  <c r="G332" s="1"/>
  <c r="N331"/>
  <c r="O331" s="1"/>
  <c r="F330"/>
  <c r="G330" s="1"/>
  <c r="G329"/>
  <c r="F328"/>
  <c r="G328" s="1"/>
  <c r="F327"/>
  <c r="G327" s="1"/>
  <c r="F326"/>
  <c r="G326" s="1"/>
  <c r="F325"/>
  <c r="G325" s="1"/>
  <c r="G324"/>
  <c r="F324"/>
  <c r="F323"/>
  <c r="G323" s="1"/>
  <c r="G322"/>
  <c r="F321"/>
  <c r="G321" s="1"/>
  <c r="G320"/>
  <c r="F319"/>
  <c r="G319" s="1"/>
  <c r="F318"/>
  <c r="G318" s="1"/>
  <c r="F317"/>
  <c r="G317" s="1"/>
  <c r="G316"/>
  <c r="F315"/>
  <c r="G315" s="1"/>
  <c r="F314"/>
  <c r="E314"/>
  <c r="F313"/>
  <c r="E313"/>
  <c r="F312"/>
  <c r="E312"/>
  <c r="F311"/>
  <c r="E311"/>
  <c r="F310"/>
  <c r="E310"/>
  <c r="F309"/>
  <c r="E309"/>
  <c r="F308"/>
  <c r="E308"/>
  <c r="E307"/>
  <c r="G307" s="1"/>
  <c r="F306"/>
  <c r="E306"/>
  <c r="F305"/>
  <c r="G305" s="1"/>
  <c r="F304"/>
  <c r="E304"/>
  <c r="G303"/>
  <c r="F302"/>
  <c r="G302" s="1"/>
  <c r="F301"/>
  <c r="G301" s="1"/>
  <c r="G300"/>
  <c r="F299"/>
  <c r="G299" s="1"/>
  <c r="G298"/>
  <c r="G297"/>
  <c r="G296"/>
  <c r="G295"/>
  <c r="G294"/>
  <c r="G293"/>
  <c r="G292"/>
  <c r="G291"/>
  <c r="F290"/>
  <c r="G290" s="1"/>
  <c r="G289"/>
  <c r="F288"/>
  <c r="G288" s="1"/>
  <c r="G287"/>
  <c r="F286"/>
  <c r="G286" s="1"/>
  <c r="G285"/>
  <c r="F284"/>
  <c r="G284" s="1"/>
  <c r="G283"/>
  <c r="F282"/>
  <c r="G282" s="1"/>
  <c r="F281"/>
  <c r="G281" s="1"/>
  <c r="G280"/>
  <c r="F279"/>
  <c r="G279" s="1"/>
  <c r="F278"/>
  <c r="G278" s="1"/>
  <c r="G277"/>
  <c r="I276"/>
  <c r="G276"/>
  <c r="I275"/>
  <c r="G275"/>
  <c r="F274"/>
  <c r="G274" s="1"/>
  <c r="G273"/>
  <c r="G272"/>
  <c r="F271"/>
  <c r="G271" s="1"/>
  <c r="G270"/>
  <c r="F269"/>
  <c r="G269" s="1"/>
  <c r="F268"/>
  <c r="G268" s="1"/>
  <c r="G267"/>
  <c r="F266"/>
  <c r="G266" s="1"/>
  <c r="I265"/>
  <c r="G265"/>
  <c r="G264"/>
  <c r="G263"/>
  <c r="G262"/>
  <c r="G261"/>
  <c r="G260"/>
  <c r="G259"/>
  <c r="G258"/>
  <c r="F257"/>
  <c r="G257" s="1"/>
  <c r="G256"/>
  <c r="G255"/>
  <c r="D11" i="8" l="1"/>
  <c r="G346" i="7"/>
  <c r="G312"/>
  <c r="G308"/>
  <c r="G311"/>
  <c r="G306"/>
  <c r="G313"/>
  <c r="G309"/>
  <c r="G314"/>
  <c r="G338"/>
  <c r="G336"/>
  <c r="G337"/>
  <c r="G345"/>
  <c r="G310"/>
  <c r="G304"/>
  <c r="G348"/>
  <c r="O252"/>
  <c r="O251"/>
  <c r="O250"/>
  <c r="O249"/>
  <c r="I249"/>
  <c r="I248"/>
  <c r="I247"/>
  <c r="E246"/>
  <c r="G246" s="1"/>
  <c r="E245"/>
  <c r="G245" s="1"/>
  <c r="E244"/>
  <c r="G244" s="1"/>
  <c r="E243"/>
  <c r="G243" s="1"/>
  <c r="G242"/>
  <c r="G241"/>
  <c r="G240"/>
  <c r="G239"/>
  <c r="G238"/>
  <c r="G237"/>
  <c r="G236"/>
  <c r="G235"/>
  <c r="G234"/>
  <c r="G233"/>
  <c r="G232"/>
  <c r="G231"/>
  <c r="G230"/>
  <c r="G229"/>
  <c r="G228"/>
  <c r="G227"/>
  <c r="G226"/>
  <c r="G225"/>
  <c r="G224"/>
  <c r="G223"/>
  <c r="G222"/>
  <c r="G221"/>
  <c r="G220"/>
  <c r="G219"/>
  <c r="G218"/>
  <c r="G217"/>
  <c r="G216"/>
  <c r="E215"/>
  <c r="G215" s="1"/>
  <c r="E214"/>
  <c r="G214" s="1"/>
  <c r="E213"/>
  <c r="G213" s="1"/>
  <c r="E212"/>
  <c r="G212" s="1"/>
  <c r="E211"/>
  <c r="G211" s="1"/>
  <c r="E210"/>
  <c r="G210" s="1"/>
  <c r="G209"/>
  <c r="E208"/>
  <c r="G208" s="1"/>
  <c r="E207"/>
  <c r="G207" s="1"/>
  <c r="E206"/>
  <c r="G206" s="1"/>
  <c r="E205"/>
  <c r="G205" s="1"/>
  <c r="E204"/>
  <c r="G204" s="1"/>
  <c r="E203"/>
  <c r="G203" s="1"/>
  <c r="E202"/>
  <c r="G202" s="1"/>
  <c r="G201"/>
  <c r="G200"/>
  <c r="E199"/>
  <c r="G199" s="1"/>
  <c r="E198"/>
  <c r="G198" s="1"/>
  <c r="G197"/>
  <c r="E196"/>
  <c r="G196" s="1"/>
  <c r="G195"/>
  <c r="E194"/>
  <c r="G194" s="1"/>
  <c r="E193"/>
  <c r="G193" s="1"/>
  <c r="E192"/>
  <c r="G192" s="1"/>
  <c r="G191"/>
  <c r="E190"/>
  <c r="G190" s="1"/>
  <c r="G189"/>
  <c r="G188"/>
  <c r="G187"/>
  <c r="G186"/>
  <c r="G185"/>
  <c r="G184"/>
  <c r="G183"/>
  <c r="G182"/>
  <c r="G181"/>
  <c r="G180"/>
  <c r="G179"/>
  <c r="G178"/>
  <c r="G177"/>
  <c r="G176"/>
  <c r="G175"/>
  <c r="G174"/>
  <c r="G173"/>
  <c r="G172"/>
  <c r="G171"/>
  <c r="G170"/>
  <c r="G169"/>
  <c r="G168"/>
  <c r="G167"/>
  <c r="G166"/>
  <c r="G165"/>
  <c r="G164"/>
  <c r="G163"/>
  <c r="G162"/>
  <c r="G161"/>
  <c r="G160"/>
  <c r="G159"/>
  <c r="G158"/>
  <c r="G157"/>
  <c r="G156"/>
  <c r="G155"/>
  <c r="G154"/>
  <c r="G153"/>
  <c r="G152"/>
  <c r="G151"/>
  <c r="G150"/>
  <c r="G149"/>
  <c r="G148"/>
  <c r="G147"/>
  <c r="G146"/>
  <c r="G145"/>
  <c r="G144"/>
  <c r="G143"/>
  <c r="G142"/>
  <c r="G141"/>
  <c r="G140"/>
  <c r="G139"/>
  <c r="G138"/>
  <c r="G137"/>
  <c r="G136"/>
  <c r="G135"/>
  <c r="G134"/>
  <c r="G133"/>
  <c r="G132"/>
  <c r="G131"/>
  <c r="G130"/>
  <c r="G129"/>
  <c r="G128"/>
  <c r="G127"/>
  <c r="E126"/>
  <c r="G126" s="1"/>
  <c r="E125"/>
  <c r="G125" s="1"/>
  <c r="G124"/>
  <c r="G123"/>
  <c r="G122"/>
  <c r="G121"/>
  <c r="G120"/>
  <c r="G119"/>
  <c r="G118"/>
  <c r="G117"/>
  <c r="G116"/>
  <c r="G115"/>
  <c r="O112"/>
  <c r="O111"/>
  <c r="G110"/>
  <c r="G109"/>
  <c r="G108"/>
  <c r="G107"/>
  <c r="G106"/>
  <c r="G105"/>
  <c r="G104"/>
  <c r="G103"/>
  <c r="G102"/>
  <c r="G101"/>
  <c r="G100"/>
  <c r="G99"/>
  <c r="G98"/>
  <c r="G97"/>
  <c r="G96"/>
  <c r="G95"/>
  <c r="G94"/>
  <c r="G93"/>
  <c r="G92"/>
  <c r="G91"/>
  <c r="G90"/>
  <c r="G89"/>
  <c r="G88"/>
  <c r="G87"/>
  <c r="G86"/>
  <c r="G85"/>
  <c r="G84"/>
  <c r="G83"/>
  <c r="G82"/>
  <c r="G81"/>
  <c r="G80"/>
  <c r="G79"/>
  <c r="G78"/>
  <c r="G77"/>
  <c r="G76"/>
  <c r="G75"/>
  <c r="G74"/>
  <c r="G73"/>
  <c r="G72"/>
  <c r="G71"/>
  <c r="G70"/>
  <c r="G69"/>
  <c r="G68"/>
  <c r="G67"/>
  <c r="G66"/>
  <c r="G65"/>
  <c r="G64"/>
  <c r="G63"/>
  <c r="G62"/>
  <c r="G61"/>
  <c r="G60"/>
  <c r="G59"/>
  <c r="G58"/>
  <c r="G57"/>
  <c r="G56"/>
  <c r="G55"/>
  <c r="G54"/>
  <c r="G53"/>
  <c r="G52"/>
  <c r="G51"/>
  <c r="G50"/>
  <c r="G49"/>
  <c r="G48"/>
  <c r="G47"/>
  <c r="G46"/>
  <c r="G45"/>
  <c r="G44"/>
  <c r="G43"/>
  <c r="G42"/>
  <c r="G41"/>
  <c r="G40"/>
  <c r="G39"/>
  <c r="G38"/>
  <c r="G37"/>
  <c r="G36"/>
  <c r="G35"/>
  <c r="G34"/>
  <c r="G33"/>
  <c r="G32"/>
  <c r="G31"/>
  <c r="G30"/>
  <c r="G29"/>
  <c r="G28"/>
  <c r="G27"/>
  <c r="G26"/>
  <c r="G25"/>
  <c r="G24"/>
  <c r="G23"/>
  <c r="G22"/>
  <c r="G21"/>
  <c r="G20"/>
  <c r="G19"/>
  <c r="G18"/>
  <c r="G17"/>
  <c r="G16"/>
  <c r="G15"/>
  <c r="G14"/>
  <c r="G13"/>
  <c r="G12"/>
  <c r="O113" l="1"/>
  <c r="G113"/>
  <c r="O367"/>
  <c r="G367" l="1"/>
  <c r="O253" l="1"/>
  <c r="G253"/>
  <c r="C6" i="8" s="1"/>
  <c r="C11" l="1"/>
  <c r="E10"/>
  <c r="E45" s="1"/>
  <c r="E6"/>
  <c r="E41" s="1"/>
  <c r="E46" l="1"/>
  <c r="E11"/>
  <c r="E12" s="1"/>
</calcChain>
</file>

<file path=xl/sharedStrings.xml><?xml version="1.0" encoding="utf-8"?>
<sst xmlns="http://schemas.openxmlformats.org/spreadsheetml/2006/main" count="5643" uniqueCount="1652">
  <si>
    <t>Name of Item</t>
  </si>
  <si>
    <t>Unit</t>
  </si>
  <si>
    <t>Useable</t>
  </si>
  <si>
    <t>Unserviceable</t>
  </si>
  <si>
    <t>Non-Moving</t>
  </si>
  <si>
    <t>Obsolete</t>
  </si>
  <si>
    <t>Scrap</t>
  </si>
  <si>
    <t>MT</t>
  </si>
  <si>
    <t>No.</t>
  </si>
  <si>
    <t>Nos.</t>
  </si>
  <si>
    <t>Nos</t>
  </si>
  <si>
    <t>AA1A101001</t>
  </si>
  <si>
    <t>Km.</t>
  </si>
  <si>
    <t>Stock Inventory</t>
  </si>
  <si>
    <t>S. No.</t>
  </si>
  <si>
    <t>Unit rate in Rs.</t>
  </si>
  <si>
    <t>Qty.</t>
  </si>
  <si>
    <t>Total Amount in Rs.</t>
  </si>
  <si>
    <t>KM</t>
  </si>
  <si>
    <t>VV2V214001</t>
  </si>
  <si>
    <t>VV2V216007</t>
  </si>
  <si>
    <t>VV2V208002</t>
  </si>
  <si>
    <t>VV2V213003</t>
  </si>
  <si>
    <t>Set</t>
  </si>
  <si>
    <t xml:space="preserve">No. </t>
  </si>
  <si>
    <t xml:space="preserve">Set </t>
  </si>
  <si>
    <t>JJ2J201021</t>
  </si>
  <si>
    <t>Spring Operating Mechanism complete</t>
  </si>
  <si>
    <t>SS3S301016</t>
  </si>
  <si>
    <t>JJ7J701029</t>
  </si>
  <si>
    <t>ZZ2Z005004</t>
  </si>
  <si>
    <t>Mtr.</t>
  </si>
  <si>
    <t>No</t>
  </si>
  <si>
    <t>ZZ1Z001001</t>
  </si>
  <si>
    <t>MM0M007004</t>
  </si>
  <si>
    <t>CC2C201003</t>
  </si>
  <si>
    <t>HF Cable</t>
  </si>
  <si>
    <t>VV1V101032</t>
  </si>
  <si>
    <t>LV Bushing for 40MVA (36KV/2000A) Bushing, Porcelain</t>
  </si>
  <si>
    <t>36kV 2000 Amp LV STEM (W/O PALM),IMP Make Transformer</t>
  </si>
  <si>
    <t xml:space="preserve">36kV 2000 Amp LVN &amp; HV-N STEM with PALM </t>
  </si>
  <si>
    <t>VV1V101031</t>
  </si>
  <si>
    <t>145 kV 1250 A 300 BCT,IMP Make Transformer</t>
  </si>
  <si>
    <t>PT- 100 Sensor SR. No. B1201083.6</t>
  </si>
  <si>
    <t>CCU with PSU SR. No. B1201064.1</t>
  </si>
  <si>
    <t>PT- 100 Sensor SR. No. B1201065.2</t>
  </si>
  <si>
    <t>CCU with PSU SR. No. B1201087.3</t>
  </si>
  <si>
    <t>Magnetic oil Gauge (MOG SR.No. 86803)</t>
  </si>
  <si>
    <t>Remote tap position indicator SR.No. 12049 MNO- TPC-12232)</t>
  </si>
  <si>
    <t>JJ3J301010</t>
  </si>
  <si>
    <t xml:space="preserve">One complete pole of  1600A CB with pole column and interrupter  without PIR &amp; MB and operating mechanism and without support structure. </t>
  </si>
  <si>
    <t>JJ7J707001</t>
  </si>
  <si>
    <t xml:space="preserve">SF6 gas </t>
  </si>
  <si>
    <t>Kg.</t>
  </si>
  <si>
    <t>JJ3J301018</t>
  </si>
  <si>
    <t>VV3V303001</t>
  </si>
  <si>
    <t xml:space="preserve">145kV, 800A, 120% extended 5 core CT complete in all respects including terminal connectors and support stool for erecting on standard support structure. </t>
  </si>
  <si>
    <t>VV3V303002</t>
  </si>
  <si>
    <t>132KV 1600/800/400/1 ratio C.T</t>
  </si>
  <si>
    <t>JJ5J503011</t>
  </si>
  <si>
    <t xml:space="preserve">33KV Circuit breaker pole </t>
  </si>
  <si>
    <t>NN4N411005</t>
  </si>
  <si>
    <t>PT Selection Rotary Switch, 2 Position for Bus-1, Bus-2, 25 amp, 220VDC</t>
  </si>
  <si>
    <t>MM0M012002</t>
  </si>
  <si>
    <t>RXMA1 Relay</t>
  </si>
  <si>
    <t>RXMVB2 Relay</t>
  </si>
  <si>
    <t>Self reset trip relay (one relay of each type) Type- RXMS+RXME</t>
  </si>
  <si>
    <t>Combiflex PT Selection Relay, Type RXMD2, 220VDC, ABB Make 8NO+4CO</t>
  </si>
  <si>
    <t>NN4N405006</t>
  </si>
  <si>
    <t xml:space="preserve">Semaphore indicator for Earth switch </t>
  </si>
  <si>
    <t xml:space="preserve">No.  </t>
  </si>
  <si>
    <t>NN4N409010</t>
  </si>
  <si>
    <t xml:space="preserve">Synchronizing socket </t>
  </si>
  <si>
    <t>ZZ2Z005003</t>
  </si>
  <si>
    <t xml:space="preserve">Inter-posing CT &amp; PTs each type </t>
  </si>
  <si>
    <t>BCU's (P14DL Model) GE Make</t>
  </si>
  <si>
    <t>BCU's (C650 Model) GE Make</t>
  </si>
  <si>
    <t>NN5N506008</t>
  </si>
  <si>
    <t>Metrosil(No.n-linear resistor) each type</t>
  </si>
  <si>
    <t>NN5N506009</t>
  </si>
  <si>
    <t>Longest optical cable (1Set = 90Mtr.)</t>
  </si>
  <si>
    <t>SS7S710002</t>
  </si>
  <si>
    <t xml:space="preserve">Annunciations windows with necessary annunciation relay </t>
  </si>
  <si>
    <t>YY2Y201005</t>
  </si>
  <si>
    <t>Main Control Card (CARD SPCL-441V2)</t>
  </si>
  <si>
    <t>DC-DC Card (CARD SPCL-405, 48 V/12 V)</t>
  </si>
  <si>
    <t>Feed back card(card SPCL-236 for 220 V)</t>
  </si>
  <si>
    <t>TEMP. CONP. CARD(CARD SPCL-43V1)</t>
  </si>
  <si>
    <t>NN5N504003</t>
  </si>
  <si>
    <t>AUX .INPUT CONTACTOR( AC CONTACTOR 25 A,AC1 ,415 V, 1No.+1NC Aux)</t>
  </si>
  <si>
    <t>YY1Y105002</t>
  </si>
  <si>
    <t>YY1Y107028</t>
  </si>
  <si>
    <t>Annunciation card ( SPCL-440V2)</t>
  </si>
  <si>
    <t>INPUT CONTACTOR( AC CONTACTOR 25 A,AC1 ,415 V, TP+1No.+2NC Aux)</t>
  </si>
  <si>
    <t>YY1Y107032</t>
  </si>
  <si>
    <t>SCR-SCR Module (SCR-SCR Module 55A LAV/400 V</t>
  </si>
  <si>
    <t>YY1Y109038</t>
  </si>
  <si>
    <t>Thyristor / diode (Blocking Diode) 150 A Lav / 400Volt</t>
  </si>
  <si>
    <t>Bleeder (W/W/R 100E/100W OR EQ</t>
  </si>
  <si>
    <t>Earth Fault Resistance(W/W/R 470 E /20W)</t>
  </si>
  <si>
    <t>MM3M302003</t>
  </si>
  <si>
    <t>AC Voltmeter, 500 volt AC, 3.5 Digit, CL - 1</t>
  </si>
  <si>
    <t>PP1P126012</t>
  </si>
  <si>
    <t>AC Ammeter, 500 volt AC, 3.5 Digit, CL - 1</t>
  </si>
  <si>
    <t>DC Voltmeter, 500 volt AC, 3.5 Digit, CL - 1</t>
  </si>
  <si>
    <t>SS7S707001</t>
  </si>
  <si>
    <t>HPL Make 400A FP MCCB</t>
  </si>
  <si>
    <t>AA3A301004</t>
  </si>
  <si>
    <t>Al. Tube &amp; welding Sleeves</t>
  </si>
  <si>
    <t>mtr</t>
  </si>
  <si>
    <t>145 kV Bus Post Insulators (without corona ring) with creepage distance of 3625 mm.</t>
  </si>
  <si>
    <t>II5I501002</t>
  </si>
  <si>
    <t>145 kV Single tension string assembly of Disc insulator (120KN) with total creepage distance of 3625mm with all hardware accessories including arcing horn suitable for tension clamp set and Single Moose ACSR bundle without turn Buckle.</t>
  </si>
  <si>
    <t>NN4N408016</t>
  </si>
  <si>
    <t>Double Pole Iron Clad Main Switch 63 Amp. Complete</t>
  </si>
  <si>
    <t>FF2F206003</t>
  </si>
  <si>
    <t xml:space="preserve">12mm. Chequer plate </t>
  </si>
  <si>
    <t>CC2C201002</t>
  </si>
  <si>
    <t>Armoured optical fibre Cable D-Link NCB - FM500-AUHD-06-50 / 1.25µΩ OMZ</t>
  </si>
  <si>
    <t>CC2C201004</t>
  </si>
  <si>
    <t>RS 485 Communicating Cable</t>
  </si>
  <si>
    <t>CC3C316002</t>
  </si>
  <si>
    <t>GI cable tray perforated 2.5 mtr. length 225 mm wide</t>
  </si>
  <si>
    <t>4" IPS Al tube EH type</t>
  </si>
  <si>
    <t>JJ7J707003</t>
  </si>
  <si>
    <t>N2 Gas Cylinder Empty</t>
  </si>
  <si>
    <t>VV3V305001</t>
  </si>
  <si>
    <t>33 KV CT(1PH), AC 0.2, 5 Core 1600/800/1A</t>
  </si>
  <si>
    <t>36 KV, 3 Core CT 1600/800/1 A with 0.2 Accuracy</t>
  </si>
  <si>
    <t>VV3V305006</t>
  </si>
  <si>
    <t>VV3V305009</t>
  </si>
  <si>
    <t xml:space="preserve">33 KV CT Old &amp; Used </t>
  </si>
  <si>
    <t>VV6V507006</t>
  </si>
  <si>
    <t xml:space="preserve">33KV outdoor PT </t>
  </si>
  <si>
    <t>VV5V406005</t>
  </si>
  <si>
    <t>33KV CT Junction Box</t>
  </si>
  <si>
    <t>BB0B002001</t>
  </si>
  <si>
    <t>Cap bank cell</t>
  </si>
  <si>
    <t>SS0S005002</t>
  </si>
  <si>
    <t>1600 Amp 33KV Motor Operated Isolator sets</t>
  </si>
  <si>
    <t>SS3S301005</t>
  </si>
  <si>
    <t>132KV 1250 Amp Isolator moving blade</t>
  </si>
  <si>
    <t>TT1T101028</t>
  </si>
  <si>
    <t>LA Surge Counter register</t>
  </si>
  <si>
    <t>NO</t>
  </si>
  <si>
    <t>LA's Surge Counter Reading Register</t>
  </si>
  <si>
    <t>TT1T101032</t>
  </si>
  <si>
    <t>Maximum/Minimum Register 220 KV yard</t>
  </si>
  <si>
    <t>Maximum/Minimum Register 132 KV yard</t>
  </si>
  <si>
    <t>Maximum/Minimum Register 33 KV yard</t>
  </si>
  <si>
    <t xml:space="preserve">Max &amp; Min (220,132,33KV) Register </t>
  </si>
  <si>
    <t>TT1T101043</t>
  </si>
  <si>
    <t>Shut Down Register</t>
  </si>
  <si>
    <t>TT1T101044</t>
  </si>
  <si>
    <t>Monthly Stoppage Register</t>
  </si>
  <si>
    <t>TT1T101018</t>
  </si>
  <si>
    <t>Daily Battery maintenance Register</t>
  </si>
  <si>
    <t>TT1T101048</t>
  </si>
  <si>
    <t>Tripping base register</t>
  </si>
  <si>
    <t xml:space="preserve">Tripping Base Register </t>
  </si>
  <si>
    <t>TT1T101023</t>
  </si>
  <si>
    <t xml:space="preserve">Defect Register </t>
  </si>
  <si>
    <t>TT1T101019</t>
  </si>
  <si>
    <t xml:space="preserve">Maintenance Register </t>
  </si>
  <si>
    <t>TT1T101040</t>
  </si>
  <si>
    <t xml:space="preserve">Message Register </t>
  </si>
  <si>
    <t>TT1T101042</t>
  </si>
  <si>
    <t xml:space="preserve">Rostering Register </t>
  </si>
  <si>
    <t>TT1T101026</t>
  </si>
  <si>
    <t xml:space="preserve">Instruction Register </t>
  </si>
  <si>
    <t>TT1T101004</t>
  </si>
  <si>
    <t xml:space="preserve">Seailing Register </t>
  </si>
  <si>
    <t>Gate Entery Register</t>
  </si>
  <si>
    <t>Inspection Register</t>
  </si>
  <si>
    <t xml:space="preserve">Line Notice Register </t>
  </si>
  <si>
    <t>KK0K005001</t>
  </si>
  <si>
    <t>33KV, 10KA, Class-III, Gapless Type Lighting Arrester With Panther Connectors, CU Leads and Lugs including No-reset type, Cyclometric counter surge monitor &amp; suitable clamp</t>
  </si>
  <si>
    <t>KK0K003001</t>
  </si>
  <si>
    <t>132KV, Class-III, Gapless Type Lighting Arrester With Moose/Panther Connectors, CU Leads and Lugs including No-reset type, Cyclometric counter surge monitor &amp; suitable clamp</t>
  </si>
  <si>
    <t>JJ0J002002</t>
  </si>
  <si>
    <t>245KV SF6 Circuit Breaker (220Volt DC), 2500 Amp, 40KA 3Phase</t>
  </si>
  <si>
    <t>JJ0J005005</t>
  </si>
  <si>
    <t>33 KV Circuit Breaker (Old &amp; Used)</t>
  </si>
  <si>
    <t>Motor Contactor For 245 KV CB, 220 VDC (CGL)</t>
  </si>
  <si>
    <t>JJ3J301019</t>
  </si>
  <si>
    <t>Contactor (3NO+3NC) For 245 KV CB, 220 VDC (CGL)</t>
  </si>
  <si>
    <t>JJ7J701001</t>
  </si>
  <si>
    <t>Breaker Control Switch, 3 Position 16 ways</t>
  </si>
  <si>
    <t>Auxiliary contactor for 220/132 KV CB</t>
  </si>
  <si>
    <t xml:space="preserve">Auxiliary switch 220VDC 8 NO+8NC </t>
  </si>
  <si>
    <t xml:space="preserve">Auxiliary switch of rating 10 amp 220 VDC, 6 NO+6NC </t>
  </si>
  <si>
    <t>JJ5J503002</t>
  </si>
  <si>
    <t>33KV Tripping Coil for ABB Breaker</t>
  </si>
  <si>
    <t xml:space="preserve">33KV VCB Tripping Coil 220VDC for ABB Make CB </t>
  </si>
  <si>
    <t>JJ5J503003</t>
  </si>
  <si>
    <t>33KV Closing Coil for ABB Breaker</t>
  </si>
  <si>
    <t>33KV VCB Closing Coil 220VDC for ABB Make CB</t>
  </si>
  <si>
    <t>33KV VCB Closing Coil 220VDC for siemens Make CB</t>
  </si>
  <si>
    <t>JJ3J301001</t>
  </si>
  <si>
    <t xml:space="preserve">132KV Circuit Breaker Tripping Coil 220VDC </t>
  </si>
  <si>
    <t>JJ3J301003</t>
  </si>
  <si>
    <t xml:space="preserve">132KV Circuit Breaker Closing Coil 220VDC </t>
  </si>
  <si>
    <t>JJ2J201001</t>
  </si>
  <si>
    <t xml:space="preserve">220KV Circuit Breaker Tripping Coil 220VDC </t>
  </si>
  <si>
    <t>JJ2J201003</t>
  </si>
  <si>
    <t xml:space="preserve">220KV Circuit Breaker Closing Coil 220VDC </t>
  </si>
  <si>
    <t>VV6V602003</t>
  </si>
  <si>
    <t>132KV CVT (Sepaged)</t>
  </si>
  <si>
    <t>OSR Relay</t>
  </si>
  <si>
    <t>ZZ1Z003001</t>
  </si>
  <si>
    <t>145 KV 1250 amp, Transformer Bushing with rod (O&amp;U, Dismantle)</t>
  </si>
  <si>
    <t>Capacitor cell (old,Used, Brunt &amp; Damaged)</t>
  </si>
  <si>
    <t>battery cells (old, used and damaged) 500 AH</t>
  </si>
  <si>
    <t>battery cells (old, used and damaged) 300 AH</t>
  </si>
  <si>
    <t>KG</t>
  </si>
  <si>
    <t>Item Code</t>
  </si>
  <si>
    <t>220kV Substation, Jhajhra, Dehradun (132 kV Switchyard)</t>
  </si>
  <si>
    <t>33KV Singal Phase outdoor type 800/400/1A, .2S</t>
  </si>
  <si>
    <t>33KV Singal Phase outdoor type 1600/800/1A, .2S</t>
  </si>
  <si>
    <t xml:space="preserve">220/132KV Spacer Clamp with Droper for Twin Moose Conductor </t>
  </si>
  <si>
    <t xml:space="preserve">220/132KV CT Clamp Suitable Quad Moose Conductor </t>
  </si>
  <si>
    <t xml:space="preserve">220/132/33KV BPI Clamp Suitable 4" IPS Tube </t>
  </si>
  <si>
    <t xml:space="preserve">220/132KV T Clamp Suitable 4" IPS Tube to Twin Moose Conductor </t>
  </si>
  <si>
    <t xml:space="preserve">220/132KV Isolator Clamp Suitable Twin Moose Conductor </t>
  </si>
  <si>
    <t xml:space="preserve">220/132KV CVT &amp; CT Clamp Suitable Twin Moose Conductor </t>
  </si>
  <si>
    <t>Potentiometer</t>
  </si>
  <si>
    <t xml:space="preserve">Auto/Manual Switch </t>
  </si>
  <si>
    <t>Auxiliary Relay 33 KV ABB Make CB</t>
  </si>
  <si>
    <t>Auxiliary Relay 5 amp 8 to 11 Pin</t>
  </si>
  <si>
    <t xml:space="preserve">Limit Switch </t>
  </si>
  <si>
    <t>Terminal Block CTS 70 L</t>
  </si>
  <si>
    <t>Silica Gel</t>
  </si>
  <si>
    <t>220kV Substation, Jhajhra, Dehradun (220 kV Switchyard)</t>
  </si>
  <si>
    <t>FF0F015002</t>
  </si>
  <si>
    <t xml:space="preserve">C/D Type Tower with Bolts, Nuts &amp; Stub (Galvanized) </t>
  </si>
  <si>
    <t>…</t>
  </si>
  <si>
    <t>AA0A002003</t>
  </si>
  <si>
    <t xml:space="preserve">ACSR Zebra Conductor </t>
  </si>
  <si>
    <t>MM0M007001</t>
  </si>
  <si>
    <t>Buchhloz Relay Atvus GOR - III SR. No. JJ04178(Main Tank complete with contacts)</t>
  </si>
  <si>
    <t>MM0M007003</t>
  </si>
  <si>
    <t>Buchhloz Relay Atvus GOR - III SR. No. J05514(main tank) complete with contacts</t>
  </si>
  <si>
    <t>VV1V101010</t>
  </si>
  <si>
    <t>HV Bushing for 160 MVA ABB, 245 KV / 1250 Amp. Bushing OTP</t>
  </si>
  <si>
    <t>VV1V101011</t>
  </si>
  <si>
    <t>LV Bushing for 160 MVA ABB, 145KV/ 1250Amp. Bushing OTP</t>
  </si>
  <si>
    <t>PT- 100 Sensor SR. No. B1201057.5</t>
  </si>
  <si>
    <t>PT- 100 Sensor SR. No. B1201057.2</t>
  </si>
  <si>
    <t>CCU with PSU SR. No. B1201064.2</t>
  </si>
  <si>
    <t>VV2V216006</t>
  </si>
  <si>
    <t>CCU with PSU SR. No. B1201087.4</t>
  </si>
  <si>
    <t>VV2V216002</t>
  </si>
  <si>
    <t>R.T. Indicator (M-2245T2) SR.No. B1201164.2</t>
  </si>
  <si>
    <t>VV2V216001</t>
  </si>
  <si>
    <t>R.T. Indicator (M-2245T2) SR.No. B1201088.1</t>
  </si>
  <si>
    <t>VV2V209001</t>
  </si>
  <si>
    <t>Pressure relief device(PRV) SR. No.(M N-T-6LS-M)</t>
  </si>
  <si>
    <t>Magnetic Oil Level Gauge (MOG SR.No. 86750 250 DIA)</t>
  </si>
  <si>
    <t>Remote tap positio indicator SR.No. TPC 2001/12050</t>
  </si>
  <si>
    <t>Oil flow indicator SR.No. 36310 (Oil Flow Indicator with Flow Switch)</t>
  </si>
  <si>
    <t>PP1P141002</t>
  </si>
  <si>
    <t>Cooler pump SR.No. 12050368 (Oil Cooler Pump with Motor)</t>
  </si>
  <si>
    <t>MM0M015003</t>
  </si>
  <si>
    <t>Time delay relay for out of step (EAPL)</t>
  </si>
  <si>
    <t>MM0M019031</t>
  </si>
  <si>
    <t>Control relay for cooler control supply (schneider) 6A, 415V, coil- 240V AC (MNO- CAD32M7)</t>
  </si>
  <si>
    <t>JJ2J201010</t>
  </si>
  <si>
    <t>JJ7J704028</t>
  </si>
  <si>
    <t>O Ring P-260</t>
  </si>
  <si>
    <t>O Ring P-40</t>
  </si>
  <si>
    <t>O Ring P-12</t>
  </si>
  <si>
    <t>O Ring P-18</t>
  </si>
  <si>
    <t>O Ring P-7</t>
  </si>
  <si>
    <t>O Ring P-170</t>
  </si>
  <si>
    <t>JJ2J201016</t>
  </si>
  <si>
    <t>Gas pressure Switch</t>
  </si>
  <si>
    <t>PP1P122001</t>
  </si>
  <si>
    <t>Gas pressure gauge - 1No. (Coupling Device  N/R)</t>
  </si>
  <si>
    <t>Gas pressure gauge (Coupling Device  N/R)</t>
  </si>
  <si>
    <t>Pressure Gauge &amp; coupling device for each type(Gas pressure Gauge- 2 No. )</t>
  </si>
  <si>
    <t>Pressure Gauge &amp; coupling device for each type(Gas pressure Gauge- 2No. )</t>
  </si>
  <si>
    <t>Moving Arc Contact</t>
  </si>
  <si>
    <t>Stationery Contact</t>
  </si>
  <si>
    <t>JJ7J710022</t>
  </si>
  <si>
    <t>Stationery Arc Contact</t>
  </si>
  <si>
    <t>JJ2J201011</t>
  </si>
  <si>
    <t>Moving Contact</t>
  </si>
  <si>
    <t>JJ7J710013</t>
  </si>
  <si>
    <t>Nozzle</t>
  </si>
  <si>
    <t>JJ7J710003</t>
  </si>
  <si>
    <t>Joint M</t>
  </si>
  <si>
    <t>JJ7J710011</t>
  </si>
  <si>
    <t>Copper T</t>
  </si>
  <si>
    <t>JJ7J710004</t>
  </si>
  <si>
    <t>Joint F</t>
  </si>
  <si>
    <t>JJ7J710002</t>
  </si>
  <si>
    <t>Dilo Coupling -Male</t>
  </si>
  <si>
    <t>JJ7J710001</t>
  </si>
  <si>
    <t>Dilo Coupling -FeMale</t>
  </si>
  <si>
    <t>JJ7J710030</t>
  </si>
  <si>
    <t>End Connector 1 No.</t>
  </si>
  <si>
    <t>JJ7J710012</t>
  </si>
  <si>
    <t>Control valve (Dilo valve  1 No.)</t>
  </si>
  <si>
    <t>JJ7J710007</t>
  </si>
  <si>
    <t xml:space="preserve">Opening latch gear </t>
  </si>
  <si>
    <t xml:space="preserve">Opening Latch gear </t>
  </si>
  <si>
    <t>JJ7J710008</t>
  </si>
  <si>
    <t xml:space="preserve">Closing Latch gear </t>
  </si>
  <si>
    <t>JJ2J201020</t>
  </si>
  <si>
    <t>JJ7J710006</t>
  </si>
  <si>
    <t xml:space="preserve">Closing dashpot </t>
  </si>
  <si>
    <t>JJ7J710005</t>
  </si>
  <si>
    <t xml:space="preserve">Opening dashpot </t>
  </si>
  <si>
    <t>SS0S002001</t>
  </si>
  <si>
    <t xml:space="preserve">One complete pole of Isolator including support insulator with 1 E/S with operating mechanism for main isolator and earth switch (excluding structure) </t>
  </si>
  <si>
    <t>II4I406004</t>
  </si>
  <si>
    <t xml:space="preserve">Corona shielding ring of each type </t>
  </si>
  <si>
    <t>SS2S201006</t>
  </si>
  <si>
    <t xml:space="preserve">Support Insulator </t>
  </si>
  <si>
    <t>VV6V507002</t>
  </si>
  <si>
    <t xml:space="preserve">245 kV, 4400 pf, CVT complete in all respects including terminal connectors and support stool for erecting on standard support structure. </t>
  </si>
  <si>
    <t>KK0K002001</t>
  </si>
  <si>
    <t>216 kV Surge arrester  with insulating base (without surge monitor and terminal connectors )</t>
  </si>
  <si>
    <t xml:space="preserve">Interlocking coils with resistor </t>
  </si>
  <si>
    <t>NN4N408005</t>
  </si>
  <si>
    <t xml:space="preserve">Control switch for isolator </t>
  </si>
  <si>
    <t>Nitrogen Cylinder (68 Ltrs Water capacity)</t>
  </si>
  <si>
    <t>CC0C001008</t>
  </si>
  <si>
    <t>Fire Survival Cable sufficient for 1 System</t>
  </si>
  <si>
    <t>PNRV</t>
  </si>
  <si>
    <t>Solenoid Coil Fuel shut off Valve</t>
  </si>
  <si>
    <t>245 kV Bus Post Insulators (without corona ring) with creepage distance of 6125 mm.</t>
  </si>
  <si>
    <t>II5I508002</t>
  </si>
  <si>
    <t>245 kV Double tension string assembly of Disc insulator (120KN) with total creepage distance of 6125mm with all hardware accessories including arcing horn suitable for tension clamp set and Twin Moose ACSR with 250mm sub conductor spacing with turn Buckle .</t>
  </si>
  <si>
    <t>II3I301003</t>
  </si>
  <si>
    <t>MS compression Joint for ACSR Zebra</t>
  </si>
  <si>
    <t>II3I301002</t>
  </si>
  <si>
    <t>MS compression Joint for ACSR Deer</t>
  </si>
  <si>
    <t>MM0M003003</t>
  </si>
  <si>
    <t>Bay control unit F-650 GE Make</t>
  </si>
  <si>
    <t>Back UP For Protection Relay With O/C and E/F Element Type- F650</t>
  </si>
  <si>
    <t>VV2V206001</t>
  </si>
  <si>
    <t>Oil Tempecture Meter</t>
  </si>
  <si>
    <t>VV6V602002</t>
  </si>
  <si>
    <t>245KV, 4400pf, CVT Complete in all respect including terminal connectors and support stool for erecting on standard support structure (Not working due to seepage)</t>
  </si>
  <si>
    <t>VV0V002001</t>
  </si>
  <si>
    <t>160 MVA T/F HV Bushing (old &amp; used) With Copper Bushing Rod</t>
  </si>
  <si>
    <t>160 MVA T/F HV Bushing (old &amp; used &amp; repairable / Damage) With Copper Bushing Rod</t>
  </si>
  <si>
    <t>160 MVA T/F LV Bushing (old &amp; used) With Copper Bushing Rod</t>
  </si>
  <si>
    <t>VV1V101012</t>
  </si>
  <si>
    <t>Neutral Bushing with Metal part</t>
  </si>
  <si>
    <t>VV1V102003</t>
  </si>
  <si>
    <t>Tertiary bushing With Metal Part</t>
  </si>
  <si>
    <t>DGA Analyzer system (old &amp; used)</t>
  </si>
  <si>
    <t>NN2N201002</t>
  </si>
  <si>
    <t>PLCC Carrier Equipment For Speech and Data Panel with LMU (Old &amp; Used)</t>
  </si>
  <si>
    <t>PLCC Carrier Equipment For Speech and Protection Panel with LMU (Old &amp; Used)</t>
  </si>
  <si>
    <t>VV3V302001</t>
  </si>
  <si>
    <t>245kV CT (1600/800/1) Accuracy class 0.2s, core 5 core (4prot, &amp;1metering ) without oil</t>
  </si>
  <si>
    <t xml:space="preserve">245 kV CT (1600/800/1) Accuracy Class 0.2s, Core -5Core </t>
  </si>
  <si>
    <t>VV5V406002</t>
  </si>
  <si>
    <t>220 Kv CT junction Box</t>
  </si>
  <si>
    <t>N0</t>
  </si>
  <si>
    <t>SS2S201002</t>
  </si>
  <si>
    <t>220 Kv 1600 Amp. Isolator Moving blade</t>
  </si>
  <si>
    <t>SS2S201003</t>
  </si>
  <si>
    <t>220 Kv 1600 Amp. Isolator Fixed Contact assembly Without earth switch</t>
  </si>
  <si>
    <t>220Kv 1600 amp.Isolator Fixed Contact assembly with earth switch</t>
  </si>
  <si>
    <t>SS3S301010</t>
  </si>
  <si>
    <t>132KV 1250 Amp Isolator Fixed Contact assembly with earth switch</t>
  </si>
  <si>
    <t>Kg</t>
  </si>
  <si>
    <t>ACSR Deer Conductor (Old &amp; Used)</t>
  </si>
  <si>
    <t>KK0K006001</t>
  </si>
  <si>
    <t>Surge monitor and Terminal connectors (Old&amp;Use)</t>
  </si>
  <si>
    <t>Total</t>
  </si>
  <si>
    <t>AA0A002004</t>
  </si>
  <si>
    <t>II2I202001</t>
  </si>
  <si>
    <t>II2I203001</t>
  </si>
  <si>
    <t>II3I302002</t>
  </si>
  <si>
    <t>II3I301008</t>
  </si>
  <si>
    <t>II3I301009</t>
  </si>
  <si>
    <t>Km</t>
  </si>
  <si>
    <t>1</t>
  </si>
  <si>
    <t>FF0F042003</t>
  </si>
  <si>
    <t>Galvanized Template of B type  Tower</t>
  </si>
  <si>
    <t>_</t>
  </si>
  <si>
    <t>2</t>
  </si>
  <si>
    <t>FF0F042005</t>
  </si>
  <si>
    <t>Galvanized Template of C type  Tower</t>
  </si>
  <si>
    <t>3</t>
  </si>
  <si>
    <t>NA</t>
  </si>
  <si>
    <t>Pilot H/W fitting  for ACSR  Zebra conductor suitable for 90 KN disc insulator</t>
  </si>
  <si>
    <t>Sets</t>
  </si>
  <si>
    <t>4</t>
  </si>
  <si>
    <t>II3I303003</t>
  </si>
  <si>
    <t>Vibration damper for ACSR Zebra conductor</t>
  </si>
  <si>
    <t>5</t>
  </si>
  <si>
    <t xml:space="preserve">Mid span compression joint for  ACSR Zebra conductor </t>
  </si>
  <si>
    <t>6</t>
  </si>
  <si>
    <t>II3I302003</t>
  </si>
  <si>
    <t>Repair sleeve for  Zebra conductor</t>
  </si>
  <si>
    <t>7</t>
  </si>
  <si>
    <t>Repair sleeve for  Zebra conductor (Old )</t>
  </si>
  <si>
    <t>8</t>
  </si>
  <si>
    <t>Rigid Spacer for Twin ACSR  Zebra conductor</t>
  </si>
  <si>
    <t>9</t>
  </si>
  <si>
    <t>II0I001001</t>
  </si>
  <si>
    <t>Disc Insulator 160KN</t>
  </si>
  <si>
    <t>10</t>
  </si>
  <si>
    <t>II0I001006</t>
  </si>
  <si>
    <t>Disc Insulator  90KN</t>
  </si>
  <si>
    <t>11</t>
  </si>
  <si>
    <t>Disc Insulator 90 KN ( Old &amp; Used)</t>
  </si>
  <si>
    <t>12</t>
  </si>
  <si>
    <t>ACSR Zebra Conductor (cut in different pieces )</t>
  </si>
  <si>
    <t>13</t>
  </si>
  <si>
    <t>220 KV suspension fitting for Deer Conductor (Old &amp; Used)</t>
  </si>
  <si>
    <t>14</t>
  </si>
  <si>
    <t xml:space="preserve">Mid span joint for Deer conductor </t>
  </si>
  <si>
    <t>15</t>
  </si>
  <si>
    <t>Repair sleeve for ACSR Deer conductor</t>
  </si>
  <si>
    <t>16</t>
  </si>
  <si>
    <t>Single tension fitting  for  Zebra conductor(Old &amp;Used)</t>
  </si>
  <si>
    <t>17</t>
  </si>
  <si>
    <t>Double tension fitting  for  Zebra conductor (Old &amp; used)</t>
  </si>
  <si>
    <t>18</t>
  </si>
  <si>
    <t>Single tension fitting  for  Zebra conductor without Dead End</t>
  </si>
  <si>
    <t>19</t>
  </si>
  <si>
    <t xml:space="preserve">Hot dip galvanized templates, including Bolts, Nuts and washers for above structure as per BOM </t>
  </si>
  <si>
    <t>20</t>
  </si>
  <si>
    <t>Mid span compression joint for Earth wire 7/9 SWG</t>
  </si>
  <si>
    <t>21</t>
  </si>
  <si>
    <t>22</t>
  </si>
  <si>
    <t>Disc Insulators (Dismentled &amp; Old &amp; Used)</t>
  </si>
  <si>
    <t>23</t>
  </si>
  <si>
    <t>Disc Insulator (Dismantled &amp; Old &amp; Used)</t>
  </si>
  <si>
    <t>24</t>
  </si>
  <si>
    <t>Pilot Fitting (90 KN)</t>
  </si>
  <si>
    <t>25</t>
  </si>
  <si>
    <t>Single Suspension Fitting for ACSR Deer(Dismantled &amp; Old &amp; Used &amp; Incomplete)</t>
  </si>
  <si>
    <t>26</t>
  </si>
  <si>
    <t>II5I501004</t>
  </si>
  <si>
    <t xml:space="preserve">Single tension fitting suitable for ACSR Zebra conductor </t>
  </si>
  <si>
    <t>27</t>
  </si>
  <si>
    <t>II3I303008</t>
  </si>
  <si>
    <t>Vibration damper for earth wire 7/9 SWG</t>
  </si>
  <si>
    <t>28</t>
  </si>
  <si>
    <t>Vibration damper for Deer Conductor (Dismantled &amp; Old &amp; Used)</t>
  </si>
  <si>
    <t>29</t>
  </si>
  <si>
    <t>30</t>
  </si>
  <si>
    <t>31</t>
  </si>
  <si>
    <t>Armor Rod for Deer Conductor (Dismantled &amp; Old &amp; Used)</t>
  </si>
  <si>
    <t>32</t>
  </si>
  <si>
    <t>33</t>
  </si>
  <si>
    <t>II0I001007</t>
  </si>
  <si>
    <t>Disc Insulator - 70KN (B&amp;S)</t>
  </si>
  <si>
    <t>34</t>
  </si>
  <si>
    <t>II2I203002</t>
  </si>
  <si>
    <t xml:space="preserve"> Suspension clamp for 7/10 SWG Earth Wire</t>
  </si>
  <si>
    <t>35</t>
  </si>
  <si>
    <t>Suspension clamp for 7/9 SWG Earth Wire</t>
  </si>
  <si>
    <t>36</t>
  </si>
  <si>
    <t>Tension clamp for 7/9 SWG Earth Wire</t>
  </si>
  <si>
    <t>37</t>
  </si>
  <si>
    <t>II3I301004</t>
  </si>
  <si>
    <t xml:space="preserve">Mid Span Compression Joint </t>
  </si>
  <si>
    <t>38</t>
  </si>
  <si>
    <t>Mid Span Compression Joint for 7/10 SWG Earth Wire</t>
  </si>
  <si>
    <t>39</t>
  </si>
  <si>
    <t>II3I302008</t>
  </si>
  <si>
    <t>Repair Sleeve  for 7/9 SWG Earth Wire</t>
  </si>
  <si>
    <t>40</t>
  </si>
  <si>
    <t>II3I302009</t>
  </si>
  <si>
    <t>Repair Sleeve  for 7/10 SWG Earth Wire</t>
  </si>
  <si>
    <t>41</t>
  </si>
  <si>
    <t>II3I302004</t>
  </si>
  <si>
    <t>Repair Sleeve for ACSR Panther Conductor</t>
  </si>
  <si>
    <t>42</t>
  </si>
  <si>
    <t>II3I305004</t>
  </si>
  <si>
    <t>Armour Rod for ACSR Panther Conductor</t>
  </si>
  <si>
    <t>43</t>
  </si>
  <si>
    <t>PP0P001012</t>
  </si>
  <si>
    <t>Come along clamp for 7/9 SWG Earth Wire</t>
  </si>
  <si>
    <t>44</t>
  </si>
  <si>
    <t>PP0P001013</t>
  </si>
  <si>
    <t>Come along clamp for 7/10 SWG Earth Wire</t>
  </si>
  <si>
    <t>45</t>
  </si>
  <si>
    <t>II5I501005</t>
  </si>
  <si>
    <t>Single tension fitting  for  Panther conductor</t>
  </si>
  <si>
    <t>46</t>
  </si>
  <si>
    <t>PP0P008011</t>
  </si>
  <si>
    <t>Bull Dog Grip for Earth wire</t>
  </si>
  <si>
    <t>47</t>
  </si>
  <si>
    <t>II5I505005</t>
  </si>
  <si>
    <t>Double Suspension Fitting for Panther</t>
  </si>
  <si>
    <t>48</t>
  </si>
  <si>
    <t>Flexible Copper Bond for G.S. Earth wire 7/9 SWG</t>
  </si>
  <si>
    <t>FF1F101019</t>
  </si>
  <si>
    <t>16mm Daimeter Galvanized HRH Nut &amp; Bolt 60 mm Long</t>
  </si>
  <si>
    <t>FF1F101024</t>
  </si>
  <si>
    <t>G.I Nut &amp; Bolt 16x40mm</t>
  </si>
  <si>
    <t>Galvanised/MS Scrap of Tower Parts</t>
  </si>
  <si>
    <t xml:space="preserve">Galvanized Template of A type tower excluding Bolts, Nuts &amp; washers etc. (Incomplete)
</t>
  </si>
  <si>
    <t>Galvanized Template of B type tower excluding Bolts, Nuts &amp; washers etc. (Incomplete)</t>
  </si>
  <si>
    <t>Galvanized Template of C type tower excluding Bolts, Nuts &amp; washers etc. (Incomplete)</t>
  </si>
  <si>
    <t>Double Tension Fitting for Twin ACSR Zebra Conductor Suitable for 160 KN Disc Insulator</t>
  </si>
  <si>
    <t>Vibration Damper for Zebra Conductor</t>
  </si>
  <si>
    <t>II3I303009</t>
  </si>
  <si>
    <t>Vibration Damper for GS Earthwire 7/10 SWG</t>
  </si>
  <si>
    <t>Mid Span Compression Joint for Zebra Conductor</t>
  </si>
  <si>
    <t>Repair Sleeve for Zebra Conductor</t>
  </si>
  <si>
    <t>Disc Insulator 160 KN</t>
  </si>
  <si>
    <t>Disc Insulator 90 KN</t>
  </si>
  <si>
    <t>II4I404008</t>
  </si>
  <si>
    <t>Bundle Spacer for ACSR Twin Zebra Conductor</t>
  </si>
  <si>
    <t>AA1A101002</t>
  </si>
  <si>
    <t xml:space="preserve">GS Earth wire 7/10 SWG </t>
  </si>
  <si>
    <t>Suspension Fitting for GS Earth wire 7/10 SWG</t>
  </si>
  <si>
    <t xml:space="preserve">Double Tension Fitting without Dead End for twin Zebra Conductor Suitable for 160 KN Disc Insulator (Dismantled &amp; Incomplete)   </t>
  </si>
  <si>
    <t>Pilot Fitting (90 KN) Dismantled &amp; incomplete)</t>
  </si>
  <si>
    <t>Single tension fitting for Single Zebra Conductor</t>
  </si>
  <si>
    <t>FF1F101013</t>
  </si>
  <si>
    <t>G.I Nuts &amp; Bolts Size M 16x80mm</t>
  </si>
  <si>
    <t>G.I Nuts &amp; Bolts Size M 16 Different Size</t>
  </si>
  <si>
    <t>Galvanised Tower Parts of Tower</t>
  </si>
  <si>
    <t>II0I006001</t>
  </si>
  <si>
    <t>PG Clamp for ACSR Panther to Panther Conductor</t>
  </si>
  <si>
    <t>GS Earthwire 7/3.66mm or 7/9 SWG</t>
  </si>
  <si>
    <t>90 KN Polymer Disc Insulator for Suspension fitting</t>
  </si>
  <si>
    <t>Double Suspension fitting (90KN) suitable for polymer disc for Single ACSR Zebra conductor</t>
  </si>
  <si>
    <t>Single  Suspension fitting (90KN) suitable for polymer disc for Single ACSR Zebra conductor</t>
  </si>
  <si>
    <t xml:space="preserve">Suspension fitting for 7/9 Swg G.S. Earth wire </t>
  </si>
  <si>
    <t>II5I504003</t>
  </si>
  <si>
    <t>Single  Suspension fitting (90KN) suitable for Single ACSR  Deer conductor</t>
  </si>
  <si>
    <t>Vibration Damper for ACSR  Zebra Conductor</t>
  </si>
  <si>
    <t>Deer Conductor in pieces(Old,used &amp; Dismantled with Dead End Fitting)</t>
  </si>
  <si>
    <t>II01005001</t>
  </si>
  <si>
    <t>PG Clamp for ACSR Zebra Conductor</t>
  </si>
  <si>
    <t>ACSR Panther Conductor</t>
  </si>
  <si>
    <t>II0I005001</t>
  </si>
  <si>
    <t xml:space="preserve">PG Clamp for Zebra to Zebra Conductor </t>
  </si>
  <si>
    <t>II0I004004</t>
  </si>
  <si>
    <t xml:space="preserve">PG Clamp for Deer to Zebra Conductor </t>
  </si>
  <si>
    <t>II0I004003</t>
  </si>
  <si>
    <t xml:space="preserve">PG Clamp for Deer to Deer Conductor </t>
  </si>
  <si>
    <t>Repair Sleeve for  Panther Conductor</t>
  </si>
  <si>
    <t xml:space="preserve">Armor rod for Panther conductor </t>
  </si>
  <si>
    <t>II51501005</t>
  </si>
  <si>
    <t>Single tension fitting (120 KN) for Panther conductor</t>
  </si>
  <si>
    <t>II51504005</t>
  </si>
  <si>
    <t>Single Suspension  fitting (70 KN) for Panther conductor</t>
  </si>
  <si>
    <t>II51502005</t>
  </si>
  <si>
    <t>Double tension fitting (120 KN) for Single Panther conductor</t>
  </si>
  <si>
    <t>II51505005</t>
  </si>
  <si>
    <t>Double Suspension  fitting (70 KN) for Panther conductor</t>
  </si>
  <si>
    <t>Mid Span Joint for Panther Conductor</t>
  </si>
  <si>
    <t>II3I303004</t>
  </si>
  <si>
    <t xml:space="preserve">Vibration Damper for Panther Conductor </t>
  </si>
  <si>
    <t>II0I001003</t>
  </si>
  <si>
    <t>120 KN Standard Disc Insulator</t>
  </si>
  <si>
    <t>70 KN Standard Disc Insulator</t>
  </si>
  <si>
    <t>II5I501010</t>
  </si>
  <si>
    <t xml:space="preserve">Tension fitting for 7/10 SWG GS Earthwire </t>
  </si>
  <si>
    <t>Single Suspension fitting  for Single ACSR Deer conductor</t>
  </si>
  <si>
    <t>II5I505003</t>
  </si>
  <si>
    <t>Double Suspension fitting (90 KN) for Single ACSR Deer conductor</t>
  </si>
  <si>
    <t>Single Tension Fitting(160 KN) for ACSR Single Zebra Conductor</t>
  </si>
  <si>
    <t>II5I504004</t>
  </si>
  <si>
    <t>Single Suspension Fitting(90KN) for ACSR Single Zebra Conductor</t>
  </si>
  <si>
    <t>Danger Boards Retro Reflective Sheet 900mmx600mm</t>
  </si>
  <si>
    <t xml:space="preserve">Galvanized C type tower including Body extension-AP35 (SPL). (Dismantled material without BOQ)
</t>
  </si>
  <si>
    <t xml:space="preserve">Galvanized C type tower including Body extension-AP36 (TC+9). (Dismantled material without BOQ)
</t>
  </si>
  <si>
    <t xml:space="preserve">Galvanized C type tower including Body extension &amp; leg extension AP37 &amp; AP36 (TC+9). (Body Extension &amp; Leg Extension only) (Dismantled material without BOQ)
</t>
  </si>
  <si>
    <t>ACSR Zebra Conductor ( Used &amp; Dismantled)</t>
  </si>
  <si>
    <t>Kms</t>
  </si>
  <si>
    <t>GS Earthwire 7/10 SWG (Used &amp; Dismantled)</t>
  </si>
  <si>
    <t>Double Tension Fitting for Twin ACSR Zebra Conductor Suitable for 160 KN Disc Insulator (Dismantled &amp; Incomplete)</t>
  </si>
  <si>
    <t>Tension Fitting for GS Earthwire 7/10 SWG (Dismantled)</t>
  </si>
  <si>
    <t>Vibration Damper for Zebra Conductor (Dismantled)</t>
  </si>
  <si>
    <t>Vibration Damper for GS Earthwire 7/10 SWG (Dismantled)</t>
  </si>
  <si>
    <t>Flexible Copper Bond (Dismantled)</t>
  </si>
  <si>
    <t>Disc Insulator 160 KN (Dismantled)</t>
  </si>
  <si>
    <t>Disc Insulator 90 KN (Dismantled)</t>
  </si>
  <si>
    <t>Pilot fitting Suitable for Twin ACSR Zebra Conductor (Dismantled)</t>
  </si>
  <si>
    <t>Bundle Spacer for ACSR Twin Zebra Conductor (Dismantled)</t>
  </si>
  <si>
    <t>2500 amp Fixed Contact assembly with earth switch</t>
  </si>
  <si>
    <t>TT1T101029</t>
  </si>
  <si>
    <t xml:space="preserve">Log sheet </t>
  </si>
  <si>
    <t>BCU O&amp;Used</t>
  </si>
  <si>
    <t>Miscellaneous E-waste GPS Clock O&amp;Used damage</t>
  </si>
  <si>
    <t>Miscellaneous Metal Scrap MS Panel O&amp;Used</t>
  </si>
  <si>
    <t>132kV Substation, Purkul</t>
  </si>
  <si>
    <t>ACSR Panther Conductor (bit)</t>
  </si>
  <si>
    <t>Mtr</t>
  </si>
  <si>
    <t>W pin (For 165 KN Disc Insulator)</t>
  </si>
  <si>
    <t xml:space="preserve">Bushing rod </t>
  </si>
  <si>
    <t>VV2V204007</t>
  </si>
  <si>
    <t>Empty Drum (T/F oil 209 ltr capacity)(42 No 2020)</t>
  </si>
  <si>
    <t>II5I501003</t>
  </si>
  <si>
    <t>Tension fitting for Deer conductor with out aluminium portion</t>
  </si>
  <si>
    <t>Bolted type Tension clamp for E/w 7/9 SWG</t>
  </si>
  <si>
    <t>Bolted type Suspension clamp for E/w 7/9 SWG</t>
  </si>
  <si>
    <t>Compression repair sleeve for Deer conductor</t>
  </si>
  <si>
    <t>MM3M307001</t>
  </si>
  <si>
    <t xml:space="preserve">Electronic TVM </t>
  </si>
  <si>
    <t>PP0P010003</t>
  </si>
  <si>
    <t xml:space="preserve">Turn Buckle </t>
  </si>
  <si>
    <t xml:space="preserve">Channel for Turn Buckle </t>
  </si>
  <si>
    <t>CC3C315021</t>
  </si>
  <si>
    <t>Earthing lugs</t>
  </si>
  <si>
    <t>PP0P016004</t>
  </si>
  <si>
    <t xml:space="preserve">Steel wire rope 12 mm </t>
  </si>
  <si>
    <t xml:space="preserve">145KV CT 800-400/1 5 core </t>
  </si>
  <si>
    <t>CC2C201001</t>
  </si>
  <si>
    <t>km</t>
  </si>
  <si>
    <t>VV3V303004</t>
  </si>
  <si>
    <t>132 KV CT 400-200-100/1A Damaged</t>
  </si>
  <si>
    <t>MM2M204007</t>
  </si>
  <si>
    <t>Digital MW meter PTR110V/132 KVA</t>
  </si>
  <si>
    <t xml:space="preserve">ACSR Deer Conductor O&amp;U </t>
  </si>
  <si>
    <t>II4I401001</t>
  </si>
  <si>
    <t>D Shackle screw Pin Bow</t>
  </si>
  <si>
    <t>Contactor with 2NO+2NC Auxi 240VAC 45A, 440VAC 15A</t>
  </si>
  <si>
    <t>Contactor with 4NO+4NC Auxi 240VAC 45A, 440VAC 15A</t>
  </si>
  <si>
    <t>FF1F101069</t>
  </si>
  <si>
    <t>GI Bolt &amp; Nut</t>
  </si>
  <si>
    <t>kg</t>
  </si>
  <si>
    <t>132 KV LA Damaged/Defective</t>
  </si>
  <si>
    <t xml:space="preserve">C.T Junction Box </t>
  </si>
  <si>
    <t>VV6V601004</t>
  </si>
  <si>
    <t xml:space="preserve">P.T Junction Box </t>
  </si>
  <si>
    <t>Earth Wire Mid Span Joint for 7/9 SWG E/W</t>
  </si>
  <si>
    <t>Earth Wire Mid Span Joint for 7/10 SWG E/W</t>
  </si>
  <si>
    <t>SS3S301001</t>
  </si>
  <si>
    <t>132 KV HIVELM Isolator Jaw</t>
  </si>
  <si>
    <t>132 KV WIGMEN Isolator Jaw</t>
  </si>
  <si>
    <t>132 KV WIGMEN Isolator male contact</t>
  </si>
  <si>
    <t>Resistance 4.0 KΩ 35 W</t>
  </si>
  <si>
    <t>Resistance 1.5 KΩ 35 W</t>
  </si>
  <si>
    <t>PP0P016006</t>
  </si>
  <si>
    <t>Steel rope 8 mm</t>
  </si>
  <si>
    <t>m</t>
  </si>
  <si>
    <t>II4I401002</t>
  </si>
  <si>
    <t>D Shacle screw pin D</t>
  </si>
  <si>
    <t>Mid span joint compression 7/9SWG</t>
  </si>
  <si>
    <t>Mid span joint compression 7/10SWG</t>
  </si>
  <si>
    <t>II3I306004</t>
  </si>
  <si>
    <t>A.I Jumper Cone for Panther</t>
  </si>
  <si>
    <t>JJ0J005010</t>
  </si>
  <si>
    <t xml:space="preserve">33KV ABB make VCB old and used  replaced under P.S.D.F scheme </t>
  </si>
  <si>
    <t>N type fuse casing 415V 32A</t>
  </si>
  <si>
    <t>H type fuse casing 415V 63A</t>
  </si>
  <si>
    <t xml:space="preserve"> Metering Cubical with 300/5A C.T</t>
  </si>
  <si>
    <t>VV6V507004</t>
  </si>
  <si>
    <t>16Amp Single pole DC MCB</t>
  </si>
  <si>
    <t>O/C &amp; Earth Fault relay JVS Make (old &amp; used)</t>
  </si>
  <si>
    <t>MM0M008004</t>
  </si>
  <si>
    <t>Under Voltage relay JVS Make (old &amp; used)</t>
  </si>
  <si>
    <t>MM0M008001</t>
  </si>
  <si>
    <t>Over Voltage Relay JVS Make (old &amp; used)</t>
  </si>
  <si>
    <t>SS0S003001</t>
  </si>
  <si>
    <t>132KV central Breaker Isolator (old ,Used &amp; Dismental)</t>
  </si>
  <si>
    <t>132KV C.T old and used</t>
  </si>
  <si>
    <t>50mm dia. Isolator clamp panther conducter</t>
  </si>
  <si>
    <t>VV6V505002</t>
  </si>
  <si>
    <t>33KV P.T (new) Jhajhra</t>
  </si>
  <si>
    <t>600volt 20Amp 6mm flat head terminal</t>
  </si>
  <si>
    <t>600volt 20Amp 6mm Cylinderical head terminal</t>
  </si>
  <si>
    <t xml:space="preserve"> LA Defective//Uncomplete/Damage</t>
  </si>
  <si>
    <t>33KV C.T  Defective/Damage (16No2020)1No 2023</t>
  </si>
  <si>
    <t>Fuse wire 6Amp</t>
  </si>
  <si>
    <t>ACB of  ABB make 800Amp</t>
  </si>
  <si>
    <t>33KV C.T 800/400/1(old &amp; Used)</t>
  </si>
  <si>
    <t>CC0C001009</t>
  </si>
  <si>
    <t>10X2.5Sqmm Control Cable</t>
  </si>
  <si>
    <t xml:space="preserve">132KV C.T 400/200/100/1Defective Recived Back from plant </t>
  </si>
  <si>
    <t>SS4S402013</t>
  </si>
  <si>
    <t>Isolator Blade</t>
  </si>
  <si>
    <t>YY1Y102002</t>
  </si>
  <si>
    <t>110Volt Battery Charger</t>
  </si>
  <si>
    <t>CC0C002011</t>
  </si>
  <si>
    <t>4Core old &amp; Used in bit Control cable (without armoured Wire)</t>
  </si>
  <si>
    <t>CC0C002010</t>
  </si>
  <si>
    <t>6Core old &amp; Used in bit Control cable (without armoured Wire)</t>
  </si>
  <si>
    <t>CC0C002008</t>
  </si>
  <si>
    <t>10Core old &amp; Used in bit Control cable (without armoured Wire)</t>
  </si>
  <si>
    <t>145KV C.T 400/ 200/100/1 Damage</t>
  </si>
  <si>
    <t>AA0A002001</t>
  </si>
  <si>
    <t>Moose Conducter</t>
  </si>
  <si>
    <t>33KV L.A Damage/Old&amp; Used</t>
  </si>
  <si>
    <t>FF2F201005</t>
  </si>
  <si>
    <t>MS Round 32mm Dia</t>
  </si>
  <si>
    <t>33KV C.T 400/200/1 old and use (Recived from Spare(Future  Bay)</t>
  </si>
  <si>
    <t>SS5S501017</t>
  </si>
  <si>
    <t>Panther conducter Isolator  clamp old and used</t>
  </si>
  <si>
    <t>II0I004005</t>
  </si>
  <si>
    <t>Panther to Deer conducter P.G clamp old and used</t>
  </si>
  <si>
    <t>Deer to Deer conducter P.G clamp old and used</t>
  </si>
  <si>
    <t>II2I2I0002</t>
  </si>
  <si>
    <t>Aluminium Alloy Double Groove  Moose Conducter Isolator Clamp</t>
  </si>
  <si>
    <t>SS4S402001</t>
  </si>
  <si>
    <t xml:space="preserve">33KV Isolator Jaw </t>
  </si>
  <si>
    <t>33KV L.A Old &amp; Used</t>
  </si>
  <si>
    <t>75X12mm MS Flat</t>
  </si>
  <si>
    <t>132KV Sure Arrester old and used</t>
  </si>
  <si>
    <t>132KV C.T old and used (TelK Scrap)</t>
  </si>
  <si>
    <t xml:space="preserve">33KV C.T old and used </t>
  </si>
  <si>
    <t>33KV L.A Old &amp; Used ( Scrap)</t>
  </si>
  <si>
    <t>ACSR Panther Conducter Old &amp; Used</t>
  </si>
  <si>
    <t>VV5V407013</t>
  </si>
  <si>
    <t>Aluminium Alloy Double Groove C.T Moose Conducter Clamp</t>
  </si>
  <si>
    <t>Transformer Cooling Fan Old &amp; used &amp; damage</t>
  </si>
  <si>
    <t>132KV C.T Old and used Recived Back From Plant</t>
  </si>
  <si>
    <t>132KV L.A Old &amp; Used</t>
  </si>
  <si>
    <t>Buchholz Relay 110Volt D.C Old And Used Recived from Plant</t>
  </si>
  <si>
    <t>O.S.R Relay 110Volt D.C Old And Used Recived from Plant</t>
  </si>
  <si>
    <t>MM0M007005</t>
  </si>
  <si>
    <t>P.R.V Relay 110Volt D.C Old And Used Recived from Plant</t>
  </si>
  <si>
    <t>VV2V204005</t>
  </si>
  <si>
    <t>Oil Sample bottle Stainless Steel</t>
  </si>
  <si>
    <t xml:space="preserve">33KV C.T 800/400/1 old and use </t>
  </si>
  <si>
    <t xml:space="preserve">33KV C.T 400/200/1 old and use </t>
  </si>
  <si>
    <t>VV1V101034</t>
  </si>
  <si>
    <t xml:space="preserve">145KV Transformer Bushing "HT side Alstom Make </t>
  </si>
  <si>
    <t>FF0F050026</t>
  </si>
  <si>
    <t>Post Insulator Structure (recived Back from Plant)</t>
  </si>
  <si>
    <t>PG Clamp Panther to Panther Conducter Old &amp; Used</t>
  </si>
  <si>
    <t>VV1V101037</t>
  </si>
  <si>
    <t>132KV Transformer H.V Bushing</t>
  </si>
  <si>
    <t>33KV, 10K.A,Class-III with Surge Counter</t>
  </si>
  <si>
    <t>145KV 800A 100CT Transformer Bushing DL</t>
  </si>
  <si>
    <t>VV1V101035</t>
  </si>
  <si>
    <t>72.5KV 1250A 300CT Transformer Bushing DR</t>
  </si>
  <si>
    <t>Distance Protection relay ABB Make Old &amp; Used</t>
  </si>
  <si>
    <t>VV5V407022</t>
  </si>
  <si>
    <t>Aluminium Alloy C.T clamp 18mm with Twin Panther Grip</t>
  </si>
  <si>
    <t>Aluminium Alloy C.T clamp 28mm with Twin Moose Grip</t>
  </si>
  <si>
    <t>SS0S005003</t>
  </si>
  <si>
    <t>33KV Bus Isolator (old &amp; Used)</t>
  </si>
  <si>
    <t>33KV Line Isolator (old &amp; Used)</t>
  </si>
  <si>
    <t>33KV C.T (anarwala-I) Scrap (400/200/1)</t>
  </si>
  <si>
    <t>33KV C.T (anarwala-I)(400/1) (old &amp; used)</t>
  </si>
  <si>
    <t>33KV C.T (OPTO)  (400/200/1)(old &amp; used)</t>
  </si>
  <si>
    <t>132KV L.A Defective</t>
  </si>
  <si>
    <t>Tower Parts Old and Used (Dismentalled)</t>
  </si>
  <si>
    <t>ACSR Panther Conductor (Old &amp; Used)</t>
  </si>
  <si>
    <t>Disc Insulators 70 KN Old and Used (Dismentalled)</t>
  </si>
  <si>
    <t xml:space="preserve">Nos </t>
  </si>
  <si>
    <t>Pilot fitting for single ACSR conductor (suitabe for 70 KN disc)</t>
  </si>
  <si>
    <t>Vibration damper for 7/10 SWG Earth Wire</t>
  </si>
  <si>
    <t xml:space="preserve">Mid span joint for panther conductor </t>
  </si>
  <si>
    <t xml:space="preserve">Mid spann joint for panther conductor </t>
  </si>
  <si>
    <t>132KV CVT old &amp; used( Replace under PSDF)</t>
  </si>
  <si>
    <t>Name of Zone</t>
  </si>
  <si>
    <t>Garhwal</t>
  </si>
  <si>
    <t>Name of Circle</t>
  </si>
  <si>
    <t>O&amp;M Circle Dehradun</t>
  </si>
  <si>
    <t>Name of Division</t>
  </si>
  <si>
    <t>Month-</t>
  </si>
  <si>
    <t>220 KV O&amp;M Division, Jhajhra, Dehradun</t>
  </si>
  <si>
    <t xml:space="preserve">2500 Amp.moving Blade with copper profile contacts </t>
  </si>
  <si>
    <t>nos.</t>
  </si>
  <si>
    <t xml:space="preserve">2500 Amp. Fixed contact assembly </t>
  </si>
  <si>
    <t xml:space="preserve"> </t>
  </si>
  <si>
    <r>
      <rPr>
        <sz val="11"/>
        <color indexed="8"/>
        <rFont val="Arial"/>
        <family val="2"/>
      </rPr>
      <t xml:space="preserve">One complete pole of  2500A CB with pole column and interrupter </t>
    </r>
    <r>
      <rPr>
        <sz val="11"/>
        <rFont val="Arial"/>
        <family val="2"/>
      </rPr>
      <t xml:space="preserve"> but without PIR</t>
    </r>
    <r>
      <rPr>
        <sz val="11"/>
        <color indexed="8"/>
        <rFont val="Arial"/>
        <family val="2"/>
      </rPr>
      <t xml:space="preserve"> with MB &amp; operating mechanism and without support structure. </t>
    </r>
  </si>
  <si>
    <r>
      <t xml:space="preserve">Transformer </t>
    </r>
    <r>
      <rPr>
        <b/>
        <sz val="11"/>
        <rFont val="Arial"/>
        <family val="2"/>
      </rPr>
      <t>PT- 6934</t>
    </r>
    <r>
      <rPr>
        <sz val="11"/>
        <rFont val="Arial"/>
        <family val="2"/>
      </rPr>
      <t xml:space="preserve"> (Faulty condition ) With conservator tank, fan, fan Pump, Radiator, Turret CT, PRV </t>
    </r>
  </si>
  <si>
    <t>33KV PT Clamp 1600 amp</t>
  </si>
  <si>
    <t>33KV CT Clamp 1600 amp</t>
  </si>
  <si>
    <t>33KV 1600 amp Isolator Clamp</t>
  </si>
  <si>
    <t xml:space="preserve">Spacer with Dropper 1600 amp </t>
  </si>
  <si>
    <t>90kn polymer insulator for suspension fitting.</t>
  </si>
  <si>
    <t>160 kn Polymer Insulator for Tension Fitting</t>
  </si>
  <si>
    <t>Double Suspension Fitting (90 KN) for Single ACSR Zebra conductor</t>
  </si>
  <si>
    <t>Single Suspension Fitting (90 KN) for Single ACSR Zebra conductor</t>
  </si>
  <si>
    <t xml:space="preserve"> Vibration Damper for  ACSR Zebra conductor</t>
  </si>
  <si>
    <t>Suspension Fitting for 7/9 SWG G.S. Earthwire</t>
  </si>
  <si>
    <t>Tension Fitting for 7/9 SWG G.S. Earthwire</t>
  </si>
  <si>
    <t xml:space="preserve"> Vibration Damper for  7/9 SWG Earth wire</t>
  </si>
  <si>
    <t>Mid Span Compression joint for ACSR Zebra</t>
  </si>
  <si>
    <r>
      <t xml:space="preserve">Tripping coil, 220-240 VDC, 73 </t>
    </r>
    <r>
      <rPr>
        <sz val="11"/>
        <color theme="1"/>
        <rFont val="Arial"/>
        <family val="2"/>
      </rPr>
      <t xml:space="preserve">Ω for 132 KV CGL CB </t>
    </r>
  </si>
  <si>
    <r>
      <t xml:space="preserve">Closing coil, 220-240 VDC, 90 </t>
    </r>
    <r>
      <rPr>
        <sz val="11"/>
        <color theme="1"/>
        <rFont val="Arial"/>
        <family val="2"/>
      </rPr>
      <t xml:space="preserve">Ω for 132 KV CGL CB </t>
    </r>
  </si>
  <si>
    <t>120KV Surge Arrester with Surge counter,Lead</t>
  </si>
  <si>
    <t>VV3V305008</t>
  </si>
  <si>
    <t>33KV Single Phase C.T Ratio 400/200/1A</t>
  </si>
  <si>
    <t>C.T Junction Box with terminal Block</t>
  </si>
  <si>
    <t>VV3V305005</t>
  </si>
  <si>
    <t>33KV 800/400/1A, 0.2S Class C.T</t>
  </si>
  <si>
    <t>33KV  C.T Junction Box</t>
  </si>
  <si>
    <t>132KV Current Transformer 1Ph (1600/800/400(Matering)/1-1-1A)</t>
  </si>
  <si>
    <t>33KV PT Junction Box</t>
  </si>
  <si>
    <t>33KV/110Volt Single Phase Potential Transformer</t>
  </si>
  <si>
    <t>VV3V303003</t>
  </si>
  <si>
    <t>132KV C.T 400/200/100/1A 5Core</t>
  </si>
  <si>
    <t>132kV Substation, Purkul (Line)</t>
  </si>
  <si>
    <t>Net Amount</t>
  </si>
  <si>
    <t>220kV Substation Jhajhra (Line-I)</t>
  </si>
  <si>
    <t>220kV Substation Jhajhra (Line-II)</t>
  </si>
  <si>
    <t>Summary of Inventory(Final Abstract)</t>
  </si>
  <si>
    <t>Name of Circle/Zone</t>
  </si>
  <si>
    <t>Dehradun/Garhwal</t>
  </si>
  <si>
    <t>Jhajhra Div Dehradun</t>
  </si>
  <si>
    <t>Month</t>
  </si>
  <si>
    <t>S.n.</t>
  </si>
  <si>
    <t xml:space="preserve">Description </t>
  </si>
  <si>
    <t>220/33kV Jhajhra,Dehradun</t>
  </si>
  <si>
    <t>132 kV Purkul Substation Dehradun</t>
  </si>
  <si>
    <t xml:space="preserve">Non moving </t>
  </si>
  <si>
    <t xml:space="preserve"> Scrap</t>
  </si>
  <si>
    <t xml:space="preserve"> Grand Total</t>
  </si>
  <si>
    <t>Yamuna Colony Div Dehradun</t>
  </si>
  <si>
    <t>132kV Majra Substation Dehradun</t>
  </si>
  <si>
    <t>132kV Bindal Substation Dehradun</t>
  </si>
  <si>
    <t>Harrawala Div Dehradun</t>
  </si>
  <si>
    <t>220 kV Harrawala Substation Dehradun</t>
  </si>
  <si>
    <t>132kV Substation Laltappar</t>
  </si>
  <si>
    <t>Abstract Dehradun Circle</t>
  </si>
  <si>
    <t>Total Useable</t>
  </si>
  <si>
    <t>Total Unserviceable</t>
  </si>
  <si>
    <t>Total Non moving</t>
  </si>
  <si>
    <t>Total Obselete</t>
  </si>
  <si>
    <t>Total Scrap</t>
  </si>
  <si>
    <t>Grand Total Dehradun Circle</t>
  </si>
  <si>
    <t>220 KV IIP Harrawala dehradun</t>
  </si>
  <si>
    <t>Name of Substation</t>
  </si>
  <si>
    <t>220kV O&amp;M Division IIP Harrawala ,Dehradun</t>
  </si>
  <si>
    <t>S.No</t>
  </si>
  <si>
    <t>Name OF ITEMS</t>
  </si>
  <si>
    <t>Unit in Rates</t>
  </si>
  <si>
    <t>Quantity</t>
  </si>
  <si>
    <t>220/33kV Substation IIP Harrawala Dehradun (S/s)</t>
  </si>
  <si>
    <t>Bridge Snubber Card</t>
  </si>
  <si>
    <t>RFI capacitor</t>
  </si>
  <si>
    <t>Synch. TXR I/P Ress. Card</t>
  </si>
  <si>
    <t>Power supply card</t>
  </si>
  <si>
    <t>Diode card</t>
  </si>
  <si>
    <t>Mains on LED card</t>
  </si>
  <si>
    <t>Floot Boost, DC on LED</t>
  </si>
  <si>
    <t>Window interface card</t>
  </si>
  <si>
    <t>.</t>
  </si>
  <si>
    <t>Temp. Probe card</t>
  </si>
  <si>
    <t>YY2Y201003</t>
  </si>
  <si>
    <t>DC over load relay</t>
  </si>
  <si>
    <t>YY1Y107030</t>
  </si>
  <si>
    <t>Filter capacitor</t>
  </si>
  <si>
    <t xml:space="preserve">SCR SCR Module 106A/1600V </t>
  </si>
  <si>
    <t>YY1Y109037</t>
  </si>
  <si>
    <t>Blocking Diode 150A/800V</t>
  </si>
  <si>
    <t>JJ7J701011</t>
  </si>
  <si>
    <t>Control Switch</t>
  </si>
  <si>
    <t>On/Of Control Switch (Source)</t>
  </si>
  <si>
    <t>YY1Y105007</t>
  </si>
  <si>
    <t>Auto/Manual switch</t>
  </si>
  <si>
    <t>Bleeder</t>
  </si>
  <si>
    <t>SS6S617003</t>
  </si>
  <si>
    <t>Rectifier fuse</t>
  </si>
  <si>
    <t>Glass fuse card</t>
  </si>
  <si>
    <t>Window interfcae card</t>
  </si>
  <si>
    <t>Float boost relay, charger fail relay, trip relay</t>
  </si>
  <si>
    <t>DC Earth fault relay</t>
  </si>
  <si>
    <t>DC Earth fault Ersis.</t>
  </si>
  <si>
    <t>DC ammeter ABD DC voltmeter selector</t>
  </si>
  <si>
    <t>Mode and voltmeter selector</t>
  </si>
  <si>
    <t>YY1Y107033</t>
  </si>
  <si>
    <t>Cable &amp; Connectors used in bay control unit, Master station, HMI, printer server</t>
  </si>
  <si>
    <t>Applicable RAM (DIMM/SIMM card) used in master station, HMI printer server</t>
  </si>
  <si>
    <t>SMPS used for master station, HMI printer server</t>
  </si>
  <si>
    <t>Fan assembly used for master station, HMI printer server</t>
  </si>
  <si>
    <t>Mass storage device i.e. optical drive/ CD writer etc with driver</t>
  </si>
  <si>
    <t>Network card with driver</t>
  </si>
  <si>
    <t>VDU with driver</t>
  </si>
  <si>
    <t>Bay Control unit congiguration software</t>
  </si>
  <si>
    <t>Operating system of master station, HMI, printer server with specified software version in CD ROM (i.e.WIN NT, Unix etc) with manual and device drivers</t>
  </si>
  <si>
    <t>Source code and compiler of application software with detailed manual for master station, HMI, printer server</t>
  </si>
  <si>
    <t>Auxiliary relay used in bay control application</t>
  </si>
  <si>
    <t>Special tool for making joint trrmination in optical fiver with relevant couplers. (Splicer Machine) make Fujikura</t>
  </si>
  <si>
    <t>Optical los messuring kit with relevant accessories and visual fiver optic cable inspection aid.(Smart OTDR)</t>
  </si>
  <si>
    <t>Set of Filter (Lube oil)</t>
  </si>
  <si>
    <t>Set of Filter (Fuel oil)</t>
  </si>
  <si>
    <t>Set of Filter (Air ckt)</t>
  </si>
  <si>
    <t>Self starter assembly</t>
  </si>
  <si>
    <t>Lub-oil pressure safety control</t>
  </si>
  <si>
    <t>High water temperture safety control</t>
  </si>
  <si>
    <t>Diode</t>
  </si>
  <si>
    <t>VV1V101020</t>
  </si>
  <si>
    <t>Multy Ratio bushing CT PS class 400 - 200/1Amp- overall dimension - ID 265, OD-420, Ht -60mm</t>
  </si>
  <si>
    <t>Bushing CT -1000/1Amp PS class</t>
  </si>
  <si>
    <t>Multy Ratio bushing CT PS class 400 - 200/1Amp- overall dimension - ID 140, OD-276, Ht -80mm</t>
  </si>
  <si>
    <t>MM0M002010</t>
  </si>
  <si>
    <t>Ring type CT for WTI- 132/1.5Amp.</t>
  </si>
  <si>
    <t>Ring type CT for WTI- 921/1.5Amp.</t>
  </si>
  <si>
    <t>Buchholz relay 80mm magnetic switch -precimeasure</t>
  </si>
  <si>
    <t>VV2V207001</t>
  </si>
  <si>
    <t xml:space="preserve">Winding tempreture with contacts modle1005, capillary 10mtrs, 4micro switch </t>
  </si>
  <si>
    <t>VV2V206002</t>
  </si>
  <si>
    <t>OTI/WTI remote tem Indicator precimeasure make modle 2245T1</t>
  </si>
  <si>
    <t xml:space="preserve">Oil temperture Indicator with contacts modle1005, capillary 10mtrs, 2micro switch </t>
  </si>
  <si>
    <t>Pressure relief device mpde -T6 with shroud</t>
  </si>
  <si>
    <t>Megnetic oil level gauge - 250mm</t>
  </si>
  <si>
    <t>Set of valves, GM gate valve 80mm, 50mm, 25mm, 15mm (1no each type),Butterfly valve 80mm</t>
  </si>
  <si>
    <t>MCB merlin gerin make, 3pole, 2Amp, AC 415VAC cat no c60H3PO2AC</t>
  </si>
  <si>
    <t>(BOM) MCB assy, merlin Gerin make 3pole, 16Amp AC 2change over contact</t>
  </si>
  <si>
    <t>MCB, Merlin Gerin make 3pole, 25Amp AC cat no C60H3P25AC</t>
  </si>
  <si>
    <t>MCB, Merlin Gerin make 2pole, 2Amp AC cat no C60H2P02AC</t>
  </si>
  <si>
    <t>MCB, Merlin Gerin make 1pole, 6Amp AC cat no C60H1P6AC</t>
  </si>
  <si>
    <t>MCB, Merlin Gerin make 2pole, 6Amp AC cat no GDDPC006</t>
  </si>
  <si>
    <t>Phase failure relay mnilec make modle D1 vmrl with 2 change over contact- system voltage- 100-120-240/380 - 440 VAC</t>
  </si>
  <si>
    <t>(BOM) Contractor assy. Coil 240VAC.4A. Type MXO.2NO +6NC</t>
  </si>
  <si>
    <t>(BOM) Contractor assy. Coil 220VDC.4A. Type MXO.3NO +3NC</t>
  </si>
  <si>
    <t>(BOM) Contractor assy. Coil 240VAC.25A. Type MNXO25.3pole. AUX contact 2NO +4NC</t>
  </si>
  <si>
    <t>NN4N411004</t>
  </si>
  <si>
    <t>Rotary switch kaycee make. Cat No SRPM237, 3pole 2way with on- off, 25Amp, 440VAC</t>
  </si>
  <si>
    <t>Rotary Cam switch kaycee make. Cat No 2S26BO, 2pole 2way with  off, 6Amp, 250VAC</t>
  </si>
  <si>
    <t>Rotary Cam switch kaycee make. Cat No 1S26O, 2pole on- off, 6Amp, 250VAC</t>
  </si>
  <si>
    <t>(BOM) Contractor assy. Coil 110VAC.4A. Type MXO. 5NO + 3NC</t>
  </si>
  <si>
    <t>Rotary switch kaycee make. Cat No SRMP 11636V33LMX, 17 pole 4way with on- off, 16Amp, 440VAC</t>
  </si>
  <si>
    <t>Rotary switch kaycee make. Cat No 4S46B, 4 pole 2way with on- off, 6Amp, 250VAC</t>
  </si>
  <si>
    <t>Tap position indicator (Pradeep make. Modle TPC 2001)</t>
  </si>
  <si>
    <t>VV2V204006</t>
  </si>
  <si>
    <t>Oil sampling bottles one litre capacity (Stainless steel sampling bottle)</t>
  </si>
  <si>
    <t>Oil surge relay for OLTC</t>
  </si>
  <si>
    <t>VV0V007001</t>
  </si>
  <si>
    <t>Aux. transformer for the control of OLTC</t>
  </si>
  <si>
    <t>Complete set of Gasket -- Tanking</t>
  </si>
  <si>
    <t>VV2V202006</t>
  </si>
  <si>
    <t>Clear view type silicagel breather -500 GM with 1/2 Bsp mounting.</t>
  </si>
  <si>
    <t>Rediator with lifting lug, air release plug, drain plug, MS blanking plate with nut, bolt, washer - (Mandatory Spare)</t>
  </si>
  <si>
    <t>VV1V101013</t>
  </si>
  <si>
    <t>Condenser bushing 245KV - 1600Amp. 300BCT</t>
  </si>
  <si>
    <t>VV2V215009</t>
  </si>
  <si>
    <t>LV bushing complete with metal part 36KV - 2000Amp. With connecting lug &amp; gasket</t>
  </si>
  <si>
    <t>VV4V307007</t>
  </si>
  <si>
    <t>Neutral bushing complete with metal part 36KV - 2000Amp. With connecting lug &amp; gasket</t>
  </si>
  <si>
    <t>Complete set of winding coils per phase immersed in oil and sealed</t>
  </si>
  <si>
    <t>PP1P125002</t>
  </si>
  <si>
    <t>Rubber hose pipe for oil storage tank</t>
  </si>
  <si>
    <t>VV2V202003</t>
  </si>
  <si>
    <t>Silicagel breather for oil storage tank - 10000 grams</t>
  </si>
  <si>
    <t>PP1P122003</t>
  </si>
  <si>
    <t>SF6 gas pressure relief devices</t>
  </si>
  <si>
    <t>Pressure gauges (of each type) along with coupling device</t>
  </si>
  <si>
    <t>JJ7J703002</t>
  </si>
  <si>
    <t>Rubber gaskets, "o" rings and seal for SF6 gas</t>
  </si>
  <si>
    <t>JJ7J710031</t>
  </si>
  <si>
    <t xml:space="preserve">Molecular filter for SF6 gas </t>
  </si>
  <si>
    <t>JJ7J707002</t>
  </si>
  <si>
    <t>Density Monitors for SF6 gas</t>
  </si>
  <si>
    <t>All type of control valves for SF6 gas</t>
  </si>
  <si>
    <t>SF6 gas (each of 50 kgs), 150 kg gas - 25 kg gas = 125 - 10= 115 kg gas</t>
  </si>
  <si>
    <t>Enclosures, insulators &amp; main circuit to replace on each phase, any compartment of busbar or bay</t>
  </si>
  <si>
    <t>PP1P126017</t>
  </si>
  <si>
    <t>SF6 dew point meter</t>
  </si>
  <si>
    <t>Cable termination enclosure</t>
  </si>
  <si>
    <t xml:space="preserve">Rubber gaskets, "o" rings and seal </t>
  </si>
  <si>
    <t>JJ6J601001</t>
  </si>
  <si>
    <t>Tripping coils with resistor</t>
  </si>
  <si>
    <t>JJ6J601002</t>
  </si>
  <si>
    <t>Closing coils with resistor</t>
  </si>
  <si>
    <t>JJ7J701010</t>
  </si>
  <si>
    <t>Density/pressure Monitoring systems</t>
  </si>
  <si>
    <t>MM0M010002</t>
  </si>
  <si>
    <t>Relay, power contactors, push buttons, timers &amp; MCB etc.</t>
  </si>
  <si>
    <t>Closing assembly/ valve</t>
  </si>
  <si>
    <t>Trip assembly/ valve</t>
  </si>
  <si>
    <t>JJ7J701009</t>
  </si>
  <si>
    <t>Pressure switches</t>
  </si>
  <si>
    <t>JJ7J701013</t>
  </si>
  <si>
    <t>Auxiliary switch assembly</t>
  </si>
  <si>
    <t>JJ7J710028</t>
  </si>
  <si>
    <t>Operation Counter</t>
  </si>
  <si>
    <t>Rupture disc/ diapharm</t>
  </si>
  <si>
    <t>Windoscope / Observing window</t>
  </si>
  <si>
    <t>NN5N506018</t>
  </si>
  <si>
    <t>All type of coupling for SF6 gas (1 no each type)</t>
  </si>
  <si>
    <t>Multy ratio, single phase current transformers of each rating.</t>
  </si>
  <si>
    <t>Single phase VT complete with all gaskets and mounting hardware.</t>
  </si>
  <si>
    <t>220 KV CVT Outdoor Type (3 Nos)</t>
  </si>
  <si>
    <t>Set(3 in No.R,Y,B)</t>
  </si>
  <si>
    <t>VV2V211001</t>
  </si>
  <si>
    <t>Marshalling Box</t>
  </si>
  <si>
    <t>220 KV LA Outdoor Type (3 No's)</t>
  </si>
  <si>
    <t>II01001003</t>
  </si>
  <si>
    <t>Mounting Insulators</t>
  </si>
  <si>
    <t>Surge Counter</t>
  </si>
  <si>
    <t>KK2K102001</t>
  </si>
  <si>
    <t>Corona Ring</t>
  </si>
  <si>
    <t>MM0M007008</t>
  </si>
  <si>
    <t>TP INST, O/C relay, 200-3000% setting in step of 200% and adjustable definite min time, CTR 1000/1A, Aux supply 200V DC (Function No.51)</t>
  </si>
  <si>
    <t>MM0M005005</t>
  </si>
  <si>
    <t xml:space="preserve"> INST, E/F relay, setting 5-80% in step of 5% definite time delay, Range 00-255sec in step of 0.1sec CTR 1000/1A, Aux supply 200V DC (Function No.51N)</t>
  </si>
  <si>
    <t>FF0F050028</t>
  </si>
  <si>
    <t xml:space="preserve"> Three pole voltage controlled. Invers time O/C relay setting 50-200%, CTR 600/1A, Aux supply 200V DC (Function No.51V)</t>
  </si>
  <si>
    <t>High speed tripping relay, 220V DC with 4NO+1NC Aux contact (Function No 86)</t>
  </si>
  <si>
    <t>Deffrrential protection relay for DG setting range 5-80% in step of 2.5%, Aux supply 220V DC (Function No 87)</t>
  </si>
  <si>
    <t>Single pole non directional, definite time O/C relay, with built in timer, setting range 50-200% in step of 10%, time delay range 0-25sec in step of 0.1sec Aux supply 220V DC (Function No 95)</t>
  </si>
  <si>
    <t>YY2Y201002</t>
  </si>
  <si>
    <t>Under voltage relay, setting 30-95% in step of 5%, 2C/O Aux contact operating voltage 220V DC, Aux supply 240V AC (function No. 27)</t>
  </si>
  <si>
    <t>MM0M008003</t>
  </si>
  <si>
    <t>Over voltage relay, setting 105-170% in step of 5%, 2C/O Aux contact operating voltage 220V DC, Aux supply 240V AC (function No. 59)</t>
  </si>
  <si>
    <t>Battery E/F relay, setting voltage 220V DC, Aux supply 240V AC (function No. 96)</t>
  </si>
  <si>
    <t>Over voltage relay, setting 30-95% in step of 5%, 2C/O Aux contact operating voltage 50V DC, Aux supply 240V AC (function No. 59)</t>
  </si>
  <si>
    <t>Under voltage relay, setting 30-95% in step of 5%, 2C/O Aux contact operating voltage 50V DC, Aux supply 240V AC (function No. 59)</t>
  </si>
  <si>
    <t>Metering CT's Resin cast, CL1.0 CTR-1000/1A, 15 VA</t>
  </si>
  <si>
    <t>Metering CT's Resin cast, CL1.0 CTR-600/1A, 15 VA</t>
  </si>
  <si>
    <t>Protection CT's Resin cast, CL5P15, CTR-600/1A, 15 VA</t>
  </si>
  <si>
    <t>Protection CT's Resin cast, CL5P15, CTR-1000/1A, 15 VA</t>
  </si>
  <si>
    <t>CLPS CTs, Resin cast, CTR 600/1A (15VA), KPV 300V</t>
  </si>
  <si>
    <t>3 Phase 4wire KWH meter, CTR-600/1A, 415V AC Aux supply 220V DC</t>
  </si>
  <si>
    <t>MM2M201003</t>
  </si>
  <si>
    <t>Frequency meter, 45-55 Hz, 415V AC</t>
  </si>
  <si>
    <t>MM2M203006</t>
  </si>
  <si>
    <t>Ammeter, 96x96 SQMM analouge type, CTR-1000/1A (0-1000A)</t>
  </si>
  <si>
    <t>Ammeter with shunt (0-75mV) analog type, 96 x 96 SQMM (90-0-400A)</t>
  </si>
  <si>
    <t>PP1P126009</t>
  </si>
  <si>
    <t>Voltmeter, 96x96 SQMM analouge type, 415V AC (0-500V)</t>
  </si>
  <si>
    <t>3 Phase 4wire KW meter, CTR-600/1A, 415V AC Aux supply 220V DC</t>
  </si>
  <si>
    <t>MM2M203008</t>
  </si>
  <si>
    <t>Ammeter, 96x96 SQMM analouge type, CTR-600/1A (0-600A)</t>
  </si>
  <si>
    <t>MM2M202016</t>
  </si>
  <si>
    <t>Voltmeter, 96x96 analouge type, 220V DC (300-0-300V)</t>
  </si>
  <si>
    <t>MM2M202018</t>
  </si>
  <si>
    <t>Voltmeter, 96x96 analog type, 50V DC (75-0-75 V)</t>
  </si>
  <si>
    <t>Ammeter with shunt (0-75mV) 96x96 analog type (90-0-200A)</t>
  </si>
  <si>
    <t>NN4N409006</t>
  </si>
  <si>
    <t>Ammeter selector switch 6 A</t>
  </si>
  <si>
    <t>NN4N408011</t>
  </si>
  <si>
    <t>Breaker control switch 25A</t>
  </si>
  <si>
    <t>A/M/S selector switch 4P- 3way with off 16A</t>
  </si>
  <si>
    <t>A/M/S selector switch 8P- 3way with off 16A</t>
  </si>
  <si>
    <t>NN4N409001</t>
  </si>
  <si>
    <t>Voltmeter selector switch, 4 position 6 A</t>
  </si>
  <si>
    <t>SP on/off rotary switch 6A</t>
  </si>
  <si>
    <t>Reset push button (black with 1 NC contact)</t>
  </si>
  <si>
    <t>SS7S703001</t>
  </si>
  <si>
    <t>DP MCB, 4KA, 50V DC, 32 A</t>
  </si>
  <si>
    <t>SS7S704002</t>
  </si>
  <si>
    <t>DP MCB, 'B' curve, 10KA, 220V DC, 16 A</t>
  </si>
  <si>
    <t>DP MCB, 'B' curve, 10KA, 220V DC, 25 A</t>
  </si>
  <si>
    <t>SS75704006</t>
  </si>
  <si>
    <t>DP MCB, 'B' curve, 10KA, 240V AC, 6 A</t>
  </si>
  <si>
    <t>SR MCB 'C' curve, 10KA, 20 A</t>
  </si>
  <si>
    <t>SP MCB 'C' curve, 10KA, 40 A</t>
  </si>
  <si>
    <t xml:space="preserve">Spring charging motor, 220V DC </t>
  </si>
  <si>
    <t>Closing coil 220 V DC</t>
  </si>
  <si>
    <t>Tripping coil 220 V DC</t>
  </si>
  <si>
    <t>SS25201001</t>
  </si>
  <si>
    <t>Jaw contact</t>
  </si>
  <si>
    <t>set</t>
  </si>
  <si>
    <t>Busbar insulator</t>
  </si>
  <si>
    <t>Busbar strip 10mm (aluminium), (1mtr x 5)</t>
  </si>
  <si>
    <t>36 kV, three phase, circuit breaker interrupting chamber complate with all necessary apparatus.(one set of each type)</t>
  </si>
  <si>
    <t>JJ7J704001</t>
  </si>
  <si>
    <t>JJ2J201005</t>
  </si>
  <si>
    <t>JJ2J201007</t>
  </si>
  <si>
    <t>Molecular filter</t>
  </si>
  <si>
    <t>JJ2J201008</t>
  </si>
  <si>
    <t>36 kv, three phase, circuit breaker interrupting chamber complate with all necessary apparatus.(one set of each type)</t>
  </si>
  <si>
    <t>36 kv, three ph. 1250A disconnecting switch operating mechanism, complete with all necessary connecting apparatus.</t>
  </si>
  <si>
    <t>36 kv, three ph. 1250A grounding switch operating mechanism, complete with all necessary connecting apparatus.</t>
  </si>
  <si>
    <t>36 kv, 2500A three ph. grounding switch, operating mechanism complete with all necessary gaskets, mounting connecting apparatus.</t>
  </si>
  <si>
    <t>Multy ratio, single phase current transformers of eact rating. (1) 1000/1-1-1 A- 03nos, (2) 400-200/1-1-1 A- 03nos, (3) 400-100/1-1-1 A- 03nos</t>
  </si>
  <si>
    <t>MM0M014007</t>
  </si>
  <si>
    <t>Numerical Breaker failure relay (type F650) Sl.No. 82845803</t>
  </si>
  <si>
    <t>MM0M009004</t>
  </si>
  <si>
    <t>Trip ckt supervision</t>
  </si>
  <si>
    <t xml:space="preserve">Self reset trip relay (type JRV 192) Sl.No. 16-6001/77 </t>
  </si>
  <si>
    <t>Hand reset trip relay(type JRV 181)sI.No.19-5001/475</t>
  </si>
  <si>
    <t>MM0M015001</t>
  </si>
  <si>
    <t>Timer relay (type VTT11) Sl.No.33913216/12/16</t>
  </si>
  <si>
    <t>MM0M018002</t>
  </si>
  <si>
    <t>Flag relay</t>
  </si>
  <si>
    <t>Main 1 Numerical distance relay (Excluding external trip relays) with software (type P442) Sl.No.33810092</t>
  </si>
  <si>
    <t>NN5N505002</t>
  </si>
  <si>
    <t>Power supply module for bus bar protection</t>
  </si>
  <si>
    <t>Metrosil (Non linear resistor) each type</t>
  </si>
  <si>
    <t xml:space="preserve">Power cables (XLPE) 3.5 CX300sqmm  82 mtr - 60 mtr = 22mtr  </t>
  </si>
  <si>
    <t>PG clamp for Zebra conductor</t>
  </si>
  <si>
    <t>nos</t>
  </si>
  <si>
    <t>Supply of twin Zebra transformer clamp</t>
  </si>
  <si>
    <t xml:space="preserve">Supply of twin Zebra spacer </t>
  </si>
  <si>
    <t>50MVA transformer LV side Bushing Clamp</t>
  </si>
  <si>
    <t>220/33kV Substation IIP Harrawala Dehradun (Line)</t>
  </si>
  <si>
    <t>Lattice Structure(Incomplete Old &amp; Used)</t>
  </si>
  <si>
    <t>A.C.S.R Zebra Conductor</t>
  </si>
  <si>
    <t>GS Earth wire 7/9 SWG</t>
  </si>
  <si>
    <t>220kV Dismantled(old and used)tower parts</t>
  </si>
  <si>
    <t>ACSR Deer Conductor(old and used)dismantled</t>
  </si>
  <si>
    <t>Dismentled Zebra and deer conductor(old &amp; used)</t>
  </si>
  <si>
    <t>PG Clamp (Deer to deer)</t>
  </si>
  <si>
    <t>II31301002</t>
  </si>
  <si>
    <t>Mid Span(Dear)</t>
  </si>
  <si>
    <t>Mid Span Earth Wire 7/9 SWG</t>
  </si>
  <si>
    <t xml:space="preserve"> Repair Sleeve (Deer)</t>
  </si>
  <si>
    <t xml:space="preserve"> Repair Sleeve (Zebra)</t>
  </si>
  <si>
    <t>Single Tension Fitting ( Deer)</t>
  </si>
  <si>
    <t>II5I502003</t>
  </si>
  <si>
    <t>Double Tension Fitting ( Deer)</t>
  </si>
  <si>
    <t>Suspention Fitting (Single)</t>
  </si>
  <si>
    <t>PG Clamp Zebra to Zebra</t>
  </si>
  <si>
    <t>II5I502004</t>
  </si>
  <si>
    <t xml:space="preserve">Supply of double tension fitting 160 KN for single Zebra alongwith all accessories </t>
  </si>
  <si>
    <t xml:space="preserve">Supply of single tension fitting 160 KN for single Zebra alongwith all accessories </t>
  </si>
  <si>
    <t xml:space="preserve">Supply of double tension fitting 160 KN for single Deer alongwith all accessories </t>
  </si>
  <si>
    <t xml:space="preserve">Supply of single tension fitting 160 KN for single Deer alongwith all accessories </t>
  </si>
  <si>
    <t xml:space="preserve">Supply of single suspension fitting 120 KN for single Zebra  alongwith all accessories </t>
  </si>
  <si>
    <t xml:space="preserve">Supply of mid span compression joint for ACSR deer  alongwith all accessories </t>
  </si>
  <si>
    <t xml:space="preserve">Supply of mid span compression joint for ACSR Zebra  alongwith all accessories </t>
  </si>
  <si>
    <t xml:space="preserve">Repair sleeve for ACSR Deer </t>
  </si>
  <si>
    <t xml:space="preserve">Supply of repair sleeve for ACSR Zebra alongwith all accessories </t>
  </si>
  <si>
    <t xml:space="preserve">Supply of single suspension fitting 120 KN for single Deer alongwith all accessories </t>
  </si>
  <si>
    <t xml:space="preserve">Supply of PG clamp (Zebra to Zebra) alongwith all accessories </t>
  </si>
  <si>
    <t xml:space="preserve">Supply of PG clamp (Deer to Deer) alongwith all accessories </t>
  </si>
  <si>
    <t xml:space="preserve">Supply of PG clamp (Deer to Zebra) alongwith all accessories </t>
  </si>
  <si>
    <t>II1I103001</t>
  </si>
  <si>
    <t xml:space="preserve">Supply of Cwage clamp Deer to Deer alongwith all accessories </t>
  </si>
  <si>
    <t>II1I104001</t>
  </si>
  <si>
    <t xml:space="preserve">Supply of Cwage clamp Zebra to Zebra alongwith all accessories </t>
  </si>
  <si>
    <t xml:space="preserve">Supply of vibration damper for zebra conductor alongwith all accessories </t>
  </si>
  <si>
    <t>II3I303002</t>
  </si>
  <si>
    <t xml:space="preserve">Supply of vibration damper for deer conductor alongwith all accessories </t>
  </si>
  <si>
    <t>D-shackle</t>
  </si>
  <si>
    <t>160KN Disc Insulator</t>
  </si>
  <si>
    <t>Tension fitting Of GS Earthwire 7/9 SWG</t>
  </si>
  <si>
    <t>Suspension fitting of GS Earthwire 7/9 SWG</t>
  </si>
  <si>
    <t>Midspan joint for 7/9 SWG Earthwire</t>
  </si>
  <si>
    <t>Repair sleeve for 7/9SWG Earthwire</t>
  </si>
  <si>
    <t>Flexible copper bond for 7/9 SWG</t>
  </si>
  <si>
    <t>Vibration Damper for Earthwire 7/9 SWG</t>
  </si>
  <si>
    <t>PG Clamp for Earthwire 7/9 SWG</t>
  </si>
  <si>
    <t>132/33kV Substation Laltappad, Dehradun</t>
  </si>
  <si>
    <t>132 KV CB Closing coil(Spare)</t>
  </si>
  <si>
    <t>132 KV CB Tripping coil(Spares)</t>
  </si>
  <si>
    <t>132 KV CB Gas filling equipment(spares)</t>
  </si>
  <si>
    <t>132 KV CB Gas Leakage detector(spares)</t>
  </si>
  <si>
    <t>132 kv CB SF6 Gas cylinder 50 KG(spares)</t>
  </si>
  <si>
    <t>132 Kv CB gas filling and Evacuation Equipment.</t>
  </si>
  <si>
    <t>33 KV CB Closing coil(Spare)</t>
  </si>
  <si>
    <t>33 KV CB Tripping coil(Spare)</t>
  </si>
  <si>
    <t>Set of Illumination lamp one set each type</t>
  </si>
  <si>
    <t>Set of Aux. Relay one no each type( total 3 relay are present)</t>
  </si>
  <si>
    <t>Set of Trip Relay one no each type( total 3 relay are present)</t>
  </si>
  <si>
    <t>Trip coil supervision type TSR Aux. 110V , Dc model no-1N352-001-AS</t>
  </si>
  <si>
    <t>Master trip relay model no- RK251206AN</t>
  </si>
  <si>
    <t>DC Supervision relay 110V DC ,MNO-INRK27019AN</t>
  </si>
  <si>
    <t>DC Changeover relay110V DC INRK21105-2AN</t>
  </si>
  <si>
    <t>DC fail accepatance relay 240V AC M.NO-INRK211052BS</t>
  </si>
  <si>
    <t>AC Supervision Relay 240V AC M.NO-INRK211052BS</t>
  </si>
  <si>
    <t>Transfrmer trouble relay 110V DC INRK271018AN</t>
  </si>
  <si>
    <t>Trip transfer switch 3 position 20 way 25 amp</t>
  </si>
  <si>
    <t>Neutral bushing complete with gasket(spares)</t>
  </si>
  <si>
    <t>36 KV bushing complete with(spares)</t>
  </si>
  <si>
    <t>Set of Gasket for tank cover &amp; fitting (spares)</t>
  </si>
  <si>
    <t>Flow indicator</t>
  </si>
  <si>
    <t>Bochholz Relay each type (spares)</t>
  </si>
  <si>
    <t>Oil level indicator of each type (150 mm dia 2 nos &amp; 100 mm dia 2 nos) (spares)</t>
  </si>
  <si>
    <t>Pressure releif device of each type(spares)</t>
  </si>
  <si>
    <t>Bushing CTs of each type (spares) (total 4 in which 2 hv &amp; 2 lv)</t>
  </si>
  <si>
    <t>Jack for jacking the transformer</t>
  </si>
  <si>
    <t>Sling fitting device for transformer</t>
  </si>
  <si>
    <t>Empty transformer oil drums</t>
  </si>
  <si>
    <t>Empty Acid cans</t>
  </si>
  <si>
    <t>HF cable</t>
  </si>
  <si>
    <t xml:space="preserve">KM </t>
  </si>
  <si>
    <t xml:space="preserve">M.S Flat 50× 6 mm </t>
  </si>
  <si>
    <t>Earthing Material M.S round 36 mm dia</t>
  </si>
  <si>
    <t>Main and auixialry structure, Bolts &amp; nuts( Lattice structure &amp; Hardware)</t>
  </si>
  <si>
    <t>ACSR Zebra conductor</t>
  </si>
  <si>
    <t>ACSR Panther conductor</t>
  </si>
  <si>
    <t>AAC Tarantula conductor</t>
  </si>
  <si>
    <t>Suspension fitting for ACSR panther conductor</t>
  </si>
  <si>
    <t>Disc Insulator</t>
  </si>
  <si>
    <t>Submersible Pumping set 7.5 Hp</t>
  </si>
  <si>
    <t>1Set</t>
  </si>
  <si>
    <t>Chain pulley block 02 m.t capacity</t>
  </si>
  <si>
    <t>Wrench</t>
  </si>
  <si>
    <t>Pipe clamp</t>
  </si>
  <si>
    <t xml:space="preserve">Monoblock pump 5 Hp 3 phesh </t>
  </si>
  <si>
    <t>415 volt, 6Amp, 50 Hz HRC Fuses</t>
  </si>
  <si>
    <t>132 KV Al made C.T clamp</t>
  </si>
  <si>
    <t>Heater Blower</t>
  </si>
  <si>
    <t>Air Blower(Dust Cleaner), 230 volt,50 hz</t>
  </si>
  <si>
    <t>33 kv Isolator clamp</t>
  </si>
  <si>
    <t xml:space="preserve">132 kv C.V.T clamps for panther conductor made of aluminium alloy including all nut &amp; bolt etc. </t>
  </si>
  <si>
    <t xml:space="preserve">33 kv P.T clamps for Tarantula conductor made of aluminium alloy including all nut &amp; bolt etc. </t>
  </si>
  <si>
    <t xml:space="preserve">33 kv P.T clamps for panther conductor made of aluminium alloy including all nut &amp; bolt etc. </t>
  </si>
  <si>
    <t xml:space="preserve">33 kv L.A clamps for Panther conductor made of aluminium alloy including all nut &amp; bolt etc. </t>
  </si>
  <si>
    <t>Run through clamps for 132 kv post insulators made of aluminium alloy including all nut  &amp; bolt.</t>
  </si>
  <si>
    <t>Run through clamps for 33kv post insulators made of aluminium alloy including all nut  &amp; bolt.</t>
  </si>
  <si>
    <t>HRC Fuses rating of 32 Amp, TIA type for 48 volt, 300 AH battery charger.</t>
  </si>
  <si>
    <t>Old and used Transformer oil.</t>
  </si>
  <si>
    <t>Ltrs</t>
  </si>
  <si>
    <t>Red colour, 230 Volt, 6 amp, spring return push- button switch.</t>
  </si>
  <si>
    <t>Green colour, 230 Volt, 6 amp, spring return push- button switch.</t>
  </si>
  <si>
    <t>3-way on-off 60 degree, 6 Amp, single pole selector switch of front side 5 c.m × 5 c.m.</t>
  </si>
  <si>
    <t>Fuse base with fuse holder suitable for HRC fuses of rating 20 Amp, 415 volt, 2.7 watt, single pole fot.</t>
  </si>
  <si>
    <t>3- phase secure energy meters</t>
  </si>
  <si>
    <t>Transparent clear plastic sheet, minimum thickness 2-3 mm.</t>
  </si>
  <si>
    <t>Sq. feet</t>
  </si>
  <si>
    <t>Aluminium Alloy Mechanical Bolt less C- Wedge Connector suitable for ACSR Zebra to Zebra Conductor containing one 'C' Body, one wedge with oxide inhibitor as per IS 5561 : 1970</t>
  </si>
  <si>
    <t>Aluminium Alloy Mechanical Bolt less C- Wedge Connector suitable for ACSR Zebra to Panther Conductor containing one 'C' Body, one wedge with oxide inhibitor as per IS 5561 : 1970</t>
  </si>
  <si>
    <t>Panther to Panther conductor P.G. clamp with all nut and bolt.</t>
  </si>
  <si>
    <t>32 Amp. , 500 volt fuse fitting (Base and carrier.</t>
  </si>
  <si>
    <t>132 KV Transformer bushing complete.</t>
  </si>
  <si>
    <t>Galvanized steel earth wire tension clamp for 7/10 SWG Earth wire.</t>
  </si>
  <si>
    <t>Galvanized steel earth wire Suspension clamp for 7/10 SWG Earth wire.</t>
  </si>
  <si>
    <t xml:space="preserve"> Galvanized Steel Mid span compression joint for Earth wire of 7/10 SWG Earth wire.</t>
  </si>
  <si>
    <t>Mid span compression joint for ACSR Panther conductor with steel and Aluminium portion.</t>
  </si>
  <si>
    <t>Metal cutter machine, Input 220-230 Volt, 670 watt.</t>
  </si>
  <si>
    <t>Stud type terminal, suitable for 16 mm2 cable, 1000 volt, 76 Amp.</t>
  </si>
  <si>
    <t>3 phase 3 way connector made of poly carbonate, rating 440 volt A.C.</t>
  </si>
  <si>
    <t>Sliding link Type Disconnecting Terminal, Rated Volt- 800 V, Rated Current- 41 Amp, wire size- 6 mm2.</t>
  </si>
  <si>
    <t>Neutral Link mounted with insulating Pad.</t>
  </si>
  <si>
    <t>3-Phase Ammeter selector switch of rating 6 Amp, having 4 position, OFF-R-Y-B, deach position 90 degree.</t>
  </si>
  <si>
    <t>Exhaust type cooling fans with technical specification as- Voltage- 415 volt, Impeller Dia- 600 mm, 3 phase, 6 pole, I/P Power -550 watt, speed 950 r.p.m.</t>
  </si>
  <si>
    <t>O.T.I meter of temperature range 0-150 Degree celcius, accuracy class +/1 1%FSD, Dia size 150mm, Dial angular sweep- 270 degree.</t>
  </si>
  <si>
    <t>Slotted type DIN RAIL of dimension 35*15*1.5 mm (width*height*thickness).</t>
  </si>
  <si>
    <t>slotted type DIN RAIL of dimension 35*7.5*1.5 mm (width*height*thickness).</t>
  </si>
  <si>
    <t>Bolted type HRC fuse of 660/690 volt , Rating Amp- 50 Amp, Breaking capacity 80 KA.</t>
  </si>
  <si>
    <t>Toggle switch having 2 pole ON-OFF rating 06 Amp.</t>
  </si>
  <si>
    <t>Cu ring lug of 10 mm2 size.</t>
  </si>
  <si>
    <t>Cu ring lug of 16 mm2 size.</t>
  </si>
  <si>
    <t xml:space="preserve">End U cut type Cu lug of size 10 mm2. </t>
  </si>
  <si>
    <t xml:space="preserve">End U cut type Cu lug of size 16 mm2. </t>
  </si>
  <si>
    <t>Pin type terminal end insulated Cu lug of size 10 mm2.</t>
  </si>
  <si>
    <t>Pin type terminal end insulated Cu lug of size 16 mm2.</t>
  </si>
  <si>
    <t>440 V A.C HRC fuse 10 Amp.</t>
  </si>
  <si>
    <t>440 V A.C HRC fuse 16 Amp.</t>
  </si>
  <si>
    <t>Silica gel.</t>
  </si>
  <si>
    <t>Yellow color, 230 Volt, 6 amp, spring return push- button switch.</t>
  </si>
  <si>
    <t>Black color, 230 Volt, 6 amp, spring return push- button switch.</t>
  </si>
  <si>
    <t>Metal Rotary Hand operated Barrel and oil Drum pump suitable for dispensing Transformer oil and minimum oil drain capacity 125 gal (5 ltr)/ 20 turns.</t>
  </si>
  <si>
    <t>Lubricant steel oil can with flexible nozzle pipe having lubricant capacity of minimum 250 gram.</t>
  </si>
  <si>
    <t>Supplying of best quality polycarbonate make C- curve type 1- pole, 6 Amp, 240 volt AC, breaking Amp.- 10 KA,  MCB of reputed company as HAVELLS, ANCHOR, C&amp;S, Schnider etc.</t>
  </si>
  <si>
    <t>Old and burnt Transformer fan.</t>
  </si>
  <si>
    <t>Old and deffective O/C &amp; E/F fault relay Alstom make.</t>
  </si>
  <si>
    <t>PG clamp for Tarantulla to Panrther conductor</t>
  </si>
  <si>
    <t>Single Tension fitting.</t>
  </si>
  <si>
    <t>One way straight through connector.</t>
  </si>
  <si>
    <t>Deffected PRV of 132/33 KV, 40 MVA Transformer (CGL Make) main Tank.</t>
  </si>
  <si>
    <t>2 pole, 10 Amp D.C. MCB</t>
  </si>
  <si>
    <t>Petroleum jelly</t>
  </si>
  <si>
    <t>415 volt, 3phase D.O.L (Direct on line) starter of 5 HP, 10 Amp mono-block pump</t>
  </si>
  <si>
    <t xml:space="preserve">440/220 V AC, 06 Amp, 2 Pole, C curve MCB </t>
  </si>
  <si>
    <t>440/220 V AC, 16 Amp, 2 Pole, C curve MCB</t>
  </si>
  <si>
    <t>Alluminium alloy mechanical bolt less C-Wedge connector suitable for ACSR Panther to Panther connector.</t>
  </si>
  <si>
    <t>Alluminium alloy mechanical bolt less C-Wedge connector suitable for ACSR Tarantula to Tarantula connector.</t>
  </si>
  <si>
    <t>Alluminium alloy mechanical bolt less C-Wedge connector suitable for ACSR Tarantula to Panther connector.</t>
  </si>
  <si>
    <t>Alluminium alloy bolted type P.G. clamp for Tarantula to Tarantula conductor complete witch its nut &amp; bolts.</t>
  </si>
  <si>
    <t>Alluminium alloy bolted type P.G. clamp for Panther to Panther conductor complete witch its nut &amp; bolts.</t>
  </si>
  <si>
    <t>Old and used deffective 33 KV V.C.B (ABB make).</t>
  </si>
  <si>
    <t>132 KV CVT clamps for Panther conductor made of Alluminium alloywith all nut &amp; bolts.</t>
  </si>
  <si>
    <t>132 KV LA clamps for Panther conductor made of Alluminium alloywith all nut &amp; bolts</t>
  </si>
  <si>
    <t>-</t>
  </si>
  <si>
    <t>132 KV CB clamps for Panther conductor made of Alluminium alloywith all nut &amp; bolts.</t>
  </si>
  <si>
    <t>132 KV Transformer bushing clamps for Panther conductor made of Alluminium alloywith all nut &amp; bolts.</t>
  </si>
  <si>
    <t>132 KV Isolator clamps forZebra conductor made of Alluminium alloywith all nut &amp; bolts.</t>
  </si>
  <si>
    <t>132 KV C.B. clamps for Zebra conductor made of Alluminium alloywith all nut &amp; bolts.</t>
  </si>
  <si>
    <t>33 KV CT clamps for Tarantula conductor made of Alluminium alloywith all nut &amp; bolts.</t>
  </si>
  <si>
    <t>33 KV PT clamps for Tarantula conductor made of Alluminium alloywith all nut &amp; bolts.</t>
  </si>
  <si>
    <t>33 KV Isolator clamps for Tarantula conductor made of Alluminium alloywith all nut &amp; bolts.</t>
  </si>
  <si>
    <t>33 KV CB clamps for Tarantula conductor made of Alluminium alloywith all nut &amp; bolts.</t>
  </si>
  <si>
    <t>33 KV LAclamps for Tarantula conductor made of Alluminium alloywith all nut &amp; bolts.</t>
  </si>
  <si>
    <t>33 KV CT clamps for Panther conductor made of Alluminium alloywith all nut &amp; bolts.</t>
  </si>
  <si>
    <t>33 KV PT clamps for Panther conductor made of Alluminium alloywith all nut &amp; bolts.</t>
  </si>
  <si>
    <t>33 KV CB clamps for Panther conductor made of Alluminium alloywith all nut &amp; bolts.</t>
  </si>
  <si>
    <t>33 KV LA clamps for Panther conductor made of Alluminium alloywith all nut &amp; bolts.</t>
  </si>
  <si>
    <t xml:space="preserve">Single Tension fitting for ACSR Panther conductor. </t>
  </si>
  <si>
    <t>Old and used R.T.C.C Panel of 40 MVA Transformer (IMP make Transformer).</t>
  </si>
  <si>
    <t>Old and Used 132 Kv C.V.T.</t>
  </si>
  <si>
    <t>Old CVT Junction board.</t>
  </si>
  <si>
    <t>HPSV lamps of lamp wattage- 250 watt, Rated voltage- 240 volt, Lamp voltage- 100 Volt, Lamp current- 3.00 Amp, burning position universal, Holder base- E40, lumen output (after 100BH)- 22500 Lm of best quality and reputed company as Surya, HAVELLS, Bajaj etc.</t>
  </si>
  <si>
    <t xml:space="preserve">250 watt, 220 volt A.C, 50 Hz chocks/ Copper ballast of H.P.S.V lamp lights of reputed compnay as cropton, philips, havells etc. </t>
  </si>
  <si>
    <t xml:space="preserve">250 watt, 220 volt A.C, 50 Hz Ignitor  of H.P.S.V lamp lights of reputed compnay as cropton, philips, havells etc. </t>
  </si>
  <si>
    <t>2 ˣ 3 feet size, 10 mm thick corksheet of best quality as long durable.</t>
  </si>
  <si>
    <t>W.T.I. meter of Temperature range 0-150 C, Accuracy class +/- 1% of FSD, Dial size 150 mm Rond, Dial Angular sweep 270 degree etc.</t>
  </si>
  <si>
    <t>Remote Temperature Indicator, Quad seven segment display, Au Supply- 90-260 V AC/DC, Temp. Indication Range 0-150 C, Resolution 0.1 C etc.</t>
  </si>
  <si>
    <t>Current converter unit (CCU), Signl Input PT 100 RTD, Simple 3 wire etc, Auxiliry supply- 90-260 V, AC/DC etc.</t>
  </si>
  <si>
    <t>415 Volt, 3 Pole, MPCB, 16 Amp, Ue :690 Volt, Uimp: 6 Kv, having inbuit thermal overload relay with setting 0.4 to 0.63 Amp.</t>
  </si>
  <si>
    <t>Power contactor of 415 V, 3 Pole,6 Amp,coil volt 110 V AC.</t>
  </si>
  <si>
    <t>Thermostat switch of 240 V AC, range 30 C to 120 C.</t>
  </si>
  <si>
    <t>Steel Scrap</t>
  </si>
  <si>
    <t>Tube Light fitting scrap</t>
  </si>
  <si>
    <t>132 KV, 1250  Amp. Isolator copper contact male , Length 830 mm, Dia 60 mm.</t>
  </si>
  <si>
    <t>132 KV, 1250  Amp. Isolator copper contact female , Length 830 mm, Dia 60 mm.</t>
  </si>
  <si>
    <t>132 Kv Isolator Jaw/ Blade Take Off assembly moving headv complete.</t>
  </si>
  <si>
    <t>132 KV Isolator Rotary bearing made of All. Alloy, 35 mm Dia.</t>
  </si>
  <si>
    <t>Diffected L.A. Scrap.</t>
  </si>
  <si>
    <t>O.T.I. meter of temperature range 0-150 0C, Dial size 150 mm round.</t>
  </si>
  <si>
    <t>Remote Temperature Indicator,  Auxiliary supply 90-260 VV AC/DC, Temperature Indicator range 0-150 Oc.</t>
  </si>
  <si>
    <t>Current converter unit (CCU), having specification as Signal I/P- PT 100 RTD, Simplex 3 wire Aux. supply- 90-260 V AC/DC, Signal O/P- 4-20 mAmp.</t>
  </si>
  <si>
    <t>Overload Relay Range- 0.4 Amp- 0.63 Amp, Auxiliary conact 1NO+1NC.</t>
  </si>
  <si>
    <t>Power contactor 415 V, 3 Pole, 16 Amp, Coil Volt- 220 Volt AC.</t>
  </si>
  <si>
    <t>Panel mounting type electronic Hooter, 96 X 96 X 60 mm, I/P volt- 80-140 V AC/DC.</t>
  </si>
  <si>
    <t>2 X 3 feet Size 8 mm thick corksheet.</t>
  </si>
  <si>
    <t>EHV Grade fresh Transformer oil, conirming to IS: 335/1993.</t>
  </si>
  <si>
    <t>Heavy duty CT clamp.</t>
  </si>
  <si>
    <t>132/33 KV, 40 MVA Transformer H.V. side buhing clamp.</t>
  </si>
  <si>
    <t>132/33 KV 40 MVA Transformer L.V. side buhing clamp.</t>
  </si>
  <si>
    <t>1200 Amp, 33 KV Isolator Blade.</t>
  </si>
  <si>
    <t>1200 Amp, 33 KV Isolator Jaw.</t>
  </si>
  <si>
    <t>Name Of Circle Zone :- Garhwal Zone</t>
  </si>
  <si>
    <t>Name Of Division :- E.E. (O&amp;M) Division, Yamuna colony  Dehra Dun.</t>
  </si>
  <si>
    <t xml:space="preserve">Stock inventory for the Month of :- July - 2026 </t>
  </si>
  <si>
    <t>Name of Stock Holder - Sanjay Kumar (J.E.)</t>
  </si>
  <si>
    <t>Name Of Substation:</t>
  </si>
  <si>
    <t>132KV Sub station Bindal</t>
  </si>
  <si>
    <t>Sl.
No.</t>
  </si>
  <si>
    <t>item Code</t>
  </si>
  <si>
    <t>Name Of Item</t>
  </si>
  <si>
    <t>Unit Rate in Rs.</t>
  </si>
  <si>
    <t>Total Amount</t>
  </si>
  <si>
    <t>II5I50I004</t>
  </si>
  <si>
    <t>Tension fitting for zebra without dead end</t>
  </si>
  <si>
    <t>145KV L.A</t>
  </si>
  <si>
    <t xml:space="preserve">145KV C.T 800/400/1 </t>
  </si>
  <si>
    <t>CC1C103002</t>
  </si>
  <si>
    <t>Three &amp; Haif core circular armoured XLPE cable size 3.5*400 Sqmm</t>
  </si>
  <si>
    <t>VV2V204000</t>
  </si>
  <si>
    <t>T/F oil O/U</t>
  </si>
  <si>
    <t>KL.</t>
  </si>
  <si>
    <t>NN5N506045</t>
  </si>
  <si>
    <t>Line Matching unit</t>
  </si>
  <si>
    <t>CC2C201005</t>
  </si>
  <si>
    <t>H.F. Cable</t>
  </si>
  <si>
    <t>ACSR deer conductor in bits O/u</t>
  </si>
  <si>
    <t>RZAO relay card o/u</t>
  </si>
  <si>
    <t>ACSR panther conductor in bits</t>
  </si>
  <si>
    <t>VV4V305013</t>
  </si>
  <si>
    <t>33KV C.T 200/100/1A</t>
  </si>
  <si>
    <t>II4I404006</t>
  </si>
  <si>
    <t xml:space="preserve">Space cum droper for Deer </t>
  </si>
  <si>
    <t>DD0D001003</t>
  </si>
  <si>
    <t>CMRI Sl.No. 1509-A7216HSD</t>
  </si>
  <si>
    <t>PP2P212002</t>
  </si>
  <si>
    <t>Blower</t>
  </si>
  <si>
    <t>PP1P129001</t>
  </si>
  <si>
    <t>Operating Handle</t>
  </si>
  <si>
    <t>PP3P301004</t>
  </si>
  <si>
    <t>Safety Belt O/U</t>
  </si>
  <si>
    <t>110V, 300AH Battery Charger O/U</t>
  </si>
  <si>
    <t>33kV Breaker Damaged</t>
  </si>
  <si>
    <t>33KV P.T. Old &amp; used Replaced under PSDF</t>
  </si>
  <si>
    <t>VV6V503002</t>
  </si>
  <si>
    <t>132KV P.T. Old &amp; used Replaced under PSDF</t>
  </si>
  <si>
    <t>JJ0J003005</t>
  </si>
  <si>
    <t>132 KV C.B. Damaged</t>
  </si>
  <si>
    <t>33 KV C.B. Old &amp; used Replaced under PSDF</t>
  </si>
  <si>
    <t>132 KV C.B. Old &amp; used Replaced under PSDF</t>
  </si>
  <si>
    <t>II5I504009</t>
  </si>
  <si>
    <t>Suspension fitting for 7/9 Earth wire</t>
  </si>
  <si>
    <t>II5I504010</t>
  </si>
  <si>
    <t>Suspension fitting for 7/10
 Earth wire</t>
  </si>
  <si>
    <t>II5I501009</t>
  </si>
  <si>
    <t>Tension fitting for 7/9 Earth wire</t>
  </si>
  <si>
    <t>Mid Span joint for 7/9 E/W</t>
  </si>
  <si>
    <t>Mid Span joint for 7/10
 E/W</t>
  </si>
  <si>
    <t>Dismantald tower Parts</t>
  </si>
  <si>
    <t>MT.</t>
  </si>
  <si>
    <t xml:space="preserve">33 kV Areva make VCB Old &amp; used Replaced under PSDF </t>
  </si>
  <si>
    <t>MM0M004007</t>
  </si>
  <si>
    <t>Electromag. O/C, E/F relay O/U</t>
  </si>
  <si>
    <t>II5I507004</t>
  </si>
  <si>
    <t>Bolted Type Tension Fitting for ACSR 'Zebra</t>
  </si>
  <si>
    <t>VV2V204001</t>
  </si>
  <si>
    <t>EHV Grade Transformer oil drum.</t>
  </si>
  <si>
    <t>33 KV ABB VCB make old and used replaced under P.S.D.F scheme</t>
  </si>
  <si>
    <t>33 kV / 110 volt Potential transformer</t>
  </si>
  <si>
    <t>145 kv bushing for 40mva T/F EMCO Make</t>
  </si>
  <si>
    <t>Empty Drum of Transformer Oil each 209 ltr. Capacity</t>
  </si>
  <si>
    <t>Empty Drum of Transformer Oil each 209 ltr. Capacity (O&amp;U)</t>
  </si>
  <si>
    <t xml:space="preserve">132KV C.V.T. Old &amp; used </t>
  </si>
  <si>
    <t>33 KV ABB VCB make old and used .</t>
  </si>
  <si>
    <t>33 KV Alstom VCB make old and used .</t>
  </si>
  <si>
    <t>SF-6 Gas</t>
  </si>
  <si>
    <t>03</t>
  </si>
  <si>
    <t xml:space="preserve">132 KV C.B. Old &amp; used </t>
  </si>
  <si>
    <t>JJ7J701014</t>
  </si>
  <si>
    <t>Screw auxillary switch 110Volt DC, 12NO+12NC for 33kV CB.</t>
  </si>
  <si>
    <t>SS4S402004</t>
  </si>
  <si>
    <t>33 kV Isolator Jaw with four contact</t>
  </si>
  <si>
    <t>SS4S402020</t>
  </si>
  <si>
    <t>33 kv Bus Post insulator</t>
  </si>
  <si>
    <t>Junction Box for 33 kV CT/PT</t>
  </si>
  <si>
    <t>VV5V406003</t>
  </si>
  <si>
    <t>Junction Box for 132 kV CT</t>
  </si>
  <si>
    <t>02</t>
  </si>
  <si>
    <t>VV6V601003</t>
  </si>
  <si>
    <t>Junction Box for 132 kV PT/CVT.</t>
  </si>
  <si>
    <t>II5I507005</t>
  </si>
  <si>
    <t>Bolted Type Tension Fitting for ACSR Panther Conductor</t>
  </si>
  <si>
    <t>NN5N502002</t>
  </si>
  <si>
    <t>Non-Contact high voltage detector</t>
  </si>
  <si>
    <t>145 kv 800A 300 BCT bushing for 40mva EMCO Make T/F</t>
  </si>
  <si>
    <t>145 kv 800A 100 BCT bushing for 40mva ALSTOM Make T/F</t>
  </si>
  <si>
    <t>132 kV Isolator Male Female contact for 1200amp.</t>
  </si>
  <si>
    <t>132 kV Bus Post Insulator</t>
  </si>
  <si>
    <t xml:space="preserve">132 kV Bus Post solid core Insulator </t>
  </si>
  <si>
    <t>SS3S301006</t>
  </si>
  <si>
    <t>132 kV Isolator Male female contact with arm for 1200amp.</t>
  </si>
  <si>
    <t xml:space="preserve">33 KV  VCB  old and used </t>
  </si>
  <si>
    <t>JJ7J701002</t>
  </si>
  <si>
    <t>ON / OFF TNC switch 2 No-2 NC for 33 kV VCB</t>
  </si>
  <si>
    <t>ON / OFF TNC switch 4 No-4 NC for 132 kV C.B.</t>
  </si>
  <si>
    <t>II1I102004</t>
  </si>
  <si>
    <t xml:space="preserve">C- Wedge clamp for Moose to Panther </t>
  </si>
  <si>
    <t>Tension fitting for 7/10 
Earth wire</t>
  </si>
  <si>
    <t>II1I105001</t>
  </si>
  <si>
    <t xml:space="preserve">C- Wedge clamp for Panther to Panther </t>
  </si>
  <si>
    <t>Incomplete tower parts Old &amp; Used Scrap</t>
  </si>
  <si>
    <t>33 kV Single phase , outdoor type Live Tank C.T. having ratio 400/200/1A O/U</t>
  </si>
  <si>
    <t>33 kV CT (old and Used )400/200/1</t>
  </si>
  <si>
    <t>SS7S707002</t>
  </si>
  <si>
    <t>160 Amp. 415 Volt 4 pole 10 KA MCCB</t>
  </si>
  <si>
    <t>33 kV C.B. ( Old &amp; Used)</t>
  </si>
  <si>
    <t>VV5V407016</t>
  </si>
  <si>
    <t>CT clamp for Moose conductor having 6 no. U-Bolt</t>
  </si>
  <si>
    <t>VV5V407023</t>
  </si>
  <si>
    <t>CT clamp for Panther conductor having 6 no. U-Bolt</t>
  </si>
  <si>
    <t>MM2M202011</t>
  </si>
  <si>
    <t xml:space="preserve">Digital Voltmeter PTR- 33/110Volt </t>
  </si>
  <si>
    <t>Single Tension fitting (120 KN) for  ACSR Panther conductor.</t>
  </si>
  <si>
    <t>II5I502005</t>
  </si>
  <si>
    <t>Double Tension fitting (120 KN) for Panther conductor (suitable for 1*2insulator string)_.</t>
  </si>
  <si>
    <t>FF4F403007</t>
  </si>
  <si>
    <t>copper bond for 7/3.15mm GS Earth wire or 7/10 SWG</t>
  </si>
  <si>
    <t>C-Wedge clamp</t>
  </si>
  <si>
    <t>II0I001004</t>
  </si>
  <si>
    <t>120 Kn Long Insulator</t>
  </si>
  <si>
    <t>70 Kn Long Insulator</t>
  </si>
  <si>
    <t>PP0P018009</t>
  </si>
  <si>
    <t>D-Shackle</t>
  </si>
  <si>
    <t>Tension fitting for GS earthwire-7/10 SWG</t>
  </si>
  <si>
    <t>sets</t>
  </si>
  <si>
    <t>PP0P008010</t>
  </si>
  <si>
    <t xml:space="preserve">Buldog grip for 7/10 earth wire </t>
  </si>
  <si>
    <t>Jumper Cone for 132 kv panther conductor</t>
  </si>
  <si>
    <t xml:space="preserve">132kv Isolator clamp </t>
  </si>
  <si>
    <t>Flexible Copper Bonds</t>
  </si>
  <si>
    <t>Dismantled Tower Parts  (OLD&amp;USED</t>
  </si>
  <si>
    <t>Dismantled ACSRPanther Conductor  (OLD&amp;USED)</t>
  </si>
  <si>
    <t>Dismantled Earth Wire  (OLD&amp;USED)</t>
  </si>
  <si>
    <t>B&amp;C Type Tower parts with Bolt,Nuts &amp; stub(galvanized)(Dismantle,Damage,old &amp; used) including parts of Temp,B&amp;C type.</t>
  </si>
  <si>
    <t>ACSR Panther conductor(in pieces)</t>
  </si>
  <si>
    <t>GS Earthwire 7/10 SWG(in pieces)</t>
  </si>
  <si>
    <t>Vibration damper for ACSR Panther conductor(Dismantled).</t>
  </si>
  <si>
    <t>Vibration Damper for GS Earthwire 7/10 SWG(Dismantled).</t>
  </si>
  <si>
    <t>W2V203001</t>
  </si>
  <si>
    <t>Disc Insulator 120kN(Dismantled)</t>
  </si>
  <si>
    <t>LL0L001005</t>
  </si>
  <si>
    <t>Flood Light 150 watt</t>
  </si>
  <si>
    <t>Total Rs.</t>
  </si>
  <si>
    <t xml:space="preserve">Capital Stock inventory for the Month of :-  July - 2026 </t>
  </si>
  <si>
    <t>33kV Single phase oil cooled outdoor typr PT ratio 33kkV/110olt,class-0.2/PS,burden-50VA</t>
  </si>
  <si>
    <t>120 KN Disc Insulator for tension fitting.</t>
  </si>
  <si>
    <t>Vibration damper for ACSR Panther conductor.</t>
  </si>
  <si>
    <t xml:space="preserve">Tension fitting for 7/10 SWG G.S Earth wire. </t>
  </si>
  <si>
    <t>Vibration damper for Earth wire</t>
  </si>
  <si>
    <t>Mid Span compression joint for ACSR Panther conductor.</t>
  </si>
  <si>
    <t xml:space="preserve"> Mid Span compression joint for earthwire.</t>
  </si>
  <si>
    <t>Tension clamp  for 7/10 SWG earth wire</t>
  </si>
  <si>
    <t xml:space="preserve"> Repair Sleeve for ACSR Panther conductor.</t>
  </si>
  <si>
    <t>II3I307006</t>
  </si>
  <si>
    <t>Danger plate</t>
  </si>
  <si>
    <t>II3I307001</t>
  </si>
  <si>
    <t>Number plate</t>
  </si>
  <si>
    <t>II3I307003</t>
  </si>
  <si>
    <t>Phase plate (set of three)</t>
  </si>
  <si>
    <t>FF4F405001</t>
  </si>
  <si>
    <t>Pipe type earthing set (set of 02 No. for each tower)</t>
  </si>
  <si>
    <t>Set.</t>
  </si>
  <si>
    <t>II4I406005</t>
  </si>
  <si>
    <t>Anti climbing device barbed wire</t>
  </si>
  <si>
    <t>II3I308001</t>
  </si>
  <si>
    <t>Bird guards ( set of six )</t>
  </si>
  <si>
    <t>JJ0J003002</t>
  </si>
  <si>
    <t>145 kV SF6 Circuit Breaker (3-phase) along with support structure</t>
  </si>
  <si>
    <t>FF1F106003</t>
  </si>
  <si>
    <t>GI nuts and Bolts,warshers.</t>
  </si>
  <si>
    <t>II5I507002</t>
  </si>
  <si>
    <t>Bolted type tesion fitting for ACSR Moose conductor</t>
  </si>
  <si>
    <t>II1I102001</t>
  </si>
  <si>
    <t>C-wedge clamp for Moose to Moose conductor</t>
  </si>
  <si>
    <t>JJ8J801004</t>
  </si>
  <si>
    <t>145kV Ckt Breaker clamp for Moose conductor</t>
  </si>
  <si>
    <t>FF2F202003</t>
  </si>
  <si>
    <t>MS Flat 50*6 mm</t>
  </si>
  <si>
    <t>Turn Buckle with U-bolt for gantry</t>
  </si>
  <si>
    <t>132kV PT,132kV/110V</t>
  </si>
  <si>
    <t>Juction Box for 132kV PT</t>
  </si>
  <si>
    <t xml:space="preserve">Stock inventory for the Month of :-  July - 2026 </t>
  </si>
  <si>
    <t>Name of Stock Holder - Jagjeewan LAL (J.E.)</t>
  </si>
  <si>
    <t>Item code</t>
  </si>
  <si>
    <t>II2I202002</t>
  </si>
  <si>
    <t>Earth wire clamp for SP-55</t>
  </si>
  <si>
    <t>V Cross Arm 33KV</t>
  </si>
  <si>
    <t>SS6S608010</t>
  </si>
  <si>
    <t>Contactor MN-25watt aux 1c AC 15-4 415V, AC 10A</t>
  </si>
  <si>
    <t>Pin Insulator for LT line</t>
  </si>
  <si>
    <t>33KV PIN insulator</t>
  </si>
  <si>
    <t>II5I505006</t>
  </si>
  <si>
    <t>Double Suspension fitting (SPL Pantther)</t>
  </si>
  <si>
    <t>II5I502006</t>
  </si>
  <si>
    <t>Double Tension fitting (SPL Pantther)</t>
  </si>
  <si>
    <t>II3I301005</t>
  </si>
  <si>
    <t>Mid Spain Joint (SPL Panther)</t>
  </si>
  <si>
    <t>PP0P001005</t>
  </si>
  <si>
    <t>Come Along Clamp Automatic (SPL Panther)</t>
  </si>
  <si>
    <t>II3I306005</t>
  </si>
  <si>
    <t>Jumpering Cone (SPL Panther)</t>
  </si>
  <si>
    <t>Disc Insulator O/U</t>
  </si>
  <si>
    <t>AAIA101002</t>
  </si>
  <si>
    <t>Earth Wire O/U</t>
  </si>
  <si>
    <t>Double Tension Fitting  for Panther  Conductor</t>
  </si>
  <si>
    <t>Bolted type busbar tension fitting having 6 bolt sutable for Moose conductor</t>
  </si>
  <si>
    <t>ACSR panther Conductor ( Old &amp; used )</t>
  </si>
  <si>
    <t>Tension Fitting for Panther Conductor</t>
  </si>
  <si>
    <t>Tension fitting for 7/10 Earth wire</t>
  </si>
  <si>
    <t>08</t>
  </si>
  <si>
    <t>Bolted Type Tension Fitting for ACSR Moose Conductor</t>
  </si>
  <si>
    <t>Jumpering Cone for Panther conductor</t>
  </si>
  <si>
    <t>33kV CT Single phase 800/400/1A</t>
  </si>
  <si>
    <t>Junction Box for CT</t>
  </si>
  <si>
    <t>Expulsion type fuse</t>
  </si>
  <si>
    <t>SS6S610026</t>
  </si>
  <si>
    <t>HRC Fuse 2Amp</t>
  </si>
  <si>
    <t>SS6S610024</t>
  </si>
  <si>
    <t>HRC Fuse 4Amp</t>
  </si>
  <si>
    <t>SS6S610022</t>
  </si>
  <si>
    <t>HRC Fuse 6Amp</t>
  </si>
  <si>
    <t>SS6S610020</t>
  </si>
  <si>
    <t>HRC Fuse 10Amp</t>
  </si>
  <si>
    <t>SS6S610019</t>
  </si>
  <si>
    <t>HRC Fuse 16Amp</t>
  </si>
  <si>
    <t>SS6S610016</t>
  </si>
  <si>
    <t>HRC Fuse 20Amp</t>
  </si>
  <si>
    <t>32A 2 pole MCB</t>
  </si>
  <si>
    <t>63A 2 pole MCB</t>
  </si>
  <si>
    <t>36kV 1000 Amp LV Bushing for EMCO Make Transformer</t>
  </si>
  <si>
    <t>36kV 2000 Amp LV &amp; HV-LV Bushing for Alstom Make Transformer</t>
  </si>
  <si>
    <t>Inventory</t>
  </si>
  <si>
    <t>Garhwal Zone Roorkee</t>
  </si>
  <si>
    <t>Name of  circle</t>
  </si>
  <si>
    <t>Name of  Division</t>
  </si>
  <si>
    <t>O&amp;M Division Yamuna Colony Dehradun</t>
  </si>
  <si>
    <t>Name of  S/s</t>
  </si>
  <si>
    <t>July 2026 (Upto 22.07.2026)</t>
  </si>
  <si>
    <t>Incharge</t>
  </si>
  <si>
    <t>Dinesh Kumar Singh JE O&amp;M Majra</t>
  </si>
  <si>
    <t>Unit Rate</t>
  </si>
  <si>
    <t>NN0N003008</t>
  </si>
  <si>
    <t>11 KV panel damage</t>
  </si>
  <si>
    <t>110V DCDB panel (old &amp;used)</t>
  </si>
  <si>
    <t>Lenovo K6 mobile phone (old &amp; used)</t>
  </si>
  <si>
    <t>110 volt Battery Charger damage</t>
  </si>
  <si>
    <t>Disc Fittings damage</t>
  </si>
  <si>
    <t>NN0N001012</t>
  </si>
  <si>
    <t>11 KV MOCB  incoming panel(Obselete)</t>
  </si>
  <si>
    <t>11 KV MOCB outgoing panel(Obselete)</t>
  </si>
  <si>
    <t>Bird Guard</t>
  </si>
  <si>
    <t>Tension Fitting 7/09 SWG Earth Wire</t>
  </si>
  <si>
    <t>Tension  Clamp 7/10 SWG Earth Wire</t>
  </si>
  <si>
    <t>Double Tension Fitting for Panther</t>
  </si>
  <si>
    <t>YY0Y003005</t>
  </si>
  <si>
    <t>2 volt 300 AH Battery Cell damage</t>
  </si>
  <si>
    <t xml:space="preserve"> Battery charger 300AH Statcon make Old and used</t>
  </si>
  <si>
    <t>33KV Circuit Breaker Old &amp; Used</t>
  </si>
  <si>
    <t>33KV SF6 circuit breaker ( 1-Pole damage)</t>
  </si>
  <si>
    <t>33KV PT Damaged</t>
  </si>
  <si>
    <t>SS3S301007</t>
  </si>
  <si>
    <t>Male arm assembly for 145KV ELPRO</t>
  </si>
  <si>
    <t>Female arm assembly for 145KV ELPRO</t>
  </si>
  <si>
    <t>Male arm assembly for 145KV HVLEM</t>
  </si>
  <si>
    <t>Female contact assembly for 145KV HVLEM</t>
  </si>
  <si>
    <t>SS0S003003</t>
  </si>
  <si>
    <t>145KV Bus Isolator complete Old &amp; Used</t>
  </si>
  <si>
    <t>II2I210002</t>
  </si>
  <si>
    <t>Twin Type 33KV Isolator Clamp for Moose Conductor</t>
  </si>
  <si>
    <t>Bushing Assembly 145KV Alstom T/F</t>
  </si>
  <si>
    <t>Buchholz Relay</t>
  </si>
  <si>
    <t>WTI</t>
  </si>
  <si>
    <t>33 KV Circuit Breaker old and used</t>
  </si>
  <si>
    <t>Expulsion Type fuse for Capacitor Bank II</t>
  </si>
  <si>
    <t>Expulsion Type fuse for Capacitor Bank I</t>
  </si>
  <si>
    <t>132 KV Isolator Blade</t>
  </si>
  <si>
    <t>132 KV Isolator Jaw</t>
  </si>
  <si>
    <t>Isolator Pad Clamp</t>
  </si>
  <si>
    <t>132 KV Isolator clamp</t>
  </si>
  <si>
    <t>145 KV Bus post Insulator</t>
  </si>
  <si>
    <t>ACSR Moose Conductor</t>
  </si>
  <si>
    <t>33 KV SF6 spring charge motor</t>
  </si>
  <si>
    <t>132 KV SF6 spring charge motor</t>
  </si>
  <si>
    <t xml:space="preserve">132 KV tripping coil </t>
  </si>
  <si>
    <t xml:space="preserve">133 KV closing coil </t>
  </si>
  <si>
    <t>Isolator Clamp Panther</t>
  </si>
  <si>
    <t>C Wej Moose to moose</t>
  </si>
  <si>
    <t>C Wej Panther to Panther</t>
  </si>
  <si>
    <t>3 Phase 145 KV Isolator</t>
  </si>
  <si>
    <t>132 KV Jaw</t>
  </si>
  <si>
    <t>33 KV VCB ABB Make</t>
  </si>
  <si>
    <t>132 KV 3 Phase isolator</t>
  </si>
  <si>
    <t>C-Wej Clamp Moose to moose</t>
  </si>
  <si>
    <t>PG Clamp Moose to moose</t>
  </si>
  <si>
    <t>33 KV Isolator 3Phase</t>
  </si>
  <si>
    <t>Lattice Structure with bolt and nuts</t>
  </si>
  <si>
    <t>Cwej clamp panther to panther</t>
  </si>
  <si>
    <t>MS Flat</t>
  </si>
  <si>
    <t>GI Nut bolt and washer</t>
  </si>
  <si>
    <t>Phase plate</t>
  </si>
  <si>
    <t>33 KV Current transformer</t>
  </si>
  <si>
    <t xml:space="preserve"> Total (in Rs)</t>
  </si>
  <si>
    <t>Garhwal Zone</t>
  </si>
  <si>
    <t>Dehradun Circle</t>
  </si>
  <si>
    <t>Name of  Substation</t>
  </si>
  <si>
    <t>132 KV Substation Majra (Line)</t>
  </si>
  <si>
    <t>Name of Section Holder</t>
  </si>
  <si>
    <t>Kuldeep Jadli JE</t>
  </si>
  <si>
    <t>Incomplete tower parts rusted in scrap</t>
  </si>
  <si>
    <t>FF0F043010</t>
  </si>
  <si>
    <t>Template -B type tower stub (O/U)</t>
  </si>
  <si>
    <t>FF0F043012</t>
  </si>
  <si>
    <t>Template -C type tower stub (O/U)</t>
  </si>
  <si>
    <t>A+3type tower parts(O/U)</t>
  </si>
  <si>
    <t>Template for 132KV S/C tower</t>
  </si>
  <si>
    <t>Mid span joint for Earth wire</t>
  </si>
  <si>
    <t>Earth wire 7/10swg</t>
  </si>
  <si>
    <t>Double Tension Fitting Compression type for ACSR special panther</t>
  </si>
  <si>
    <t>II5I501006</t>
  </si>
  <si>
    <t>Single Tension Fitting Compression type for ACSR special panther</t>
  </si>
  <si>
    <t>Mid Span Joint for ACSR special panther</t>
  </si>
  <si>
    <t>II3I303005</t>
  </si>
  <si>
    <t>Vibration damper for ACSR special panther</t>
  </si>
  <si>
    <t>Double tensiion fitting</t>
  </si>
  <si>
    <t xml:space="preserve">132 KV D/C B Type Tower Parts Incomplete Crompton Make </t>
  </si>
  <si>
    <t xml:space="preserve">132 KV D/C A Type Tower Parts Incomplete Crompton Make </t>
  </si>
  <si>
    <t>132 KV S/C A Type Tower Parts Incomplete SAE Make</t>
  </si>
  <si>
    <t>132KV S/C 'C' type tower parts incomplete scrap</t>
  </si>
  <si>
    <t>Polymer Insulator String</t>
  </si>
  <si>
    <t>PP0P001004</t>
  </si>
  <si>
    <t>Bolted type PG Clamp with Nut Bolt</t>
  </si>
  <si>
    <t>PG Clamp Panther to panther</t>
  </si>
  <si>
    <t>C-Wej Clamp panther to panther</t>
  </si>
  <si>
    <t>33KV Breaker Clamp Panther Conducter</t>
  </si>
  <si>
    <t>Moose to Deer conducter P.G clamp old and used</t>
  </si>
  <si>
    <t xml:space="preserve">Aluminium Alloy C.T clamp 40mm </t>
  </si>
  <si>
    <t>Aluminium Alloy C.T clamp 28mm with single Panther conducter</t>
  </si>
  <si>
    <t>Transformer Oil Old &amp; used &amp; damage</t>
  </si>
  <si>
    <t>kl</t>
  </si>
  <si>
    <t>33KV Surge Arrester</t>
  </si>
  <si>
    <t>Ampere Meter 72X144mm Old &amp; Used</t>
  </si>
  <si>
    <t>MW Meter 72X144mm Old &amp; Used</t>
  </si>
  <si>
    <t>MVar Meter 72X144mm Old &amp; Used</t>
  </si>
  <si>
    <t>MW Meter 96X96mm Old &amp; Used</t>
  </si>
  <si>
    <t>MVar Meter 96X96mm Old &amp; Used</t>
  </si>
</sst>
</file>

<file path=xl/styles.xml><?xml version="1.0" encoding="utf-8"?>
<styleSheet xmlns="http://schemas.openxmlformats.org/spreadsheetml/2006/main">
  <numFmts count="10">
    <numFmt numFmtId="43" formatCode="_(* #,##0.00_);_(* \(#,##0.00\);_(* &quot;-&quot;??_);_(@_)"/>
    <numFmt numFmtId="164" formatCode="_ * #,##0.00_ ;_ * \-#,##0.00_ ;_ * &quot;-&quot;??_ ;_ @_ "/>
    <numFmt numFmtId="165" formatCode="&quot;₹&quot;\ #,##0.00"/>
    <numFmt numFmtId="166" formatCode="0.000"/>
    <numFmt numFmtId="167" formatCode="0.0"/>
    <numFmt numFmtId="168" formatCode="0.0000"/>
    <numFmt numFmtId="169" formatCode="_(* #,##0.000_);_(* \(#,##0.000\);_(* &quot;-&quot;??_);_(@_)"/>
    <numFmt numFmtId="170" formatCode="_(* #,##0_);_(* \(#,##0\);_(* &quot;-&quot;??_);_(@_)"/>
    <numFmt numFmtId="171" formatCode="&quot;₹&quot;\ #,##0.00;[Red]&quot;₹&quot;\ \-#,##0.00"/>
    <numFmt numFmtId="172" formatCode="[$-409]mmm\-yy;@"/>
  </numFmts>
  <fonts count="18">
    <font>
      <sz val="11"/>
      <color theme="1"/>
      <name val="Calibri"/>
      <family val="2"/>
      <scheme val="minor"/>
    </font>
    <font>
      <sz val="11"/>
      <color theme="1"/>
      <name val="Calibri"/>
      <family val="2"/>
      <scheme val="minor"/>
    </font>
    <font>
      <sz val="11"/>
      <color indexed="8"/>
      <name val="Calibri"/>
      <family val="2"/>
    </font>
    <font>
      <sz val="10"/>
      <name val="Arial"/>
      <family val="2"/>
    </font>
    <font>
      <b/>
      <sz val="11"/>
      <name val="Arial"/>
      <family val="2"/>
    </font>
    <font>
      <sz val="11"/>
      <name val="Arial"/>
      <family val="2"/>
    </font>
    <font>
      <sz val="11"/>
      <color theme="1"/>
      <name val="Arial"/>
      <family val="2"/>
    </font>
    <font>
      <sz val="11"/>
      <color indexed="8"/>
      <name val="Arial"/>
      <family val="2"/>
    </font>
    <font>
      <sz val="11"/>
      <color rgb="FF000000"/>
      <name val="Arial"/>
      <family val="2"/>
    </font>
    <font>
      <b/>
      <sz val="11"/>
      <color theme="1"/>
      <name val="Arial"/>
      <family val="2"/>
    </font>
    <font>
      <b/>
      <sz val="11"/>
      <color theme="1"/>
      <name val="Calibri"/>
      <family val="2"/>
      <scheme val="minor"/>
    </font>
    <font>
      <b/>
      <sz val="12"/>
      <color theme="1"/>
      <name val="Times New Roman"/>
      <family val="1"/>
    </font>
    <font>
      <b/>
      <sz val="10"/>
      <name val="Arial"/>
      <family val="2"/>
    </font>
    <font>
      <b/>
      <sz val="20"/>
      <color theme="1"/>
      <name val="Calibri"/>
      <family val="2"/>
      <scheme val="minor"/>
    </font>
    <font>
      <b/>
      <sz val="16"/>
      <color theme="1"/>
      <name val="Calibri"/>
      <family val="2"/>
      <scheme val="minor"/>
    </font>
    <font>
      <b/>
      <sz val="14"/>
      <color theme="1"/>
      <name val="Calibri"/>
      <family val="2"/>
      <scheme val="minor"/>
    </font>
    <font>
      <sz val="11"/>
      <color rgb="FFFF0000"/>
      <name val="Arial"/>
      <family val="2"/>
    </font>
    <font>
      <b/>
      <sz val="11"/>
      <color rgb="FF000000"/>
      <name val="Arial"/>
      <family val="2"/>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indexed="64"/>
      </top>
      <bottom/>
      <diagonal/>
    </border>
    <border>
      <left style="thin">
        <color rgb="FF000000"/>
      </left>
      <right style="thin">
        <color rgb="FF000000"/>
      </right>
      <top/>
      <bottom/>
      <diagonal/>
    </border>
    <border>
      <left style="thin">
        <color rgb="FF000000"/>
      </left>
      <right style="thin">
        <color rgb="FF000000"/>
      </right>
      <top/>
      <bottom style="thin">
        <color indexed="64"/>
      </bottom>
      <diagonal/>
    </border>
    <border>
      <left/>
      <right style="dotted">
        <color indexed="64"/>
      </right>
      <top style="dotted">
        <color indexed="64"/>
      </top>
      <bottom style="dotted">
        <color indexed="64"/>
      </bottom>
      <diagonal/>
    </border>
    <border>
      <left/>
      <right style="thin">
        <color rgb="FF000000"/>
      </right>
      <top style="thin">
        <color indexed="64"/>
      </top>
      <bottom style="thin">
        <color indexed="64"/>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rgb="FF000000"/>
      </right>
      <top/>
      <bottom style="thin">
        <color rgb="FF000000"/>
      </bottom>
      <diagonal/>
    </border>
  </borders>
  <cellStyleXfs count="9">
    <xf numFmtId="0" fontId="0" fillId="0" borderId="0"/>
    <xf numFmtId="43" fontId="1" fillId="0" borderId="0" applyFont="0" applyFill="0" applyBorder="0" applyAlignment="0" applyProtection="0"/>
    <xf numFmtId="0" fontId="1" fillId="0" borderId="0"/>
    <xf numFmtId="43" fontId="2" fillId="0" borderId="0" applyFont="0" applyFill="0" applyBorder="0" applyAlignment="0" applyProtection="0"/>
    <xf numFmtId="0" fontId="3" fillId="0" borderId="0"/>
    <xf numFmtId="0" fontId="3" fillId="0" borderId="0"/>
    <xf numFmtId="165" fontId="1" fillId="0" borderId="0" applyFont="0" applyFill="0" applyBorder="0" applyAlignment="0" applyProtection="0"/>
    <xf numFmtId="164" fontId="1" fillId="0" borderId="0" applyFont="0" applyFill="0" applyBorder="0" applyAlignment="0" applyProtection="0"/>
    <xf numFmtId="0" fontId="3" fillId="0" borderId="0"/>
  </cellStyleXfs>
  <cellXfs count="499">
    <xf numFmtId="0" fontId="0" fillId="0" borderId="0" xfId="0"/>
    <xf numFmtId="0" fontId="4" fillId="2" borderId="0" xfId="0" applyFont="1" applyFill="1" applyBorder="1"/>
    <xf numFmtId="0" fontId="4" fillId="2" borderId="1" xfId="0" applyFont="1" applyFill="1" applyBorder="1" applyAlignment="1">
      <alignment horizontal="center" vertical="center" wrapText="1"/>
    </xf>
    <xf numFmtId="1" fontId="4" fillId="2" borderId="0" xfId="0" applyNumberFormat="1" applyFont="1" applyFill="1" applyBorder="1" applyAlignment="1">
      <alignment horizontal="center"/>
    </xf>
    <xf numFmtId="0" fontId="5" fillId="2" borderId="1" xfId="0" applyFont="1" applyFill="1" applyBorder="1" applyAlignment="1">
      <alignment horizontal="center" vertical="center" wrapText="1"/>
    </xf>
    <xf numFmtId="1" fontId="5" fillId="2" borderId="0" xfId="0" applyNumberFormat="1" applyFont="1" applyFill="1" applyBorder="1" applyAlignment="1">
      <alignment horizontal="center" wrapText="1"/>
    </xf>
    <xf numFmtId="0" fontId="5" fillId="2" borderId="1" xfId="0" applyFont="1" applyFill="1" applyBorder="1" applyAlignment="1">
      <alignment horizontal="left" vertical="center" wrapText="1"/>
    </xf>
    <xf numFmtId="0" fontId="5" fillId="2" borderId="0" xfId="0" applyFont="1" applyFill="1" applyBorder="1" applyAlignment="1">
      <alignment wrapText="1"/>
    </xf>
    <xf numFmtId="0" fontId="4" fillId="2" borderId="1" xfId="0" applyFont="1" applyFill="1" applyBorder="1" applyAlignment="1">
      <alignment horizontal="right" vertical="center" wrapText="1"/>
    </xf>
    <xf numFmtId="0" fontId="4" fillId="2" borderId="0" xfId="0" applyFont="1" applyFill="1" applyBorder="1" applyAlignment="1">
      <alignment wrapText="1"/>
    </xf>
    <xf numFmtId="0" fontId="4" fillId="2" borderId="1" xfId="0" applyFont="1" applyFill="1" applyBorder="1" applyAlignment="1">
      <alignment horizontal="center" wrapText="1"/>
    </xf>
    <xf numFmtId="0" fontId="5" fillId="2" borderId="0" xfId="0" applyFont="1" applyFill="1" applyBorder="1" applyAlignment="1">
      <alignment horizontal="left" vertical="center" wrapText="1"/>
    </xf>
    <xf numFmtId="0" fontId="4" fillId="2" borderId="0" xfId="0" applyFont="1" applyFill="1" applyBorder="1" applyAlignment="1">
      <alignment horizontal="left" vertical="center" wrapText="1"/>
    </xf>
    <xf numFmtId="0" fontId="5" fillId="2" borderId="2"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vertical="center"/>
    </xf>
    <xf numFmtId="0" fontId="5" fillId="2" borderId="1" xfId="0" applyFont="1" applyFill="1" applyBorder="1" applyAlignment="1">
      <alignment horizontal="center"/>
    </xf>
    <xf numFmtId="0" fontId="5" fillId="2" borderId="0" xfId="0" applyFont="1" applyFill="1" applyBorder="1"/>
    <xf numFmtId="0" fontId="5" fillId="2" borderId="13" xfId="0" applyFont="1" applyFill="1" applyBorder="1" applyAlignment="1">
      <alignment horizontal="center" vertical="center"/>
    </xf>
    <xf numFmtId="0" fontId="5" fillId="2" borderId="3" xfId="0" applyFont="1" applyFill="1" applyBorder="1" applyAlignment="1">
      <alignment wrapText="1"/>
    </xf>
    <xf numFmtId="0" fontId="5" fillId="2" borderId="1" xfId="0" applyFont="1" applyFill="1" applyBorder="1" applyAlignment="1">
      <alignment wrapText="1"/>
    </xf>
    <xf numFmtId="0" fontId="5" fillId="2" borderId="6" xfId="0" applyFont="1" applyFill="1" applyBorder="1" applyAlignment="1">
      <alignment horizontal="center"/>
    </xf>
    <xf numFmtId="0" fontId="5" fillId="2" borderId="6" xfId="0" applyFont="1" applyFill="1" applyBorder="1" applyAlignment="1">
      <alignment horizontal="center" vertical="center"/>
    </xf>
    <xf numFmtId="2" fontId="5" fillId="2" borderId="1" xfId="0" applyNumberFormat="1" applyFont="1" applyFill="1" applyBorder="1" applyAlignment="1">
      <alignment horizontal="left" vertical="center" wrapText="1"/>
    </xf>
    <xf numFmtId="0" fontId="5" fillId="2" borderId="1" xfId="0" applyFont="1" applyFill="1" applyBorder="1" applyAlignment="1"/>
    <xf numFmtId="2" fontId="5" fillId="2" borderId="1" xfId="0" applyNumberFormat="1" applyFont="1" applyFill="1" applyBorder="1" applyAlignment="1">
      <alignment horizontal="left" wrapText="1"/>
    </xf>
    <xf numFmtId="0" fontId="5" fillId="2" borderId="8" xfId="0" applyFont="1" applyFill="1" applyBorder="1" applyAlignment="1">
      <alignment horizontal="center" vertical="center"/>
    </xf>
    <xf numFmtId="2" fontId="5" fillId="2" borderId="10" xfId="0" applyNumberFormat="1" applyFont="1" applyFill="1" applyBorder="1" applyAlignment="1">
      <alignment horizontal="left" wrapText="1"/>
    </xf>
    <xf numFmtId="0" fontId="5" fillId="2" borderId="10" xfId="0" applyFont="1" applyFill="1" applyBorder="1" applyAlignment="1">
      <alignment horizontal="center" vertical="center"/>
    </xf>
    <xf numFmtId="0" fontId="5" fillId="2" borderId="1" xfId="0" applyFont="1" applyFill="1" applyBorder="1" applyAlignment="1">
      <alignment horizontal="left" wrapText="1"/>
    </xf>
    <xf numFmtId="2" fontId="5" fillId="2" borderId="1" xfId="0" applyNumberFormat="1" applyFont="1" applyFill="1" applyBorder="1" applyAlignment="1">
      <alignment vertical="top" wrapText="1"/>
    </xf>
    <xf numFmtId="2" fontId="5" fillId="2" borderId="10" xfId="0" applyNumberFormat="1" applyFont="1" applyFill="1" applyBorder="1" applyAlignment="1">
      <alignment vertical="top" wrapText="1"/>
    </xf>
    <xf numFmtId="0" fontId="4" fillId="2" borderId="1" xfId="0" applyFont="1" applyFill="1" applyBorder="1" applyAlignment="1">
      <alignment horizontal="center"/>
    </xf>
    <xf numFmtId="0" fontId="5" fillId="2" borderId="0" xfId="0" applyFont="1" applyFill="1" applyBorder="1" applyAlignment="1">
      <alignment horizontal="center"/>
    </xf>
    <xf numFmtId="0" fontId="5" fillId="2" borderId="0" xfId="0" applyFont="1" applyFill="1" applyBorder="1" applyAlignment="1">
      <alignment horizontal="center" wrapText="1"/>
    </xf>
    <xf numFmtId="2" fontId="5" fillId="2" borderId="0" xfId="0" applyNumberFormat="1" applyFont="1" applyFill="1" applyBorder="1" applyAlignment="1"/>
    <xf numFmtId="0" fontId="4" fillId="2" borderId="1" xfId="0" applyFont="1" applyFill="1" applyBorder="1" applyAlignment="1">
      <alignment vertical="center" wrapText="1"/>
    </xf>
    <xf numFmtId="1" fontId="4" fillId="2" borderId="0" xfId="0" applyNumberFormat="1" applyFont="1" applyFill="1" applyBorder="1" applyAlignment="1">
      <alignment horizontal="center" wrapText="1"/>
    </xf>
    <xf numFmtId="2" fontId="4" fillId="2" borderId="1" xfId="0" applyNumberFormat="1" applyFont="1" applyFill="1" applyBorder="1" applyAlignment="1">
      <alignment wrapText="1"/>
    </xf>
    <xf numFmtId="2" fontId="4" fillId="2" borderId="1" xfId="0" applyNumberFormat="1" applyFont="1" applyFill="1" applyBorder="1" applyAlignment="1">
      <alignment vertical="center" wrapText="1"/>
    </xf>
    <xf numFmtId="165" fontId="4" fillId="2" borderId="1" xfId="0" applyNumberFormat="1" applyFont="1" applyFill="1" applyBorder="1" applyAlignment="1">
      <alignment vertical="center" wrapText="1"/>
    </xf>
    <xf numFmtId="2" fontId="5" fillId="2" borderId="1" xfId="0" applyNumberFormat="1" applyFont="1" applyFill="1" applyBorder="1" applyAlignment="1"/>
    <xf numFmtId="0" fontId="5" fillId="2" borderId="1" xfId="0" applyFont="1" applyFill="1" applyBorder="1" applyAlignment="1">
      <alignment vertical="top" wrapText="1"/>
    </xf>
    <xf numFmtId="2" fontId="5" fillId="2" borderId="0" xfId="0" applyNumberFormat="1" applyFont="1" applyFill="1" applyBorder="1" applyAlignment="1">
      <alignment vertical="center"/>
    </xf>
    <xf numFmtId="166" fontId="4" fillId="2" borderId="1" xfId="0" applyNumberFormat="1" applyFont="1" applyFill="1" applyBorder="1" applyAlignment="1">
      <alignment horizontal="right" wrapText="1"/>
    </xf>
    <xf numFmtId="2" fontId="4" fillId="2" borderId="1" xfId="0" applyNumberFormat="1" applyFont="1" applyFill="1" applyBorder="1" applyAlignment="1">
      <alignment horizontal="right" wrapText="1"/>
    </xf>
    <xf numFmtId="165" fontId="4" fillId="2" borderId="1" xfId="0" applyNumberFormat="1" applyFont="1" applyFill="1" applyBorder="1" applyAlignment="1">
      <alignment horizontal="right" vertical="center" wrapText="1"/>
    </xf>
    <xf numFmtId="2" fontId="5" fillId="2" borderId="1" xfId="0" applyNumberFormat="1" applyFont="1" applyFill="1" applyBorder="1" applyAlignment="1">
      <alignment horizontal="right"/>
    </xf>
    <xf numFmtId="166" fontId="5" fillId="2" borderId="0" xfId="0" applyNumberFormat="1" applyFont="1" applyFill="1" applyBorder="1" applyAlignment="1">
      <alignment horizontal="right"/>
    </xf>
    <xf numFmtId="2" fontId="5" fillId="2" borderId="0" xfId="0" applyNumberFormat="1" applyFont="1" applyFill="1" applyBorder="1" applyAlignment="1">
      <alignment horizontal="right"/>
    </xf>
    <xf numFmtId="0" fontId="6" fillId="0" borderId="0" xfId="0" applyFont="1" applyAlignment="1">
      <alignment horizontal="center" vertical="center"/>
    </xf>
    <xf numFmtId="0" fontId="6" fillId="0" borderId="0" xfId="0" applyFont="1" applyAlignment="1">
      <alignment horizontal="center"/>
    </xf>
    <xf numFmtId="0" fontId="5" fillId="0" borderId="0" xfId="0" applyFont="1" applyAlignment="1">
      <alignment horizontal="center" vertical="center"/>
    </xf>
    <xf numFmtId="0" fontId="6" fillId="0" borderId="0" xfId="0" applyFont="1"/>
    <xf numFmtId="0" fontId="5" fillId="0" borderId="0" xfId="0" applyFont="1" applyAlignment="1">
      <alignment horizontal="left"/>
    </xf>
    <xf numFmtId="0" fontId="4" fillId="2" borderId="0" xfId="0" applyFont="1" applyFill="1" applyBorder="1" applyAlignment="1">
      <alignment vertical="top"/>
    </xf>
    <xf numFmtId="166" fontId="4" fillId="2" borderId="1" xfId="0" applyNumberFormat="1" applyFont="1" applyFill="1" applyBorder="1" applyAlignment="1">
      <alignment horizontal="center" vertical="top" wrapText="1"/>
    </xf>
    <xf numFmtId="1" fontId="4" fillId="2" borderId="1" xfId="0" applyNumberFormat="1" applyFont="1" applyFill="1" applyBorder="1" applyAlignment="1">
      <alignment horizontal="center" vertical="top" wrapText="1"/>
    </xf>
    <xf numFmtId="1" fontId="4" fillId="2" borderId="0" xfId="0" applyNumberFormat="1" applyFont="1" applyFill="1" applyBorder="1" applyAlignment="1">
      <alignment horizontal="center" vertical="top"/>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5" fillId="0" borderId="1" xfId="0" applyFont="1" applyBorder="1" applyAlignment="1">
      <alignment horizontal="left" vertical="center" wrapText="1"/>
    </xf>
    <xf numFmtId="165" fontId="5" fillId="0" borderId="1" xfId="7" applyNumberFormat="1" applyFont="1" applyFill="1" applyBorder="1" applyAlignment="1">
      <alignment horizontal="center" vertical="center"/>
    </xf>
    <xf numFmtId="165" fontId="5" fillId="0" borderId="1" xfId="6" applyFont="1" applyFill="1" applyBorder="1" applyAlignment="1">
      <alignment horizontal="center" vertical="center"/>
    </xf>
    <xf numFmtId="49" fontId="6" fillId="0" borderId="1" xfId="0" applyNumberFormat="1" applyFont="1" applyBorder="1" applyAlignment="1">
      <alignment horizontal="center" vertical="center"/>
    </xf>
    <xf numFmtId="165" fontId="5" fillId="0" borderId="1" xfId="2"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0" fontId="6" fillId="0" borderId="1" xfId="0" applyFont="1" applyBorder="1" applyAlignment="1">
      <alignment vertical="center" wrapText="1"/>
    </xf>
    <xf numFmtId="165" fontId="5"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vertical="center"/>
    </xf>
    <xf numFmtId="165" fontId="4" fillId="2" borderId="1" xfId="0" applyNumberFormat="1" applyFont="1" applyFill="1" applyBorder="1" applyAlignment="1">
      <alignment horizontal="center" vertical="center" wrapText="1"/>
    </xf>
    <xf numFmtId="2" fontId="4"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xf>
    <xf numFmtId="0" fontId="8" fillId="2" borderId="1" xfId="0" applyFont="1" applyFill="1" applyBorder="1" applyAlignment="1">
      <alignment horizontal="center" vertical="center"/>
    </xf>
    <xf numFmtId="0" fontId="6" fillId="2" borderId="1" xfId="0" applyFont="1" applyFill="1" applyBorder="1" applyAlignment="1">
      <alignment wrapText="1"/>
    </xf>
    <xf numFmtId="43" fontId="6" fillId="0" borderId="1" xfId="1" applyFont="1" applyBorder="1" applyAlignment="1">
      <alignment horizontal="right" vertical="center"/>
    </xf>
    <xf numFmtId="43" fontId="6" fillId="0" borderId="1" xfId="1" applyFont="1" applyBorder="1" applyAlignment="1">
      <alignment horizontal="center" vertical="center"/>
    </xf>
    <xf numFmtId="0" fontId="8" fillId="2" borderId="0" xfId="0" applyFont="1" applyFill="1" applyAlignment="1">
      <alignment horizontal="center" vertical="center"/>
    </xf>
    <xf numFmtId="0" fontId="8" fillId="2" borderId="1" xfId="0" applyFont="1" applyFill="1" applyBorder="1" applyAlignment="1">
      <alignment horizontal="justify" vertical="center" wrapText="1"/>
    </xf>
    <xf numFmtId="0" fontId="8" fillId="2" borderId="1" xfId="0" applyFont="1" applyFill="1" applyBorder="1" applyAlignment="1">
      <alignment horizontal="center"/>
    </xf>
    <xf numFmtId="43" fontId="5" fillId="0" borderId="1" xfId="1" applyFont="1" applyFill="1" applyBorder="1" applyAlignment="1">
      <alignment horizontal="right" vertical="center" wrapText="1"/>
    </xf>
    <xf numFmtId="0" fontId="8" fillId="2" borderId="1" xfId="0" applyFont="1" applyFill="1" applyBorder="1" applyAlignment="1">
      <alignment horizontal="center" vertical="top"/>
    </xf>
    <xf numFmtId="0" fontId="8" fillId="2" borderId="18" xfId="0" applyFont="1" applyFill="1" applyBorder="1" applyAlignment="1">
      <alignment horizontal="justify" vertical="center" wrapText="1"/>
    </xf>
    <xf numFmtId="170" fontId="6" fillId="0" borderId="1" xfId="1" applyNumberFormat="1" applyFont="1" applyBorder="1" applyAlignment="1">
      <alignment horizontal="right" vertical="center"/>
    </xf>
    <xf numFmtId="0" fontId="6" fillId="2" borderId="0" xfId="0" applyFont="1" applyFill="1" applyAlignment="1">
      <alignment wrapText="1"/>
    </xf>
    <xf numFmtId="0" fontId="5" fillId="0" borderId="1" xfId="0" applyFont="1" applyBorder="1" applyAlignment="1">
      <alignment horizontal="center" vertical="center" wrapText="1"/>
    </xf>
    <xf numFmtId="43" fontId="7" fillId="0" borderId="1" xfId="1" applyFont="1" applyBorder="1" applyAlignment="1">
      <alignment horizontal="right" vertical="center"/>
    </xf>
    <xf numFmtId="43" fontId="5" fillId="2" borderId="1" xfId="1" applyFont="1" applyFill="1" applyBorder="1" applyAlignment="1">
      <alignment horizontal="right" vertical="center" wrapText="1"/>
    </xf>
    <xf numFmtId="0" fontId="6" fillId="2" borderId="1" xfId="0" applyFont="1" applyFill="1" applyBorder="1" applyAlignment="1">
      <alignment vertical="center"/>
    </xf>
    <xf numFmtId="0" fontId="5" fillId="2" borderId="1" xfId="0" applyFont="1" applyFill="1" applyBorder="1" applyAlignment="1">
      <alignment horizontal="left" vertical="top" wrapText="1"/>
    </xf>
    <xf numFmtId="0" fontId="6" fillId="0" borderId="1" xfId="0" applyFont="1" applyBorder="1" applyAlignment="1">
      <alignment horizontal="center" vertical="top" wrapText="1"/>
    </xf>
    <xf numFmtId="2" fontId="7" fillId="0" borderId="1" xfId="0" applyNumberFormat="1" applyFont="1" applyBorder="1" applyAlignment="1">
      <alignment horizontal="right" vertical="center" wrapText="1"/>
    </xf>
    <xf numFmtId="0" fontId="8" fillId="2" borderId="0" xfId="0" applyFont="1" applyFill="1" applyAlignment="1">
      <alignment horizontal="center"/>
    </xf>
    <xf numFmtId="0" fontId="8" fillId="2" borderId="1" xfId="0" applyFont="1" applyFill="1" applyBorder="1" applyAlignment="1">
      <alignment wrapText="1"/>
    </xf>
    <xf numFmtId="0" fontId="6" fillId="0" borderId="1" xfId="0" applyFont="1" applyBorder="1" applyAlignment="1">
      <alignment horizontal="center" wrapText="1"/>
    </xf>
    <xf numFmtId="2" fontId="6" fillId="0" borderId="1" xfId="0" applyNumberFormat="1" applyFont="1" applyBorder="1" applyAlignment="1">
      <alignment horizontal="right" vertical="center"/>
    </xf>
    <xf numFmtId="0" fontId="5" fillId="2" borderId="17" xfId="0" applyFont="1" applyFill="1" applyBorder="1" applyAlignment="1">
      <alignment vertical="top" wrapText="1"/>
    </xf>
    <xf numFmtId="49" fontId="6" fillId="2" borderId="3"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right" vertical="center"/>
    </xf>
    <xf numFmtId="0" fontId="6" fillId="2" borderId="3" xfId="0" applyFont="1" applyFill="1" applyBorder="1" applyAlignment="1">
      <alignment horizontal="left" vertical="center" wrapText="1"/>
    </xf>
    <xf numFmtId="0" fontId="6" fillId="2" borderId="1" xfId="0" applyFont="1" applyFill="1" applyBorder="1" applyAlignment="1">
      <alignment vertical="center" wrapText="1"/>
    </xf>
    <xf numFmtId="0" fontId="8" fillId="0" borderId="0" xfId="0" applyFont="1" applyAlignment="1">
      <alignment horizontal="center" vertical="center"/>
    </xf>
    <xf numFmtId="1" fontId="7" fillId="0" borderId="1" xfId="0" applyNumberFormat="1" applyFont="1" applyBorder="1" applyAlignment="1">
      <alignment vertical="center" wrapText="1"/>
    </xf>
    <xf numFmtId="0" fontId="5" fillId="0" borderId="6" xfId="0" applyFont="1" applyBorder="1" applyAlignment="1">
      <alignment horizontal="left" vertical="center" wrapText="1"/>
    </xf>
    <xf numFmtId="0" fontId="5" fillId="0" borderId="6" xfId="0" applyFont="1" applyBorder="1" applyAlignment="1">
      <alignment horizontal="center" vertical="center"/>
    </xf>
    <xf numFmtId="2" fontId="5" fillId="0" borderId="6" xfId="0" applyNumberFormat="1" applyFont="1" applyBorder="1" applyAlignment="1">
      <alignment horizontal="right" vertical="center"/>
    </xf>
    <xf numFmtId="0" fontId="5" fillId="0" borderId="6" xfId="0" applyFont="1" applyBorder="1" applyAlignment="1">
      <alignment vertical="center"/>
    </xf>
    <xf numFmtId="0" fontId="8" fillId="2" borderId="5" xfId="0" applyFont="1" applyFill="1" applyBorder="1" applyAlignment="1">
      <alignment horizontal="center" vertical="center"/>
    </xf>
    <xf numFmtId="0" fontId="8" fillId="0" borderId="22" xfId="0" applyFont="1" applyBorder="1" applyAlignment="1">
      <alignment horizontal="center" vertical="center"/>
    </xf>
    <xf numFmtId="0" fontId="6" fillId="0" borderId="23" xfId="0" applyFont="1" applyBorder="1" applyAlignment="1">
      <alignment horizontal="center" vertical="center"/>
    </xf>
    <xf numFmtId="0" fontId="7" fillId="0" borderId="1" xfId="0" applyFont="1" applyBorder="1" applyAlignment="1">
      <alignment horizontal="center" wrapText="1"/>
    </xf>
    <xf numFmtId="2" fontId="5" fillId="0" borderId="1" xfId="0" applyNumberFormat="1" applyFont="1" applyBorder="1" applyAlignment="1">
      <alignment horizontal="right" vertical="center"/>
    </xf>
    <xf numFmtId="0" fontId="5" fillId="0" borderId="2" xfId="0" applyFont="1" applyBorder="1" applyAlignment="1">
      <alignment vertical="center"/>
    </xf>
    <xf numFmtId="0" fontId="5" fillId="0" borderId="1" xfId="0" applyFont="1" applyBorder="1" applyAlignment="1">
      <alignment horizontal="center" wrapText="1"/>
    </xf>
    <xf numFmtId="0" fontId="5" fillId="0" borderId="7" xfId="0" applyFont="1" applyBorder="1" applyAlignment="1">
      <alignment horizontal="center" vertical="center"/>
    </xf>
    <xf numFmtId="0" fontId="5" fillId="0" borderId="14" xfId="0" applyFont="1" applyBorder="1" applyAlignment="1">
      <alignment horizontal="center" vertical="center"/>
    </xf>
    <xf numFmtId="0" fontId="8" fillId="0" borderId="1" xfId="0" applyFont="1" applyBorder="1" applyAlignment="1">
      <alignment horizontal="center" vertical="center"/>
    </xf>
    <xf numFmtId="0" fontId="5" fillId="0" borderId="4" xfId="0" applyFont="1" applyBorder="1" applyAlignment="1">
      <alignment horizontal="center" wrapText="1"/>
    </xf>
    <xf numFmtId="0" fontId="8" fillId="0" borderId="1" xfId="0" applyFont="1" applyBorder="1" applyAlignment="1">
      <alignment vertical="center"/>
    </xf>
    <xf numFmtId="0" fontId="5" fillId="0" borderId="1" xfId="0" applyFont="1" applyBorder="1" applyAlignment="1">
      <alignment horizontal="center" vertical="center"/>
    </xf>
    <xf numFmtId="0" fontId="5" fillId="0" borderId="10"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5" fillId="0" borderId="2" xfId="0" applyFont="1" applyBorder="1" applyAlignment="1">
      <alignment horizontal="right" vertical="center"/>
    </xf>
    <xf numFmtId="0" fontId="5" fillId="0" borderId="1" xfId="0" applyFont="1" applyBorder="1" applyAlignment="1">
      <alignment horizontal="right" vertical="center"/>
    </xf>
    <xf numFmtId="2" fontId="6" fillId="0" borderId="1" xfId="0" applyNumberFormat="1" applyFont="1" applyBorder="1" applyAlignment="1">
      <alignment horizontal="center" vertical="center"/>
    </xf>
    <xf numFmtId="2" fontId="5" fillId="2" borderId="1" xfId="0" applyNumberFormat="1" applyFont="1" applyFill="1" applyBorder="1" applyAlignment="1">
      <alignment horizontal="center" vertical="center"/>
    </xf>
    <xf numFmtId="0" fontId="5" fillId="2" borderId="10" xfId="0" applyFont="1" applyFill="1" applyBorder="1" applyAlignment="1">
      <alignment horizontal="left" vertical="top" wrapText="1"/>
    </xf>
    <xf numFmtId="0" fontId="6" fillId="0" borderId="1" xfId="0" applyFont="1" applyBorder="1" applyAlignment="1">
      <alignment horizontal="center"/>
    </xf>
    <xf numFmtId="0" fontId="6" fillId="0" borderId="1" xfId="0" applyFont="1" applyFill="1" applyBorder="1" applyAlignment="1">
      <alignment horizontal="center" vertical="center"/>
    </xf>
    <xf numFmtId="0" fontId="5" fillId="2" borderId="1" xfId="0" applyFont="1" applyFill="1" applyBorder="1" applyAlignment="1">
      <alignment horizontal="center" wrapText="1"/>
    </xf>
    <xf numFmtId="2" fontId="5" fillId="2" borderId="1" xfId="0" applyNumberFormat="1" applyFont="1" applyFill="1" applyBorder="1" applyAlignment="1">
      <alignment vertical="center"/>
    </xf>
    <xf numFmtId="0" fontId="5" fillId="2" borderId="12" xfId="0" applyFont="1" applyFill="1" applyBorder="1" applyAlignment="1">
      <alignment horizontal="center"/>
    </xf>
    <xf numFmtId="0" fontId="5" fillId="2" borderId="12" xfId="0" applyFont="1" applyFill="1" applyBorder="1" applyAlignment="1">
      <alignment horizontal="center" vertical="center"/>
    </xf>
    <xf numFmtId="1" fontId="5" fillId="2" borderId="6" xfId="0" applyNumberFormat="1" applyFont="1" applyFill="1" applyBorder="1" applyAlignment="1">
      <alignment horizontal="center" wrapText="1"/>
    </xf>
    <xf numFmtId="0" fontId="5" fillId="2" borderId="6" xfId="0" applyFont="1" applyFill="1" applyBorder="1" applyAlignment="1">
      <alignment horizontal="center" vertical="top"/>
    </xf>
    <xf numFmtId="1" fontId="5" fillId="2" borderId="6" xfId="0" applyNumberFormat="1" applyFont="1" applyFill="1" applyBorder="1" applyAlignment="1">
      <alignment horizontal="center" vertical="center" wrapText="1"/>
    </xf>
    <xf numFmtId="0" fontId="5" fillId="2" borderId="10" xfId="0" applyFont="1" applyFill="1" applyBorder="1" applyAlignment="1">
      <alignment horizontal="center"/>
    </xf>
    <xf numFmtId="0" fontId="5" fillId="2" borderId="8" xfId="0" applyFont="1" applyFill="1" applyBorder="1" applyAlignment="1">
      <alignment horizontal="center"/>
    </xf>
    <xf numFmtId="0" fontId="4" fillId="2" borderId="10" xfId="0" applyFont="1" applyFill="1" applyBorder="1" applyAlignment="1">
      <alignment horizontal="center" vertical="center" wrapText="1"/>
    </xf>
    <xf numFmtId="2" fontId="4" fillId="2" borderId="10" xfId="0" applyNumberFormat="1"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11" xfId="0" applyFont="1" applyFill="1" applyBorder="1" applyAlignment="1">
      <alignment horizontal="center" vertical="center" wrapText="1"/>
    </xf>
    <xf numFmtId="2" fontId="5" fillId="2" borderId="1" xfId="0" applyNumberFormat="1" applyFont="1" applyFill="1" applyBorder="1" applyAlignment="1">
      <alignment horizontal="center" vertical="top" wrapText="1"/>
    </xf>
    <xf numFmtId="167" fontId="5" fillId="2" borderId="1" xfId="0" applyNumberFormat="1" applyFont="1" applyFill="1" applyBorder="1" applyAlignment="1">
      <alignment horizontal="center" vertical="top" wrapText="1"/>
    </xf>
    <xf numFmtId="2" fontId="5" fillId="2" borderId="5" xfId="0" applyNumberFormat="1" applyFont="1" applyFill="1" applyBorder="1" applyAlignment="1">
      <alignment horizontal="center"/>
    </xf>
    <xf numFmtId="2" fontId="5" fillId="2" borderId="1" xfId="0" applyNumberFormat="1" applyFont="1" applyFill="1" applyBorder="1" applyAlignment="1">
      <alignment horizontal="center"/>
    </xf>
    <xf numFmtId="2" fontId="5" fillId="2" borderId="3" xfId="0" applyNumberFormat="1" applyFont="1" applyFill="1" applyBorder="1" applyAlignment="1">
      <alignment horizontal="center" vertical="top" wrapText="1"/>
    </xf>
    <xf numFmtId="1" fontId="5" fillId="2" borderId="1" xfId="0" applyNumberFormat="1" applyFont="1" applyFill="1" applyBorder="1" applyAlignment="1">
      <alignment horizontal="center" vertical="top" wrapText="1"/>
    </xf>
    <xf numFmtId="2" fontId="5" fillId="2" borderId="12" xfId="0" applyNumberFormat="1" applyFont="1" applyFill="1" applyBorder="1" applyAlignment="1">
      <alignment horizontal="center"/>
    </xf>
    <xf numFmtId="2" fontId="5" fillId="2" borderId="6" xfId="0" applyNumberFormat="1" applyFont="1" applyFill="1" applyBorder="1" applyAlignment="1">
      <alignment horizontal="center"/>
    </xf>
    <xf numFmtId="2" fontId="5" fillId="2" borderId="1" xfId="0" applyNumberFormat="1" applyFont="1" applyFill="1" applyBorder="1" applyAlignment="1">
      <alignment horizontal="center" vertical="center" wrapText="1"/>
    </xf>
    <xf numFmtId="1" fontId="5" fillId="2" borderId="1" xfId="0" applyNumberFormat="1" applyFont="1" applyFill="1" applyBorder="1" applyAlignment="1">
      <alignment horizontal="center" vertical="center" wrapText="1"/>
    </xf>
    <xf numFmtId="2" fontId="5" fillId="2" borderId="6" xfId="0" applyNumberFormat="1" applyFont="1" applyFill="1" applyBorder="1" applyAlignment="1">
      <alignment horizontal="center" vertical="center"/>
    </xf>
    <xf numFmtId="166" fontId="5" fillId="2" borderId="1" xfId="0" applyNumberFormat="1" applyFont="1" applyFill="1" applyBorder="1" applyAlignment="1">
      <alignment horizontal="center" vertical="top" wrapText="1"/>
    </xf>
    <xf numFmtId="168" fontId="5" fillId="2" borderId="1" xfId="0" applyNumberFormat="1" applyFont="1" applyFill="1" applyBorder="1" applyAlignment="1">
      <alignment horizontal="center" vertical="top" wrapText="1"/>
    </xf>
    <xf numFmtId="0" fontId="5" fillId="2" borderId="1" xfId="0" applyFont="1" applyFill="1" applyBorder="1" applyAlignment="1">
      <alignment horizontal="center" vertical="top" wrapText="1"/>
    </xf>
    <xf numFmtId="2" fontId="5" fillId="2" borderId="1" xfId="0" applyNumberFormat="1" applyFont="1" applyFill="1" applyBorder="1" applyAlignment="1">
      <alignment horizontal="center" wrapText="1"/>
    </xf>
    <xf numFmtId="168" fontId="5" fillId="2" borderId="1" xfId="0" applyNumberFormat="1" applyFont="1" applyFill="1" applyBorder="1" applyAlignment="1">
      <alignment horizontal="center" wrapText="1"/>
    </xf>
    <xf numFmtId="166" fontId="5" fillId="2" borderId="1" xfId="0" applyNumberFormat="1" applyFont="1" applyFill="1" applyBorder="1" applyAlignment="1">
      <alignment horizontal="center" wrapText="1"/>
    </xf>
    <xf numFmtId="1" fontId="5" fillId="2" borderId="1" xfId="0" applyNumberFormat="1" applyFont="1" applyFill="1" applyBorder="1" applyAlignment="1">
      <alignment horizontal="center" wrapText="1"/>
    </xf>
    <xf numFmtId="2" fontId="5" fillId="2" borderId="10" xfId="0" applyNumberFormat="1" applyFont="1" applyFill="1" applyBorder="1" applyAlignment="1">
      <alignment horizontal="center" wrapText="1"/>
    </xf>
    <xf numFmtId="2" fontId="5" fillId="2" borderId="10" xfId="0" applyNumberFormat="1" applyFont="1" applyFill="1" applyBorder="1" applyAlignment="1">
      <alignment horizontal="center"/>
    </xf>
    <xf numFmtId="2" fontId="5" fillId="2" borderId="1" xfId="0" applyNumberFormat="1" applyFont="1" applyFill="1" applyBorder="1" applyAlignment="1">
      <alignment horizontal="center" vertical="top"/>
    </xf>
    <xf numFmtId="168" fontId="5" fillId="2" borderId="1" xfId="0" applyNumberFormat="1" applyFont="1" applyFill="1" applyBorder="1" applyAlignment="1">
      <alignment horizontal="center" vertical="top"/>
    </xf>
    <xf numFmtId="168" fontId="5" fillId="2" borderId="1" xfId="0" applyNumberFormat="1" applyFont="1" applyFill="1" applyBorder="1" applyAlignment="1">
      <alignment horizontal="center"/>
    </xf>
    <xf numFmtId="167" fontId="5" fillId="2" borderId="1" xfId="0" applyNumberFormat="1" applyFont="1" applyFill="1" applyBorder="1" applyAlignment="1">
      <alignment horizontal="center"/>
    </xf>
    <xf numFmtId="167" fontId="5" fillId="2" borderId="1" xfId="0" applyNumberFormat="1" applyFont="1" applyFill="1" applyBorder="1" applyAlignment="1">
      <alignment horizontal="center" wrapText="1"/>
    </xf>
    <xf numFmtId="167" fontId="5" fillId="2" borderId="1" xfId="0" applyNumberFormat="1" applyFont="1" applyFill="1" applyBorder="1" applyAlignment="1">
      <alignment horizontal="center" vertical="top"/>
    </xf>
    <xf numFmtId="2" fontId="5" fillId="2" borderId="10" xfId="0" applyNumberFormat="1" applyFont="1" applyFill="1" applyBorder="1" applyAlignment="1">
      <alignment horizontal="center" vertical="top"/>
    </xf>
    <xf numFmtId="167" fontId="5" fillId="2" borderId="10" xfId="0" applyNumberFormat="1" applyFont="1" applyFill="1" applyBorder="1" applyAlignment="1">
      <alignment horizontal="center" vertical="top"/>
    </xf>
    <xf numFmtId="2" fontId="4" fillId="2" borderId="1" xfId="0" applyNumberFormat="1" applyFont="1" applyFill="1" applyBorder="1" applyAlignment="1">
      <alignment horizontal="center" vertical="center"/>
    </xf>
    <xf numFmtId="2" fontId="4" fillId="2" borderId="1" xfId="0" applyNumberFormat="1" applyFont="1" applyFill="1" applyBorder="1" applyAlignment="1">
      <alignment horizontal="center"/>
    </xf>
    <xf numFmtId="165" fontId="5" fillId="0" borderId="1" xfId="1" applyNumberFormat="1" applyFont="1" applyFill="1" applyBorder="1" applyAlignment="1">
      <alignment horizontal="center" vertical="center"/>
    </xf>
    <xf numFmtId="0" fontId="6" fillId="0" borderId="1" xfId="0" applyFont="1" applyFill="1" applyBorder="1"/>
    <xf numFmtId="0" fontId="6" fillId="0" borderId="1" xfId="0" applyFont="1" applyFill="1" applyBorder="1" applyAlignment="1"/>
    <xf numFmtId="0" fontId="5" fillId="2" borderId="3" xfId="0" applyFont="1" applyFill="1" applyBorder="1" applyAlignment="1">
      <alignment horizontal="center" vertical="top"/>
    </xf>
    <xf numFmtId="0" fontId="5" fillId="2" borderId="1" xfId="0" applyFont="1" applyFill="1" applyBorder="1" applyAlignment="1">
      <alignment horizontal="center" vertical="top"/>
    </xf>
    <xf numFmtId="0" fontId="5" fillId="2" borderId="10" xfId="0" applyFont="1" applyFill="1" applyBorder="1" applyAlignment="1">
      <alignment horizontal="center" vertical="top"/>
    </xf>
    <xf numFmtId="0" fontId="6" fillId="0" borderId="1" xfId="0" applyFont="1" applyFill="1" applyBorder="1" applyAlignment="1">
      <alignment horizontal="center"/>
    </xf>
    <xf numFmtId="166" fontId="4" fillId="2" borderId="0" xfId="0" applyNumberFormat="1" applyFont="1" applyFill="1" applyBorder="1" applyAlignment="1">
      <alignment horizontal="center"/>
    </xf>
    <xf numFmtId="0" fontId="4" fillId="2" borderId="1" xfId="0" applyFont="1" applyFill="1" applyBorder="1" applyAlignment="1">
      <alignment horizontal="right" wrapText="1"/>
    </xf>
    <xf numFmtId="0" fontId="4" fillId="2" borderId="1" xfId="0" applyFont="1" applyFill="1" applyBorder="1" applyAlignment="1">
      <alignment horizontal="left" wrapText="1"/>
    </xf>
    <xf numFmtId="2" fontId="6" fillId="0" borderId="1" xfId="0" applyNumberFormat="1" applyFont="1" applyFill="1" applyBorder="1" applyAlignment="1">
      <alignment horizontal="center" vertical="center"/>
    </xf>
    <xf numFmtId="168" fontId="6" fillId="0" borderId="1" xfId="0" applyNumberFormat="1" applyFont="1" applyFill="1" applyBorder="1" applyAlignment="1">
      <alignment horizontal="center"/>
    </xf>
    <xf numFmtId="2" fontId="6" fillId="0" borderId="1" xfId="0" applyNumberFormat="1" applyFont="1" applyFill="1" applyBorder="1" applyAlignment="1">
      <alignment horizontal="center" vertical="center" wrapText="1"/>
    </xf>
    <xf numFmtId="2" fontId="9" fillId="0" borderId="1" xfId="0" applyNumberFormat="1" applyFont="1" applyFill="1" applyBorder="1" applyAlignment="1">
      <alignment horizontal="center"/>
    </xf>
    <xf numFmtId="168" fontId="9" fillId="0" borderId="1" xfId="0" applyNumberFormat="1" applyFont="1" applyFill="1" applyBorder="1" applyAlignment="1">
      <alignment horizontal="center"/>
    </xf>
    <xf numFmtId="0" fontId="9" fillId="0" borderId="1" xfId="0" applyFont="1" applyFill="1" applyBorder="1" applyAlignment="1">
      <alignment horizontal="right"/>
    </xf>
    <xf numFmtId="2" fontId="4" fillId="2" borderId="1" xfId="0" applyNumberFormat="1" applyFont="1" applyFill="1" applyBorder="1" applyAlignment="1">
      <alignment horizontal="right"/>
    </xf>
    <xf numFmtId="0" fontId="4" fillId="0" borderId="0" xfId="0" applyFont="1" applyAlignment="1">
      <alignment horizontal="center" vertical="center"/>
    </xf>
    <xf numFmtId="17" fontId="4" fillId="0" borderId="0" xfId="0" applyNumberFormat="1" applyFont="1" applyAlignment="1">
      <alignment horizontal="left"/>
    </xf>
    <xf numFmtId="2" fontId="4" fillId="2" borderId="1" xfId="0" applyNumberFormat="1" applyFont="1" applyFill="1" applyBorder="1" applyAlignment="1">
      <alignment horizontal="center" vertical="top" wrapText="1"/>
    </xf>
    <xf numFmtId="0" fontId="4" fillId="2" borderId="1" xfId="0" applyFont="1" applyFill="1" applyBorder="1" applyAlignment="1">
      <alignment horizontal="center" vertical="top" wrapText="1"/>
    </xf>
    <xf numFmtId="0" fontId="4" fillId="2" borderId="1" xfId="0" applyFont="1" applyFill="1" applyBorder="1" applyAlignment="1">
      <alignment horizontal="left" vertical="center" wrapText="1"/>
    </xf>
    <xf numFmtId="0" fontId="5" fillId="0" borderId="8" xfId="0" applyFont="1" applyBorder="1" applyAlignment="1">
      <alignment horizontal="center" vertical="center"/>
    </xf>
    <xf numFmtId="0" fontId="4" fillId="0" borderId="0" xfId="0" applyFont="1" applyAlignment="1">
      <alignment horizontal="left"/>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xf>
    <xf numFmtId="171" fontId="0" fillId="2" borderId="1" xfId="0" applyNumberFormat="1" applyFill="1" applyBorder="1"/>
    <xf numFmtId="0" fontId="0" fillId="2" borderId="1" xfId="0" applyFill="1" applyBorder="1"/>
    <xf numFmtId="0" fontId="0" fillId="2" borderId="2" xfId="0" applyFill="1" applyBorder="1"/>
    <xf numFmtId="0" fontId="10" fillId="2" borderId="4" xfId="0" applyFont="1" applyFill="1" applyBorder="1" applyAlignment="1">
      <alignment horizontal="center"/>
    </xf>
    <xf numFmtId="0" fontId="0" fillId="2" borderId="0" xfId="0" applyFill="1"/>
    <xf numFmtId="0" fontId="10" fillId="2" borderId="2" xfId="0" applyFont="1" applyFill="1" applyBorder="1" applyAlignment="1"/>
    <xf numFmtId="0" fontId="10" fillId="2" borderId="4" xfId="0" applyFont="1" applyFill="1" applyBorder="1" applyAlignment="1"/>
    <xf numFmtId="0" fontId="12" fillId="2" borderId="1" xfId="0" applyFont="1" applyFill="1" applyBorder="1" applyAlignment="1">
      <alignment horizontal="center"/>
    </xf>
    <xf numFmtId="0" fontId="10" fillId="2" borderId="15" xfId="0" applyFont="1" applyFill="1" applyBorder="1" applyAlignment="1">
      <alignment horizontal="center"/>
    </xf>
    <xf numFmtId="0" fontId="10" fillId="2" borderId="16" xfId="0" applyFont="1" applyFill="1" applyBorder="1" applyAlignment="1">
      <alignment horizont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2" fillId="0" borderId="1" xfId="0" applyFont="1" applyBorder="1" applyAlignment="1">
      <alignment horizontal="center"/>
    </xf>
    <xf numFmtId="0" fontId="10" fillId="0" borderId="1" xfId="0" applyFont="1" applyBorder="1" applyAlignment="1">
      <alignment horizontal="center"/>
    </xf>
    <xf numFmtId="164" fontId="0" fillId="2" borderId="1" xfId="7" applyFont="1" applyFill="1" applyBorder="1"/>
    <xf numFmtId="0" fontId="0" fillId="0" borderId="2" xfId="0" applyBorder="1"/>
    <xf numFmtId="0" fontId="10" fillId="0" borderId="4" xfId="0" applyFont="1" applyBorder="1" applyAlignment="1">
      <alignment horizontal="center"/>
    </xf>
    <xf numFmtId="171" fontId="0" fillId="0" borderId="1" xfId="7" applyNumberFormat="1" applyFont="1" applyFill="1" applyBorder="1" applyAlignment="1">
      <alignment horizontal="center"/>
    </xf>
    <xf numFmtId="164" fontId="10" fillId="2" borderId="1" xfId="7" applyFont="1" applyFill="1" applyBorder="1" applyAlignment="1">
      <alignment horizontal="center" vertical="center"/>
    </xf>
    <xf numFmtId="0" fontId="5" fillId="2" borderId="0" xfId="0" applyFont="1" applyFill="1" applyAlignment="1">
      <alignment horizontal="center" vertical="center"/>
    </xf>
    <xf numFmtId="0" fontId="6" fillId="2" borderId="0" xfId="0" applyFont="1" applyFill="1" applyAlignment="1">
      <alignment horizontal="center" vertical="center"/>
    </xf>
    <xf numFmtId="165" fontId="6" fillId="2" borderId="1" xfId="0" applyNumberFormat="1"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65" fontId="6" fillId="2" borderId="1" xfId="0" applyNumberFormat="1" applyFont="1" applyFill="1" applyBorder="1" applyAlignment="1">
      <alignment horizontal="center" vertical="center" wrapText="1"/>
    </xf>
    <xf numFmtId="165" fontId="5" fillId="2" borderId="1" xfId="0" applyNumberFormat="1" applyFont="1" applyFill="1" applyBorder="1" applyAlignment="1">
      <alignment horizontal="center" vertical="center" wrapText="1"/>
    </xf>
    <xf numFmtId="169" fontId="6" fillId="2" borderId="1" xfId="0" applyNumberFormat="1" applyFont="1" applyFill="1" applyBorder="1" applyAlignment="1">
      <alignment horizontal="right" vertical="center"/>
    </xf>
    <xf numFmtId="43" fontId="6" fillId="2" borderId="1" xfId="1" applyFont="1" applyFill="1" applyBorder="1" applyAlignment="1">
      <alignment horizontal="center" vertical="center"/>
    </xf>
    <xf numFmtId="43" fontId="6" fillId="2" borderId="1" xfId="0" applyNumberFormat="1" applyFont="1" applyFill="1" applyBorder="1" applyAlignment="1">
      <alignment horizontal="right" vertical="center"/>
    </xf>
    <xf numFmtId="170" fontId="6" fillId="2" borderId="1" xfId="0" applyNumberFormat="1" applyFont="1" applyFill="1" applyBorder="1" applyAlignment="1">
      <alignment vertical="center"/>
    </xf>
    <xf numFmtId="170" fontId="6" fillId="2" borderId="1" xfId="0" applyNumberFormat="1" applyFont="1" applyFill="1" applyBorder="1" applyAlignment="1">
      <alignment horizontal="right" vertical="center"/>
    </xf>
    <xf numFmtId="43" fontId="6" fillId="2" borderId="10" xfId="1" applyFont="1" applyFill="1" applyBorder="1" applyAlignment="1">
      <alignment horizontal="center" vertical="center"/>
    </xf>
    <xf numFmtId="0" fontId="6" fillId="2" borderId="1" xfId="0" applyFont="1" applyFill="1" applyBorder="1" applyAlignment="1">
      <alignment horizontal="right" vertical="center"/>
    </xf>
    <xf numFmtId="43" fontId="6" fillId="2" borderId="1" xfId="0" applyNumberFormat="1" applyFont="1" applyFill="1" applyBorder="1" applyAlignment="1">
      <alignment horizontal="center" vertical="center"/>
    </xf>
    <xf numFmtId="43" fontId="5" fillId="2" borderId="10" xfId="0" applyNumberFormat="1" applyFont="1" applyFill="1" applyBorder="1" applyAlignment="1">
      <alignment horizontal="right" vertical="center"/>
    </xf>
    <xf numFmtId="169" fontId="6" fillId="2" borderId="1" xfId="0" applyNumberFormat="1" applyFont="1" applyFill="1" applyBorder="1" applyAlignment="1">
      <alignment horizontal="center" vertical="center"/>
    </xf>
    <xf numFmtId="2" fontId="6" fillId="2" borderId="9" xfId="0" applyNumberFormat="1" applyFont="1" applyFill="1" applyBorder="1" applyAlignment="1">
      <alignment horizontal="center"/>
    </xf>
    <xf numFmtId="2" fontId="9" fillId="2" borderId="0" xfId="0" applyNumberFormat="1" applyFont="1" applyFill="1" applyAlignment="1">
      <alignment horizontal="center"/>
    </xf>
    <xf numFmtId="17" fontId="5" fillId="0" borderId="0" xfId="0" applyNumberFormat="1" applyFont="1" applyAlignment="1">
      <alignment horizontal="left"/>
    </xf>
    <xf numFmtId="0" fontId="4" fillId="0" borderId="1" xfId="0" applyFont="1" applyBorder="1" applyAlignment="1">
      <alignment horizontal="center" vertical="center" wrapText="1"/>
    </xf>
    <xf numFmtId="0" fontId="6" fillId="0" borderId="1" xfId="0" applyFont="1" applyBorder="1"/>
    <xf numFmtId="0" fontId="6" fillId="0" borderId="1" xfId="0" applyFont="1" applyFill="1" applyBorder="1" applyAlignment="1">
      <alignment wrapText="1"/>
    </xf>
    <xf numFmtId="0" fontId="6" fillId="2" borderId="1" xfId="0" applyFont="1" applyFill="1" applyBorder="1"/>
    <xf numFmtId="0" fontId="6" fillId="0" borderId="1" xfId="0" applyFont="1" applyBorder="1" applyAlignment="1">
      <alignment wrapText="1"/>
    </xf>
    <xf numFmtId="0" fontId="16" fillId="0" borderId="0" xfId="0" applyFont="1"/>
    <xf numFmtId="0" fontId="5" fillId="0" borderId="1" xfId="0" applyFont="1" applyFill="1" applyBorder="1" applyAlignment="1">
      <alignment horizontal="center" vertical="center"/>
    </xf>
    <xf numFmtId="0" fontId="6" fillId="0" borderId="1" xfId="0" applyFont="1" applyBorder="1" applyAlignment="1">
      <alignment horizontal="center" vertical="top"/>
    </xf>
    <xf numFmtId="0" fontId="5" fillId="0" borderId="4" xfId="0" applyFont="1" applyBorder="1" applyAlignment="1">
      <alignment horizontal="left" wrapText="1"/>
    </xf>
    <xf numFmtId="0" fontId="4" fillId="0" borderId="2" xfId="0" applyFont="1" applyBorder="1" applyAlignment="1">
      <alignment horizontal="center" vertical="center" wrapText="1"/>
    </xf>
    <xf numFmtId="167" fontId="4" fillId="0" borderId="1" xfId="0" applyNumberFormat="1" applyFont="1" applyBorder="1" applyAlignment="1">
      <alignment horizontal="center" vertical="center" wrapText="1"/>
    </xf>
    <xf numFmtId="167" fontId="4" fillId="2" borderId="1" xfId="0" applyNumberFormat="1" applyFont="1" applyFill="1" applyBorder="1" applyAlignment="1">
      <alignment horizontal="center" vertical="center" wrapText="1"/>
    </xf>
    <xf numFmtId="0" fontId="6" fillId="0" borderId="1" xfId="0" applyFont="1" applyFill="1" applyBorder="1" applyAlignment="1">
      <alignment horizontal="center" wrapText="1"/>
    </xf>
    <xf numFmtId="0" fontId="6" fillId="2" borderId="0" xfId="0" applyFont="1" applyFill="1"/>
    <xf numFmtId="0" fontId="6" fillId="0" borderId="10" xfId="0" applyFont="1" applyBorder="1" applyAlignment="1">
      <alignment horizontal="center" vertical="center"/>
    </xf>
    <xf numFmtId="0" fontId="6" fillId="0" borderId="10" xfId="0" applyFont="1" applyBorder="1" applyAlignment="1">
      <alignment horizontal="center" wrapText="1"/>
    </xf>
    <xf numFmtId="0" fontId="5" fillId="0" borderId="10" xfId="0" applyFont="1" applyBorder="1" applyAlignment="1">
      <alignment horizontal="left" wrapText="1"/>
    </xf>
    <xf numFmtId="0" fontId="5" fillId="0" borderId="1" xfId="0" applyFont="1" applyBorder="1" applyAlignment="1">
      <alignment horizontal="justify" vertical="top"/>
    </xf>
    <xf numFmtId="0" fontId="5" fillId="0" borderId="1" xfId="0" applyFont="1" applyBorder="1" applyAlignment="1">
      <alignment horizontal="justify"/>
    </xf>
    <xf numFmtId="0" fontId="5" fillId="0" borderId="1" xfId="0" applyFont="1" applyBorder="1" applyAlignment="1">
      <alignment horizontal="justify" vertical="center"/>
    </xf>
    <xf numFmtId="166" fontId="5" fillId="0" borderId="1" xfId="0" applyNumberFormat="1" applyFont="1" applyBorder="1" applyAlignment="1">
      <alignment horizontal="center" vertical="center"/>
    </xf>
    <xf numFmtId="0" fontId="16" fillId="0" borderId="1" xfId="0" applyFont="1" applyBorder="1" applyAlignment="1">
      <alignment horizontal="center" vertical="center"/>
    </xf>
    <xf numFmtId="0" fontId="5" fillId="0" borderId="1" xfId="0" applyFont="1" applyBorder="1" applyAlignment="1">
      <alignment vertical="center" wrapText="1"/>
    </xf>
    <xf numFmtId="2" fontId="5" fillId="0" borderId="1" xfId="0" applyNumberFormat="1" applyFont="1" applyBorder="1" applyAlignment="1">
      <alignment horizontal="center" vertical="center"/>
    </xf>
    <xf numFmtId="0" fontId="5" fillId="0" borderId="1" xfId="0" applyFont="1" applyBorder="1" applyAlignment="1">
      <alignment vertical="center"/>
    </xf>
    <xf numFmtId="167" fontId="5" fillId="2" borderId="1" xfId="0" applyNumberFormat="1" applyFont="1" applyFill="1" applyBorder="1" applyAlignment="1">
      <alignment horizontal="center" vertical="center"/>
    </xf>
    <xf numFmtId="2" fontId="5" fillId="0" borderId="1" xfId="0" applyNumberFormat="1" applyFont="1" applyBorder="1" applyAlignment="1">
      <alignment horizontal="center" vertical="center" wrapText="1"/>
    </xf>
    <xf numFmtId="2" fontId="5" fillId="0" borderId="1" xfId="0" applyNumberFormat="1" applyFont="1" applyBorder="1" applyAlignment="1">
      <alignment horizontal="center"/>
    </xf>
    <xf numFmtId="2" fontId="5" fillId="0" borderId="1" xfId="0" applyNumberFormat="1" applyFont="1" applyBorder="1" applyAlignment="1">
      <alignment horizontal="center" wrapText="1"/>
    </xf>
    <xf numFmtId="167" fontId="5" fillId="0" borderId="1" xfId="0" applyNumberFormat="1" applyFont="1" applyBorder="1" applyAlignment="1">
      <alignment horizontal="center" vertical="center" wrapText="1"/>
    </xf>
    <xf numFmtId="166" fontId="5" fillId="2" borderId="1" xfId="0" applyNumberFormat="1" applyFont="1" applyFill="1" applyBorder="1" applyAlignment="1">
      <alignment horizontal="center" vertical="center"/>
    </xf>
    <xf numFmtId="0" fontId="16" fillId="0" borderId="1" xfId="0" applyFont="1" applyBorder="1" applyAlignment="1">
      <alignment horizontal="center" vertical="center" wrapText="1"/>
    </xf>
    <xf numFmtId="166" fontId="5" fillId="0" borderId="1" xfId="0" applyNumberFormat="1" applyFont="1" applyBorder="1" applyAlignment="1">
      <alignment horizontal="center" vertical="center" wrapText="1"/>
    </xf>
    <xf numFmtId="0" fontId="4" fillId="0" borderId="1" xfId="0" applyFont="1" applyBorder="1" applyAlignment="1">
      <alignment horizontal="center" wrapText="1"/>
    </xf>
    <xf numFmtId="0" fontId="5" fillId="0" borderId="1" xfId="0" applyFont="1" applyFill="1" applyBorder="1" applyAlignment="1">
      <alignment horizontal="left" vertical="center" wrapText="1"/>
    </xf>
    <xf numFmtId="0" fontId="6" fillId="0" borderId="1" xfId="0" applyFont="1" applyBorder="1" applyAlignment="1">
      <alignment horizontal="left"/>
    </xf>
    <xf numFmtId="0" fontId="9" fillId="0" borderId="2" xfId="0" applyFont="1" applyBorder="1" applyAlignment="1">
      <alignment horizontal="center" vertical="center"/>
    </xf>
    <xf numFmtId="0" fontId="9" fillId="0" borderId="1" xfId="0" applyFont="1" applyBorder="1" applyAlignment="1">
      <alignment horizontal="center" vertical="center"/>
    </xf>
    <xf numFmtId="167" fontId="9" fillId="2" borderId="1" xfId="0" applyNumberFormat="1" applyFont="1" applyFill="1" applyBorder="1" applyAlignment="1">
      <alignment horizontal="center" vertical="center"/>
    </xf>
    <xf numFmtId="0" fontId="9" fillId="0" borderId="1" xfId="0" applyFont="1" applyBorder="1" applyAlignment="1">
      <alignment horizontal="left"/>
    </xf>
    <xf numFmtId="0" fontId="9" fillId="0" borderId="1" xfId="0" applyFont="1" applyBorder="1" applyAlignment="1">
      <alignment horizontal="center" wrapText="1"/>
    </xf>
    <xf numFmtId="0" fontId="5" fillId="4" borderId="1" xfId="0" applyFont="1" applyFill="1" applyBorder="1" applyAlignment="1">
      <alignment horizontal="center" vertical="center" wrapText="1"/>
    </xf>
    <xf numFmtId="0" fontId="5" fillId="4" borderId="1" xfId="0" quotePrefix="1" applyFont="1" applyFill="1" applyBorder="1" applyAlignment="1">
      <alignment horizontal="center" vertical="center" wrapText="1"/>
    </xf>
    <xf numFmtId="0" fontId="5" fillId="2" borderId="1" xfId="0" applyFont="1" applyFill="1" applyBorder="1" applyAlignment="1">
      <alignment vertical="top"/>
    </xf>
    <xf numFmtId="0" fontId="6" fillId="0" borderId="1" xfId="0" applyFont="1" applyBorder="1" applyAlignment="1">
      <alignment vertical="top"/>
    </xf>
    <xf numFmtId="2" fontId="5" fillId="2" borderId="1" xfId="0" applyNumberFormat="1" applyFont="1" applyFill="1" applyBorder="1" applyAlignment="1">
      <alignment horizontal="right" vertical="center" wrapText="1"/>
    </xf>
    <xf numFmtId="0" fontId="6" fillId="0" borderId="1" xfId="0" applyFont="1" applyFill="1" applyBorder="1" applyAlignment="1">
      <alignment vertical="top" wrapText="1"/>
    </xf>
    <xf numFmtId="0" fontId="5" fillId="0" borderId="1" xfId="0" applyFont="1" applyBorder="1" applyAlignment="1">
      <alignment wrapText="1"/>
    </xf>
    <xf numFmtId="1" fontId="6" fillId="2" borderId="1" xfId="0" applyNumberFormat="1" applyFont="1" applyFill="1" applyBorder="1" applyAlignment="1" applyProtection="1">
      <alignment horizontal="center" vertical="center" wrapText="1"/>
    </xf>
    <xf numFmtId="0" fontId="6" fillId="0" borderId="1" xfId="0" applyFont="1" applyBorder="1" applyAlignment="1">
      <alignment vertical="top" wrapText="1"/>
    </xf>
    <xf numFmtId="0" fontId="5" fillId="0" borderId="1" xfId="0" applyFont="1" applyFill="1" applyBorder="1" applyAlignment="1">
      <alignment wrapText="1"/>
    </xf>
    <xf numFmtId="0" fontId="5" fillId="0" borderId="1" xfId="0" applyFont="1" applyFill="1" applyBorder="1" applyAlignment="1">
      <alignment horizontal="center" wrapText="1"/>
    </xf>
    <xf numFmtId="2" fontId="6" fillId="2" borderId="1" xfId="0" applyNumberFormat="1" applyFont="1" applyFill="1" applyBorder="1" applyAlignment="1" applyProtection="1">
      <alignment horizontal="center" vertical="center" wrapText="1"/>
    </xf>
    <xf numFmtId="2" fontId="6" fillId="0" borderId="1" xfId="0" applyNumberFormat="1" applyFont="1" applyBorder="1" applyAlignment="1">
      <alignment vertical="center"/>
    </xf>
    <xf numFmtId="2" fontId="5" fillId="0" borderId="1" xfId="0" applyNumberFormat="1" applyFont="1" applyBorder="1" applyAlignment="1">
      <alignment vertical="center" wrapText="1"/>
    </xf>
    <xf numFmtId="0" fontId="6" fillId="0" borderId="1" xfId="0" applyFont="1" applyBorder="1" applyAlignment="1">
      <alignment horizontal="left" vertical="center"/>
    </xf>
    <xf numFmtId="1" fontId="6" fillId="0" borderId="1" xfId="0" applyNumberFormat="1" applyFont="1" applyBorder="1" applyAlignment="1">
      <alignment horizontal="center" vertical="center"/>
    </xf>
    <xf numFmtId="0" fontId="8" fillId="2" borderId="1" xfId="0" applyFont="1" applyFill="1" applyBorder="1" applyAlignment="1">
      <alignment vertical="top" wrapText="1"/>
    </xf>
    <xf numFmtId="0" fontId="8" fillId="4" borderId="1" xfId="0" applyFont="1" applyFill="1" applyBorder="1" applyAlignment="1">
      <alignment vertical="top" wrapText="1"/>
    </xf>
    <xf numFmtId="0" fontId="6" fillId="0" borderId="3" xfId="0" applyFont="1" applyBorder="1" applyAlignment="1">
      <alignment horizontal="center" vertical="center"/>
    </xf>
    <xf numFmtId="2" fontId="6" fillId="0" borderId="3" xfId="0" applyNumberFormat="1" applyFont="1" applyBorder="1" applyAlignment="1">
      <alignment horizontal="center" vertical="center"/>
    </xf>
    <xf numFmtId="0" fontId="8" fillId="0" borderId="1" xfId="0" applyFont="1" applyBorder="1" applyAlignment="1">
      <alignment vertical="top" wrapText="1"/>
    </xf>
    <xf numFmtId="2" fontId="6" fillId="0" borderId="3" xfId="0" applyNumberFormat="1" applyFont="1" applyBorder="1" applyAlignment="1">
      <alignment vertical="center"/>
    </xf>
    <xf numFmtId="0" fontId="8" fillId="0" borderId="10" xfId="0" applyFont="1" applyBorder="1" applyAlignment="1">
      <alignment horizontal="left" vertical="top" wrapText="1"/>
    </xf>
    <xf numFmtId="0" fontId="5" fillId="4" borderId="1" xfId="0" applyFont="1" applyFill="1" applyBorder="1" applyAlignment="1">
      <alignment vertical="top" wrapText="1"/>
    </xf>
    <xf numFmtId="0" fontId="8" fillId="4" borderId="10" xfId="0" applyFont="1" applyFill="1" applyBorder="1" applyAlignment="1">
      <alignment vertical="top" wrapText="1"/>
    </xf>
    <xf numFmtId="0" fontId="9" fillId="2" borderId="0" xfId="0" applyFont="1" applyFill="1"/>
    <xf numFmtId="0" fontId="9" fillId="2" borderId="0" xfId="0" applyFont="1" applyFill="1" applyBorder="1" applyAlignment="1">
      <alignment horizontal="center" vertical="center"/>
    </xf>
    <xf numFmtId="49" fontId="5" fillId="2" borderId="1" xfId="0" applyNumberFormat="1" applyFont="1" applyFill="1" applyBorder="1" applyAlignment="1">
      <alignment horizontal="left" vertical="center" wrapText="1"/>
    </xf>
    <xf numFmtId="2" fontId="6" fillId="2" borderId="1" xfId="0" applyNumberFormat="1" applyFont="1" applyFill="1" applyBorder="1" applyAlignment="1">
      <alignment horizontal="right" vertical="center" wrapText="1"/>
    </xf>
    <xf numFmtId="2" fontId="9" fillId="0" borderId="1" xfId="0" applyNumberFormat="1" applyFont="1" applyBorder="1" applyAlignment="1">
      <alignment horizontal="center" vertical="center"/>
    </xf>
    <xf numFmtId="2" fontId="4" fillId="2" borderId="3" xfId="0" applyNumberFormat="1" applyFont="1" applyFill="1" applyBorder="1" applyAlignment="1">
      <alignment horizontal="center" vertical="center" wrapText="1"/>
    </xf>
    <xf numFmtId="2" fontId="9" fillId="0" borderId="5" xfId="0" applyNumberFormat="1" applyFont="1" applyBorder="1" applyAlignment="1">
      <alignment horizontal="center" vertical="center"/>
    </xf>
    <xf numFmtId="0" fontId="6" fillId="0" borderId="5" xfId="0" applyFont="1" applyBorder="1" applyAlignment="1">
      <alignment horizontal="center" vertical="center"/>
    </xf>
    <xf numFmtId="0" fontId="9" fillId="0" borderId="5" xfId="0" applyFont="1" applyBorder="1" applyAlignment="1">
      <alignment horizontal="center" vertical="center"/>
    </xf>
    <xf numFmtId="0" fontId="9" fillId="2" borderId="5" xfId="0" applyFont="1" applyFill="1" applyBorder="1" applyAlignment="1">
      <alignment horizontal="center" vertical="center"/>
    </xf>
    <xf numFmtId="0" fontId="9" fillId="2" borderId="1" xfId="0" applyFont="1" applyFill="1" applyBorder="1" applyAlignment="1">
      <alignment horizontal="center" vertical="center"/>
    </xf>
    <xf numFmtId="2" fontId="5" fillId="2" borderId="1" xfId="0" applyNumberFormat="1" applyFont="1" applyFill="1" applyBorder="1" applyAlignment="1">
      <alignment vertical="top"/>
    </xf>
    <xf numFmtId="2" fontId="5" fillId="2" borderId="1" xfId="0" applyNumberFormat="1" applyFont="1" applyFill="1" applyBorder="1" applyAlignment="1">
      <alignment vertical="center" wrapText="1"/>
    </xf>
    <xf numFmtId="2" fontId="5" fillId="2" borderId="1" xfId="0" applyNumberFormat="1" applyFont="1" applyFill="1" applyBorder="1" applyAlignment="1">
      <alignment horizontal="right" vertical="top"/>
    </xf>
    <xf numFmtId="0" fontId="6" fillId="2" borderId="1" xfId="0" applyFont="1" applyFill="1" applyBorder="1" applyAlignment="1">
      <alignment horizontal="left" wrapText="1"/>
    </xf>
    <xf numFmtId="2" fontId="5" fillId="2" borderId="5" xfId="0" applyNumberFormat="1" applyFont="1" applyFill="1" applyBorder="1" applyAlignment="1">
      <alignment vertical="center" wrapText="1"/>
    </xf>
    <xf numFmtId="0" fontId="5" fillId="3" borderId="1" xfId="0" applyFont="1" applyFill="1" applyBorder="1" applyAlignment="1">
      <alignment horizontal="left" wrapText="1"/>
    </xf>
    <xf numFmtId="166" fontId="4" fillId="2" borderId="1" xfId="0" applyNumberFormat="1" applyFont="1" applyFill="1" applyBorder="1" applyAlignment="1">
      <alignment horizontal="center" vertical="center" wrapText="1"/>
    </xf>
    <xf numFmtId="0" fontId="9" fillId="0" borderId="0" xfId="0" applyFont="1" applyAlignment="1">
      <alignment vertical="center"/>
    </xf>
    <xf numFmtId="14" fontId="9" fillId="0" borderId="0" xfId="0" applyNumberFormat="1" applyFont="1"/>
    <xf numFmtId="0" fontId="9" fillId="0" borderId="0" xfId="0" applyFont="1"/>
    <xf numFmtId="0" fontId="9" fillId="0" borderId="0" xfId="0" applyFont="1" applyAlignment="1"/>
    <xf numFmtId="0" fontId="9" fillId="0" borderId="0" xfId="0" applyFont="1" applyAlignment="1">
      <alignment horizontal="center" vertical="center"/>
    </xf>
    <xf numFmtId="0" fontId="9" fillId="0" borderId="1" xfId="0" applyFont="1" applyBorder="1" applyAlignment="1">
      <alignment horizontal="center" vertical="center" wrapText="1"/>
    </xf>
    <xf numFmtId="0" fontId="9" fillId="2" borderId="1" xfId="0" applyFont="1" applyFill="1" applyBorder="1" applyAlignment="1">
      <alignment horizontal="left" vertical="center"/>
    </xf>
    <xf numFmtId="49" fontId="6" fillId="2" borderId="1" xfId="0" applyNumberFormat="1" applyFont="1" applyFill="1" applyBorder="1" applyAlignment="1">
      <alignment horizontal="left" vertical="center" wrapText="1"/>
    </xf>
    <xf numFmtId="0" fontId="9" fillId="2" borderId="1" xfId="0" applyFont="1" applyFill="1" applyBorder="1" applyAlignment="1">
      <alignment horizontal="left" vertical="center" wrapText="1"/>
    </xf>
    <xf numFmtId="0" fontId="6" fillId="2" borderId="5" xfId="0" applyFont="1" applyFill="1" applyBorder="1" applyAlignment="1">
      <alignment horizontal="center" vertical="center"/>
    </xf>
    <xf numFmtId="0" fontId="4" fillId="2" borderId="1" xfId="0" applyFont="1" applyFill="1" applyBorder="1" applyAlignment="1">
      <alignment horizontal="left" vertical="top"/>
    </xf>
    <xf numFmtId="0" fontId="9" fillId="2" borderId="1" xfId="0" applyFont="1" applyFill="1" applyBorder="1" applyAlignment="1">
      <alignment horizontal="left" vertical="top"/>
    </xf>
    <xf numFmtId="0" fontId="5" fillId="2" borderId="1" xfId="8" applyFont="1" applyFill="1" applyBorder="1" applyAlignment="1">
      <alignment horizontal="left" wrapText="1"/>
    </xf>
    <xf numFmtId="0" fontId="17" fillId="0" borderId="1" xfId="0" applyFont="1" applyBorder="1" applyAlignment="1">
      <alignment horizontal="left"/>
    </xf>
    <xf numFmtId="0" fontId="5" fillId="2" borderId="10" xfId="8" applyFont="1" applyFill="1" applyBorder="1" applyAlignment="1">
      <alignment horizontal="left" wrapText="1"/>
    </xf>
    <xf numFmtId="0" fontId="5" fillId="2" borderId="10" xfId="0" applyFont="1" applyFill="1" applyBorder="1" applyAlignment="1">
      <alignment horizontal="center" vertical="center" wrapText="1"/>
    </xf>
    <xf numFmtId="2" fontId="5" fillId="2" borderId="10" xfId="0" applyNumberFormat="1" applyFont="1" applyFill="1" applyBorder="1" applyAlignment="1">
      <alignment vertical="center" wrapText="1"/>
    </xf>
    <xf numFmtId="2" fontId="9" fillId="0" borderId="3" xfId="0" applyNumberFormat="1" applyFont="1" applyBorder="1" applyAlignment="1">
      <alignment horizontal="center" vertical="center"/>
    </xf>
    <xf numFmtId="0" fontId="6" fillId="0" borderId="3" xfId="0" applyFont="1" applyBorder="1" applyAlignment="1">
      <alignment horizontal="left" vertical="center" wrapText="1"/>
    </xf>
    <xf numFmtId="2" fontId="4" fillId="2" borderId="3" xfId="0" applyNumberFormat="1" applyFont="1" applyFill="1" applyBorder="1" applyAlignment="1">
      <alignment horizontal="left" vertical="center" wrapText="1"/>
    </xf>
    <xf numFmtId="2" fontId="9" fillId="0" borderId="3" xfId="0" applyNumberFormat="1" applyFont="1" applyBorder="1" applyAlignment="1">
      <alignment horizontal="center" vertical="center" wrapText="1"/>
    </xf>
    <xf numFmtId="2" fontId="5" fillId="2" borderId="3" xfId="0" applyNumberFormat="1" applyFont="1" applyFill="1" applyBorder="1" applyAlignment="1">
      <alignment horizontal="center" vertical="center" wrapText="1"/>
    </xf>
    <xf numFmtId="0" fontId="5" fillId="2" borderId="3" xfId="0" applyFont="1" applyFill="1" applyBorder="1" applyAlignment="1">
      <alignment horizontal="left" vertical="center" wrapText="1"/>
    </xf>
    <xf numFmtId="0" fontId="9" fillId="0" borderId="1" xfId="0" applyFont="1" applyBorder="1" applyAlignment="1">
      <alignment horizontal="center"/>
    </xf>
    <xf numFmtId="0" fontId="9" fillId="0" borderId="1" xfId="0" applyFont="1" applyBorder="1" applyAlignment="1"/>
    <xf numFmtId="0" fontId="9" fillId="0" borderId="10" xfId="0" applyFont="1" applyBorder="1" applyAlignment="1">
      <alignment horizontal="center" vertical="center"/>
    </xf>
    <xf numFmtId="0" fontId="9" fillId="0" borderId="3" xfId="0" applyFont="1" applyBorder="1" applyAlignment="1">
      <alignment horizontal="center" vertical="center"/>
    </xf>
    <xf numFmtId="0" fontId="9" fillId="0" borderId="10" xfId="0" applyFont="1" applyBorder="1" applyAlignment="1">
      <alignment horizontal="center" vertical="center" wrapText="1"/>
    </xf>
    <xf numFmtId="0" fontId="9" fillId="0" borderId="3" xfId="0" applyFont="1" applyBorder="1" applyAlignment="1">
      <alignment horizontal="center" vertical="center" wrapText="1"/>
    </xf>
    <xf numFmtId="0" fontId="9" fillId="0" borderId="2" xfId="0" applyFont="1" applyBorder="1" applyAlignment="1">
      <alignment horizontal="left"/>
    </xf>
    <xf numFmtId="0" fontId="9" fillId="0" borderId="4" xfId="0" applyFont="1" applyBorder="1" applyAlignment="1">
      <alignment horizontal="left"/>
    </xf>
    <xf numFmtId="0" fontId="9" fillId="0" borderId="5" xfId="0" applyFont="1" applyBorder="1" applyAlignment="1">
      <alignment horizontal="left"/>
    </xf>
    <xf numFmtId="0" fontId="9" fillId="0" borderId="3" xfId="0" applyFont="1" applyBorder="1" applyAlignment="1">
      <alignment horizontal="center"/>
    </xf>
    <xf numFmtId="0" fontId="4" fillId="2" borderId="2" xfId="0" applyFont="1" applyFill="1" applyBorder="1" applyAlignment="1">
      <alignment horizontal="center" vertical="top"/>
    </xf>
    <xf numFmtId="0" fontId="4" fillId="2" borderId="4" xfId="0" applyFont="1" applyFill="1" applyBorder="1" applyAlignment="1">
      <alignment horizontal="center" vertical="top"/>
    </xf>
    <xf numFmtId="0" fontId="4" fillId="2" borderId="5" xfId="0" applyFont="1" applyFill="1" applyBorder="1" applyAlignment="1">
      <alignment horizontal="center" vertical="top"/>
    </xf>
    <xf numFmtId="0" fontId="9" fillId="0" borderId="0" xfId="0" applyFont="1" applyAlignment="1">
      <alignment horizontal="center"/>
    </xf>
    <xf numFmtId="0" fontId="9" fillId="2" borderId="25"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26" xfId="0" applyFont="1" applyFill="1" applyBorder="1" applyAlignment="1">
      <alignment horizontal="center" vertical="center"/>
    </xf>
    <xf numFmtId="0" fontId="9" fillId="0" borderId="2" xfId="0" applyFont="1" applyBorder="1" applyAlignment="1"/>
    <xf numFmtId="0" fontId="9" fillId="0" borderId="4" xfId="0" applyFont="1" applyBorder="1" applyAlignment="1"/>
    <xf numFmtId="0" fontId="9" fillId="0" borderId="10" xfId="0" applyFont="1" applyBorder="1" applyAlignment="1">
      <alignment vertical="center"/>
    </xf>
    <xf numFmtId="0" fontId="9" fillId="0" borderId="10" xfId="0" applyFont="1" applyBorder="1" applyAlignment="1">
      <alignment vertical="center" wrapText="1"/>
    </xf>
    <xf numFmtId="0" fontId="5" fillId="4" borderId="3" xfId="0" applyFont="1" applyFill="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vertical="center"/>
    </xf>
    <xf numFmtId="2" fontId="5" fillId="2" borderId="5" xfId="0" applyNumberFormat="1" applyFont="1" applyFill="1" applyBorder="1" applyAlignment="1">
      <alignment horizontal="center" vertical="center" wrapText="1"/>
    </xf>
    <xf numFmtId="166" fontId="4" fillId="2" borderId="5" xfId="0" applyNumberFormat="1" applyFont="1" applyFill="1" applyBorder="1" applyAlignment="1">
      <alignment horizontal="center" vertical="center" wrapText="1"/>
    </xf>
    <xf numFmtId="0" fontId="4" fillId="2" borderId="10" xfId="0" applyFont="1" applyFill="1" applyBorder="1" applyAlignment="1">
      <alignment vertical="center" wrapText="1"/>
    </xf>
    <xf numFmtId="164" fontId="10" fillId="0" borderId="1" xfId="7" applyFont="1" applyFill="1" applyBorder="1" applyAlignment="1">
      <alignment horizontal="center"/>
    </xf>
    <xf numFmtId="0" fontId="0" fillId="2" borderId="11" xfId="0" applyFill="1" applyBorder="1"/>
    <xf numFmtId="0" fontId="10" fillId="2" borderId="5" xfId="0" applyFont="1" applyFill="1" applyBorder="1" applyAlignment="1">
      <alignment horizontal="center"/>
    </xf>
    <xf numFmtId="1" fontId="0" fillId="2" borderId="1" xfId="0" applyNumberFormat="1" applyFill="1" applyBorder="1" applyAlignment="1">
      <alignment horizontal="right"/>
    </xf>
    <xf numFmtId="2" fontId="0" fillId="0" borderId="1" xfId="0" applyNumberFormat="1" applyFill="1" applyBorder="1" applyAlignment="1">
      <alignment horizontal="right"/>
    </xf>
    <xf numFmtId="0" fontId="0" fillId="0" borderId="1" xfId="0" applyFill="1" applyBorder="1" applyAlignment="1">
      <alignment horizontal="right"/>
    </xf>
    <xf numFmtId="1" fontId="9" fillId="0" borderId="1" xfId="0" applyNumberFormat="1" applyFont="1" applyBorder="1" applyAlignment="1">
      <alignment horizontal="center" vertical="center"/>
    </xf>
    <xf numFmtId="0" fontId="5" fillId="0" borderId="0" xfId="0" applyFont="1" applyAlignment="1">
      <alignment horizontal="left"/>
    </xf>
    <xf numFmtId="0" fontId="5" fillId="2" borderId="20" xfId="0" applyFont="1" applyFill="1" applyBorder="1" applyAlignment="1">
      <alignment horizontal="center"/>
    </xf>
    <xf numFmtId="0" fontId="5" fillId="2" borderId="1" xfId="0" applyFont="1" applyFill="1" applyBorder="1"/>
    <xf numFmtId="2" fontId="6" fillId="2" borderId="27" xfId="0" applyNumberFormat="1" applyFont="1" applyFill="1" applyBorder="1" applyAlignment="1">
      <alignment horizontal="center"/>
    </xf>
    <xf numFmtId="166" fontId="4" fillId="2" borderId="1" xfId="0" applyNumberFormat="1" applyFont="1" applyFill="1" applyBorder="1" applyAlignment="1">
      <alignment horizontal="center"/>
    </xf>
    <xf numFmtId="166" fontId="5" fillId="2" borderId="0" xfId="0" applyNumberFormat="1" applyFont="1" applyFill="1" applyBorder="1"/>
    <xf numFmtId="0" fontId="9" fillId="0" borderId="2"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 xfId="0" applyFont="1" applyBorder="1" applyAlignment="1">
      <alignment horizontal="center"/>
    </xf>
    <xf numFmtId="0" fontId="9" fillId="0" borderId="1" xfId="0" applyFont="1" applyBorder="1" applyAlignment="1">
      <alignment horizontal="center" wrapText="1"/>
    </xf>
    <xf numFmtId="0" fontId="9" fillId="0" borderId="2" xfId="0" applyFont="1" applyBorder="1" applyAlignment="1">
      <alignment horizontal="center" wrapText="1"/>
    </xf>
    <xf numFmtId="0" fontId="9" fillId="0" borderId="5" xfId="0" applyFont="1" applyBorder="1" applyAlignment="1">
      <alignment horizontal="center" wrapText="1"/>
    </xf>
    <xf numFmtId="0" fontId="9" fillId="0" borderId="15" xfId="0" applyFont="1" applyBorder="1" applyAlignment="1">
      <alignment horizontal="center" wrapText="1"/>
    </xf>
    <xf numFmtId="0" fontId="9" fillId="0" borderId="11" xfId="0" applyFont="1" applyBorder="1" applyAlignment="1">
      <alignment horizontal="center" wrapText="1"/>
    </xf>
    <xf numFmtId="0" fontId="9" fillId="0" borderId="25" xfId="0" applyFont="1" applyBorder="1" applyAlignment="1">
      <alignment horizontal="center" wrapText="1"/>
    </xf>
    <xf numFmtId="0" fontId="9" fillId="0" borderId="26" xfId="0" applyFont="1" applyBorder="1" applyAlignment="1">
      <alignment horizontal="center" wrapText="1"/>
    </xf>
    <xf numFmtId="172" fontId="9" fillId="0" borderId="0" xfId="0" applyNumberFormat="1" applyFont="1" applyAlignment="1">
      <alignment horizontal="center"/>
    </xf>
    <xf numFmtId="0" fontId="4" fillId="2" borderId="1" xfId="0" applyFont="1" applyFill="1" applyBorder="1" applyAlignment="1">
      <alignment horizontal="center" vertical="center" wrapText="1"/>
    </xf>
    <xf numFmtId="0" fontId="9" fillId="0" borderId="2" xfId="0" applyFont="1" applyBorder="1" applyAlignment="1">
      <alignment horizontal="center"/>
    </xf>
    <xf numFmtId="0" fontId="9" fillId="0" borderId="5" xfId="0" applyFont="1" applyBorder="1" applyAlignment="1">
      <alignment horizontal="center"/>
    </xf>
    <xf numFmtId="0" fontId="9" fillId="0" borderId="10"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center"/>
    </xf>
    <xf numFmtId="0" fontId="9" fillId="0" borderId="0" xfId="0" applyFont="1" applyAlignment="1">
      <alignment horizontal="center" vertical="center"/>
    </xf>
    <xf numFmtId="0" fontId="9" fillId="2" borderId="2" xfId="0" applyFont="1" applyFill="1" applyBorder="1" applyAlignment="1">
      <alignment horizontal="left" vertical="center" wrapText="1"/>
    </xf>
    <xf numFmtId="0" fontId="9" fillId="2" borderId="5" xfId="0" applyFont="1" applyFill="1" applyBorder="1" applyAlignment="1">
      <alignment horizontal="left" vertical="center" wrapText="1"/>
    </xf>
    <xf numFmtId="49" fontId="9" fillId="2" borderId="1" xfId="0" applyNumberFormat="1" applyFont="1" applyFill="1" applyBorder="1" applyAlignment="1">
      <alignment horizontal="left" vertical="center"/>
    </xf>
    <xf numFmtId="0" fontId="9" fillId="2" borderId="1" xfId="0" applyFont="1" applyFill="1" applyBorder="1" applyAlignment="1">
      <alignment horizontal="left" vertical="center" wrapText="1"/>
    </xf>
    <xf numFmtId="0" fontId="9" fillId="2" borderId="1" xfId="0" applyFont="1" applyFill="1" applyBorder="1" applyAlignment="1">
      <alignment horizontal="left"/>
    </xf>
    <xf numFmtId="0" fontId="9" fillId="2" borderId="1" xfId="0" applyFont="1" applyFill="1" applyBorder="1" applyAlignment="1">
      <alignment horizontal="left" vertical="center"/>
    </xf>
    <xf numFmtId="0" fontId="9" fillId="0" borderId="10" xfId="0" applyFont="1" applyBorder="1" applyAlignment="1">
      <alignment horizontal="center" vertical="center"/>
    </xf>
    <xf numFmtId="0" fontId="9" fillId="0" borderId="3" xfId="0" applyFont="1" applyBorder="1" applyAlignment="1">
      <alignment horizontal="center" vertical="center"/>
    </xf>
    <xf numFmtId="0" fontId="9" fillId="0" borderId="15" xfId="0" applyFont="1" applyBorder="1" applyAlignment="1">
      <alignment horizontal="center"/>
    </xf>
    <xf numFmtId="0" fontId="9" fillId="0" borderId="11" xfId="0" applyFont="1" applyBorder="1" applyAlignment="1">
      <alignment horizontal="center"/>
    </xf>
    <xf numFmtId="0" fontId="9" fillId="0" borderId="25" xfId="0" applyFont="1" applyBorder="1" applyAlignment="1">
      <alignment horizontal="center"/>
    </xf>
    <xf numFmtId="0" fontId="9" fillId="0" borderId="26" xfId="0" applyFont="1" applyBorder="1" applyAlignment="1">
      <alignment horizontal="center"/>
    </xf>
    <xf numFmtId="0" fontId="9" fillId="0" borderId="4" xfId="0" applyFont="1" applyBorder="1" applyAlignment="1">
      <alignment horizontal="center"/>
    </xf>
    <xf numFmtId="0" fontId="9" fillId="0" borderId="1" xfId="0" applyFont="1" applyBorder="1" applyAlignment="1">
      <alignment horizontal="left"/>
    </xf>
    <xf numFmtId="0" fontId="9" fillId="0" borderId="3" xfId="0" applyFont="1" applyBorder="1" applyAlignment="1">
      <alignment horizontal="center"/>
    </xf>
    <xf numFmtId="0" fontId="4" fillId="2" borderId="17" xfId="0" applyFont="1" applyFill="1" applyBorder="1" applyAlignment="1">
      <alignment horizontal="center" vertical="center"/>
    </xf>
    <xf numFmtId="2" fontId="4" fillId="2" borderId="1" xfId="0" applyNumberFormat="1" applyFont="1" applyFill="1" applyBorder="1" applyAlignment="1">
      <alignment horizontal="center" vertical="top" wrapText="1"/>
    </xf>
    <xf numFmtId="0" fontId="4" fillId="2" borderId="1" xfId="0" applyFont="1" applyFill="1" applyBorder="1" applyAlignment="1">
      <alignment horizontal="center" vertical="top" wrapText="1"/>
    </xf>
    <xf numFmtId="0" fontId="4" fillId="2" borderId="2" xfId="0" applyFont="1" applyFill="1" applyBorder="1" applyAlignment="1">
      <alignment horizontal="left" wrapText="1"/>
    </xf>
    <xf numFmtId="0" fontId="4" fillId="2" borderId="4" xfId="0" applyFont="1" applyFill="1" applyBorder="1" applyAlignment="1">
      <alignment horizontal="left" wrapText="1"/>
    </xf>
    <xf numFmtId="0" fontId="4" fillId="2" borderId="5" xfId="0" applyFont="1" applyFill="1" applyBorder="1" applyAlignment="1">
      <alignment horizontal="left" wrapText="1"/>
    </xf>
    <xf numFmtId="0" fontId="4" fillId="2" borderId="15" xfId="0" applyFont="1" applyFill="1" applyBorder="1" applyAlignment="1">
      <alignment horizontal="left" vertical="center" wrapText="1"/>
    </xf>
    <xf numFmtId="0" fontId="4" fillId="2" borderId="16" xfId="0" applyFont="1" applyFill="1" applyBorder="1" applyAlignment="1">
      <alignment horizontal="left" vertical="center" wrapText="1"/>
    </xf>
    <xf numFmtId="0" fontId="4" fillId="2" borderId="1" xfId="0" applyFont="1" applyFill="1" applyBorder="1" applyAlignment="1">
      <alignment horizontal="left" vertical="center" wrapText="1"/>
    </xf>
    <xf numFmtId="0" fontId="5" fillId="0" borderId="19" xfId="0" applyFont="1" applyBorder="1" applyAlignment="1">
      <alignment horizontal="center" vertical="center"/>
    </xf>
    <xf numFmtId="0" fontId="5" fillId="0" borderId="12" xfId="0" applyFont="1" applyBorder="1" applyAlignment="1">
      <alignment horizontal="center" vertical="center"/>
    </xf>
    <xf numFmtId="0" fontId="5" fillId="0" borderId="19"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8" xfId="0" applyFont="1" applyBorder="1" applyAlignment="1">
      <alignment horizontal="left" vertical="center" wrapText="1"/>
    </xf>
    <xf numFmtId="0" fontId="5" fillId="0" borderId="12" xfId="0" applyFont="1" applyBorder="1" applyAlignment="1">
      <alignment wrapText="1"/>
    </xf>
    <xf numFmtId="0" fontId="5" fillId="0" borderId="8" xfId="0" applyFont="1" applyBorder="1" applyAlignment="1">
      <alignment horizontal="center" vertical="center"/>
    </xf>
    <xf numFmtId="0" fontId="5" fillId="0" borderId="20" xfId="0" applyFont="1" applyBorder="1" applyAlignment="1">
      <alignment horizontal="center" vertical="center"/>
    </xf>
    <xf numFmtId="0" fontId="5" fillId="0" borderId="8" xfId="0" applyFont="1" applyBorder="1" applyAlignment="1">
      <alignment horizontal="center" vertical="center" wrapText="1"/>
    </xf>
    <xf numFmtId="0" fontId="5" fillId="0" borderId="21" xfId="0" applyFont="1" applyBorder="1" applyAlignment="1">
      <alignment horizontal="center" vertical="center"/>
    </xf>
    <xf numFmtId="0" fontId="5" fillId="0" borderId="12" xfId="0" applyFont="1" applyBorder="1"/>
    <xf numFmtId="0" fontId="4" fillId="2" borderId="2"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Border="1" applyAlignment="1">
      <alignment horizontal="left"/>
    </xf>
    <xf numFmtId="0" fontId="4" fillId="0" borderId="0" xfId="0" applyFont="1" applyAlignment="1">
      <alignment horizontal="left"/>
    </xf>
    <xf numFmtId="0" fontId="4" fillId="0" borderId="16" xfId="0" applyFont="1" applyBorder="1" applyAlignment="1">
      <alignment horizontal="center"/>
    </xf>
    <xf numFmtId="0" fontId="4" fillId="0" borderId="0" xfId="0" applyFont="1" applyAlignment="1">
      <alignment horizont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9" fillId="0" borderId="1" xfId="0" applyFont="1" applyBorder="1" applyAlignment="1">
      <alignment horizontal="center" vertical="center"/>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0" borderId="0" xfId="0" applyFont="1" applyAlignment="1">
      <alignment horizontal="left"/>
    </xf>
    <xf numFmtId="0" fontId="4" fillId="0" borderId="17" xfId="0" applyFont="1" applyBorder="1" applyAlignment="1">
      <alignment horizontal="center"/>
    </xf>
    <xf numFmtId="0" fontId="4" fillId="0" borderId="10" xfId="0" applyFont="1" applyBorder="1" applyAlignment="1">
      <alignment horizontal="center" vertical="center"/>
    </xf>
    <xf numFmtId="0" fontId="4" fillId="0" borderId="3" xfId="0" applyFont="1" applyBorder="1" applyAlignment="1">
      <alignment horizontal="center" vertical="center"/>
    </xf>
    <xf numFmtId="0" fontId="4" fillId="0" borderId="10" xfId="0" applyFont="1" applyBorder="1" applyAlignment="1">
      <alignment horizontal="left" vertical="center"/>
    </xf>
    <xf numFmtId="0" fontId="4" fillId="0" borderId="3" xfId="0" applyFont="1" applyBorder="1" applyAlignment="1">
      <alignment horizontal="left" vertical="center"/>
    </xf>
    <xf numFmtId="0" fontId="11" fillId="2" borderId="2" xfId="0" applyFont="1" applyFill="1" applyBorder="1" applyAlignment="1">
      <alignment horizontal="center"/>
    </xf>
    <xf numFmtId="0" fontId="11" fillId="2" borderId="5" xfId="0" applyFont="1" applyFill="1" applyBorder="1" applyAlignment="1">
      <alignment horizontal="center"/>
    </xf>
    <xf numFmtId="17" fontId="10" fillId="2" borderId="1" xfId="0" applyNumberFormat="1" applyFont="1" applyFill="1" applyBorder="1" applyAlignment="1">
      <alignment horizontal="center"/>
    </xf>
    <xf numFmtId="0" fontId="10" fillId="2" borderId="2" xfId="0" applyFont="1" applyFill="1" applyBorder="1" applyAlignment="1">
      <alignment horizontal="center"/>
    </xf>
    <xf numFmtId="0" fontId="10" fillId="2" borderId="4" xfId="0" applyFont="1" applyFill="1" applyBorder="1" applyAlignment="1">
      <alignment horizontal="center"/>
    </xf>
    <xf numFmtId="0" fontId="10" fillId="2" borderId="5" xfId="0" applyFont="1" applyFill="1" applyBorder="1" applyAlignment="1">
      <alignment horizontal="center"/>
    </xf>
    <xf numFmtId="0" fontId="10" fillId="2" borderId="1" xfId="0" applyFont="1" applyFill="1" applyBorder="1" applyAlignment="1">
      <alignment horizontal="center"/>
    </xf>
    <xf numFmtId="0" fontId="13" fillId="2" borderId="2" xfId="0" applyFont="1" applyFill="1" applyBorder="1" applyAlignment="1">
      <alignment horizontal="center"/>
    </xf>
    <xf numFmtId="0" fontId="13" fillId="2" borderId="4" xfId="0" applyFont="1" applyFill="1" applyBorder="1" applyAlignment="1">
      <alignment horizontal="center"/>
    </xf>
    <xf numFmtId="0" fontId="13" fillId="2" borderId="5" xfId="0" applyFont="1" applyFill="1" applyBorder="1" applyAlignment="1">
      <alignment horizontal="center"/>
    </xf>
    <xf numFmtId="0" fontId="10" fillId="2" borderId="2" xfId="0" applyFont="1" applyFill="1" applyBorder="1" applyAlignment="1">
      <alignment horizontal="left"/>
    </xf>
    <xf numFmtId="0" fontId="10" fillId="2" borderId="4" xfId="0" applyFont="1" applyFill="1" applyBorder="1" applyAlignment="1">
      <alignment horizontal="left"/>
    </xf>
    <xf numFmtId="0" fontId="10" fillId="2" borderId="5" xfId="0" applyFont="1" applyFill="1" applyBorder="1" applyAlignment="1">
      <alignment horizontal="left"/>
    </xf>
    <xf numFmtId="0" fontId="11" fillId="2" borderId="1" xfId="0" applyFont="1" applyFill="1" applyBorder="1" applyAlignment="1">
      <alignment horizontal="center"/>
    </xf>
    <xf numFmtId="0" fontId="10" fillId="0" borderId="2" xfId="0" applyFont="1" applyBorder="1" applyAlignment="1">
      <alignment horizontal="center"/>
    </xf>
    <xf numFmtId="0" fontId="10" fillId="0" borderId="4" xfId="0" applyFont="1" applyBorder="1" applyAlignment="1">
      <alignment horizontal="center"/>
    </xf>
    <xf numFmtId="0" fontId="10" fillId="0" borderId="5" xfId="0" applyFont="1" applyBorder="1" applyAlignment="1">
      <alignment horizontal="center"/>
    </xf>
    <xf numFmtId="0" fontId="11" fillId="2" borderId="3" xfId="0" applyFont="1" applyFill="1" applyBorder="1" applyAlignment="1">
      <alignment horizontal="center"/>
    </xf>
    <xf numFmtId="0" fontId="10" fillId="0" borderId="1" xfId="0" applyFont="1" applyBorder="1" applyAlignment="1">
      <alignment horizontal="center"/>
    </xf>
    <xf numFmtId="17" fontId="10" fillId="2" borderId="2" xfId="0" applyNumberFormat="1" applyFont="1" applyFill="1" applyBorder="1" applyAlignment="1">
      <alignment horizontal="center"/>
    </xf>
    <xf numFmtId="17" fontId="10" fillId="2" borderId="4" xfId="0" applyNumberFormat="1" applyFont="1" applyFill="1" applyBorder="1" applyAlignment="1">
      <alignment horizontal="center"/>
    </xf>
    <xf numFmtId="17" fontId="10" fillId="2" borderId="5" xfId="0" applyNumberFormat="1" applyFont="1" applyFill="1" applyBorder="1" applyAlignment="1">
      <alignment horizontal="center"/>
    </xf>
    <xf numFmtId="17" fontId="10" fillId="0" borderId="1" xfId="0" applyNumberFormat="1" applyFont="1" applyBorder="1" applyAlignment="1">
      <alignment horizontal="center"/>
    </xf>
    <xf numFmtId="0" fontId="10" fillId="0" borderId="2" xfId="0" applyFont="1" applyFill="1" applyBorder="1" applyAlignment="1">
      <alignment horizontal="center"/>
    </xf>
    <xf numFmtId="0" fontId="10" fillId="0" borderId="4" xfId="0" applyFont="1" applyFill="1" applyBorder="1" applyAlignment="1">
      <alignment horizontal="center"/>
    </xf>
    <xf numFmtId="164" fontId="15" fillId="2" borderId="1" xfId="7" applyFont="1" applyFill="1" applyBorder="1" applyAlignment="1">
      <alignment horizontal="center" vertical="center"/>
    </xf>
    <xf numFmtId="0" fontId="14" fillId="2" borderId="1" xfId="0" applyFont="1" applyFill="1" applyBorder="1" applyAlignment="1">
      <alignment horizontal="center" vertical="center"/>
    </xf>
  </cellXfs>
  <cellStyles count="9">
    <cellStyle name="Comma" xfId="7" builtinId="3"/>
    <cellStyle name="Comma 2" xfId="3"/>
    <cellStyle name="Comma 3 3" xfId="1"/>
    <cellStyle name="Comma 3 3 2" xfId="6"/>
    <cellStyle name="Normal" xfId="0" builtinId="0"/>
    <cellStyle name="Normal 12" xfId="8"/>
    <cellStyle name="Normal 2" xfId="4"/>
    <cellStyle name="Normal 3" xfId="5"/>
    <cellStyle name="Normal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T1244"/>
  <sheetViews>
    <sheetView tabSelected="1" view="pageBreakPreview" topLeftCell="A941" zoomScale="70" zoomScaleNormal="54" zoomScaleSheetLayoutView="70" workbookViewId="0">
      <selection activeCell="O520" sqref="O520"/>
    </sheetView>
  </sheetViews>
  <sheetFormatPr defaultColWidth="9.140625" defaultRowHeight="14.25"/>
  <cols>
    <col min="1" max="1" width="7" style="33" customWidth="1"/>
    <col min="2" max="2" width="24" style="33" bestFit="1" customWidth="1"/>
    <col min="3" max="3" width="55.140625" style="7" customWidth="1"/>
    <col min="4" max="4" width="8.5703125" style="34" customWidth="1"/>
    <col min="5" max="5" width="24.28515625" style="43" customWidth="1"/>
    <col min="6" max="6" width="12.140625" style="35" customWidth="1"/>
    <col min="7" max="7" width="20.28515625" style="48" customWidth="1"/>
    <col min="8" max="8" width="11.85546875" style="49" bestFit="1" customWidth="1"/>
    <col min="9" max="9" width="14.85546875" style="49" customWidth="1"/>
    <col min="10" max="10" width="11.85546875" style="49" bestFit="1" customWidth="1"/>
    <col min="11" max="12" width="9.42578125" style="49" bestFit="1" customWidth="1"/>
    <col min="13" max="13" width="13.7109375" style="49" customWidth="1"/>
    <col min="14" max="14" width="11" style="49" bestFit="1" customWidth="1"/>
    <col min="15" max="15" width="19.85546875" style="49" customWidth="1"/>
    <col min="16" max="19" width="9.140625" style="17"/>
    <col min="20" max="20" width="13.85546875" style="17" bestFit="1" customWidth="1"/>
    <col min="21" max="16384" width="9.140625" style="17"/>
  </cols>
  <sheetData>
    <row r="1" spans="1:15" s="53" customFormat="1">
      <c r="A1" s="50"/>
      <c r="B1" s="51"/>
      <c r="C1" s="54"/>
      <c r="D1" s="52"/>
      <c r="E1" s="52"/>
      <c r="F1" s="52"/>
      <c r="G1" s="223"/>
      <c r="H1" s="224"/>
      <c r="I1" s="224"/>
      <c r="J1" s="224"/>
      <c r="K1" s="224"/>
      <c r="L1" s="224"/>
      <c r="M1" s="224"/>
      <c r="N1" s="224"/>
      <c r="O1" s="224"/>
    </row>
    <row r="2" spans="1:15" s="53" customFormat="1" ht="15">
      <c r="A2" s="450" t="s">
        <v>753</v>
      </c>
      <c r="B2" s="450"/>
      <c r="C2" s="200" t="s">
        <v>754</v>
      </c>
      <c r="D2" s="194"/>
      <c r="E2" s="52"/>
      <c r="F2" s="52"/>
      <c r="G2" s="223"/>
      <c r="H2" s="224"/>
      <c r="I2" s="224"/>
      <c r="J2" s="224"/>
      <c r="K2" s="224"/>
      <c r="L2" s="224"/>
      <c r="M2" s="224"/>
      <c r="N2" s="224"/>
      <c r="O2" s="224"/>
    </row>
    <row r="3" spans="1:15" s="53" customFormat="1" ht="15">
      <c r="A3" s="450" t="s">
        <v>755</v>
      </c>
      <c r="B3" s="450"/>
      <c r="C3" s="200" t="s">
        <v>756</v>
      </c>
      <c r="D3" s="194"/>
      <c r="E3" s="52"/>
      <c r="F3" s="52"/>
      <c r="G3" s="223"/>
      <c r="H3" s="224"/>
      <c r="I3" s="224"/>
      <c r="J3" s="224"/>
      <c r="K3" s="224"/>
      <c r="L3" s="224"/>
      <c r="M3" s="224"/>
      <c r="N3" s="224"/>
      <c r="O3" s="224"/>
    </row>
    <row r="4" spans="1:15" s="53" customFormat="1" ht="15">
      <c r="A4" s="450" t="s">
        <v>757</v>
      </c>
      <c r="B4" s="450"/>
      <c r="C4" s="450" t="s">
        <v>759</v>
      </c>
      <c r="D4" s="450"/>
      <c r="E4" s="52"/>
      <c r="F4" s="52"/>
      <c r="G4" s="223"/>
      <c r="H4" s="224"/>
      <c r="I4" s="224"/>
      <c r="J4" s="224"/>
      <c r="K4" s="224"/>
      <c r="L4" s="224"/>
      <c r="M4" s="224"/>
      <c r="N4" s="224"/>
      <c r="O4" s="224"/>
    </row>
    <row r="5" spans="1:15" s="53" customFormat="1" ht="15">
      <c r="A5" s="449" t="s">
        <v>758</v>
      </c>
      <c r="B5" s="449"/>
      <c r="C5" s="195">
        <v>46204</v>
      </c>
      <c r="D5" s="194"/>
      <c r="E5" s="50"/>
      <c r="F5" s="50"/>
      <c r="G5" s="224"/>
      <c r="H5" s="224"/>
      <c r="I5" s="224"/>
      <c r="J5" s="224"/>
      <c r="K5" s="224"/>
      <c r="L5" s="224"/>
      <c r="M5" s="224"/>
      <c r="N5" s="224"/>
      <c r="O5" s="224"/>
    </row>
    <row r="6" spans="1:15" s="1" customFormat="1" ht="15">
      <c r="A6" s="426" t="s">
        <v>13</v>
      </c>
      <c r="B6" s="426"/>
      <c r="C6" s="426"/>
      <c r="D6" s="426"/>
      <c r="E6" s="426"/>
      <c r="F6" s="426"/>
      <c r="G6" s="426"/>
      <c r="H6" s="426"/>
      <c r="I6" s="426"/>
      <c r="J6" s="426"/>
      <c r="K6" s="426"/>
      <c r="L6" s="426"/>
      <c r="M6" s="426"/>
      <c r="N6" s="426"/>
      <c r="O6" s="426"/>
    </row>
    <row r="7" spans="1:15" s="55" customFormat="1" ht="15">
      <c r="A7" s="428" t="s">
        <v>14</v>
      </c>
      <c r="B7" s="428" t="s">
        <v>215</v>
      </c>
      <c r="C7" s="428" t="s">
        <v>0</v>
      </c>
      <c r="D7" s="428" t="s">
        <v>1</v>
      </c>
      <c r="E7" s="427" t="s">
        <v>15</v>
      </c>
      <c r="F7" s="427" t="s">
        <v>2</v>
      </c>
      <c r="G7" s="427"/>
      <c r="H7" s="427" t="s">
        <v>3</v>
      </c>
      <c r="I7" s="427"/>
      <c r="J7" s="427" t="s">
        <v>4</v>
      </c>
      <c r="K7" s="427"/>
      <c r="L7" s="427" t="s">
        <v>5</v>
      </c>
      <c r="M7" s="427"/>
      <c r="N7" s="427" t="s">
        <v>6</v>
      </c>
      <c r="O7" s="427"/>
    </row>
    <row r="8" spans="1:15" s="55" customFormat="1" ht="45">
      <c r="A8" s="428"/>
      <c r="B8" s="428"/>
      <c r="C8" s="428"/>
      <c r="D8" s="428"/>
      <c r="E8" s="427"/>
      <c r="F8" s="196" t="s">
        <v>16</v>
      </c>
      <c r="G8" s="56" t="s">
        <v>17</v>
      </c>
      <c r="H8" s="196" t="s">
        <v>16</v>
      </c>
      <c r="I8" s="196" t="s">
        <v>17</v>
      </c>
      <c r="J8" s="196" t="s">
        <v>16</v>
      </c>
      <c r="K8" s="196" t="s">
        <v>17</v>
      </c>
      <c r="L8" s="196" t="s">
        <v>16</v>
      </c>
      <c r="M8" s="196" t="s">
        <v>17</v>
      </c>
      <c r="N8" s="196" t="s">
        <v>16</v>
      </c>
      <c r="O8" s="196" t="s">
        <v>17</v>
      </c>
    </row>
    <row r="9" spans="1:15" s="55" customFormat="1" ht="15">
      <c r="A9" s="197"/>
      <c r="B9" s="197"/>
      <c r="C9" s="197"/>
      <c r="D9" s="197"/>
      <c r="E9" s="196"/>
      <c r="F9" s="196"/>
      <c r="G9" s="56"/>
      <c r="H9" s="196"/>
      <c r="I9" s="196"/>
      <c r="J9" s="196"/>
      <c r="K9" s="196"/>
      <c r="L9" s="196"/>
      <c r="M9" s="196"/>
      <c r="N9" s="196"/>
      <c r="O9" s="196"/>
    </row>
    <row r="10" spans="1:15" s="58" customFormat="1" ht="15">
      <c r="A10" s="57">
        <v>1</v>
      </c>
      <c r="B10" s="57">
        <v>2</v>
      </c>
      <c r="C10" s="57">
        <v>3</v>
      </c>
      <c r="D10" s="57">
        <v>4</v>
      </c>
      <c r="E10" s="57">
        <v>5</v>
      </c>
      <c r="F10" s="57">
        <v>6</v>
      </c>
      <c r="G10" s="57">
        <v>7</v>
      </c>
      <c r="H10" s="57">
        <v>8</v>
      </c>
      <c r="I10" s="57">
        <v>9</v>
      </c>
      <c r="J10" s="57">
        <v>10</v>
      </c>
      <c r="K10" s="57">
        <v>11</v>
      </c>
      <c r="L10" s="57">
        <v>12</v>
      </c>
      <c r="M10" s="57">
        <v>13</v>
      </c>
      <c r="N10" s="57">
        <v>14</v>
      </c>
      <c r="O10" s="57">
        <v>15</v>
      </c>
    </row>
    <row r="11" spans="1:15" s="3" customFormat="1" ht="23.45" customHeight="1">
      <c r="A11" s="434" t="s">
        <v>232</v>
      </c>
      <c r="B11" s="434"/>
      <c r="C11" s="434"/>
      <c r="D11" s="434"/>
      <c r="E11" s="434"/>
      <c r="F11" s="434"/>
      <c r="G11" s="434"/>
      <c r="H11" s="434"/>
      <c r="I11" s="434"/>
      <c r="J11" s="434"/>
      <c r="K11" s="434"/>
      <c r="L11" s="434"/>
      <c r="M11" s="434"/>
      <c r="N11" s="434"/>
      <c r="O11" s="434"/>
    </row>
    <row r="12" spans="1:15" s="5" customFormat="1">
      <c r="A12" s="59">
        <v>1</v>
      </c>
      <c r="B12" s="60" t="s">
        <v>233</v>
      </c>
      <c r="C12" s="61" t="s">
        <v>234</v>
      </c>
      <c r="D12" s="59" t="s">
        <v>7</v>
      </c>
      <c r="E12" s="62">
        <v>102024</v>
      </c>
      <c r="F12" s="59">
        <v>0.81799999999999995</v>
      </c>
      <c r="G12" s="225">
        <f t="shared" ref="G12:G75" si="0">E12*F12</f>
        <v>83455.631999999998</v>
      </c>
      <c r="H12" s="226" t="s">
        <v>235</v>
      </c>
      <c r="I12" s="226" t="s">
        <v>235</v>
      </c>
      <c r="J12" s="226" t="s">
        <v>235</v>
      </c>
      <c r="K12" s="226" t="s">
        <v>235</v>
      </c>
      <c r="L12" s="226" t="s">
        <v>235</v>
      </c>
      <c r="M12" s="226" t="s">
        <v>235</v>
      </c>
      <c r="N12" s="226" t="s">
        <v>235</v>
      </c>
      <c r="O12" s="226" t="s">
        <v>235</v>
      </c>
    </row>
    <row r="13" spans="1:15" s="5" customFormat="1">
      <c r="A13" s="59">
        <v>2</v>
      </c>
      <c r="B13" s="60" t="s">
        <v>236</v>
      </c>
      <c r="C13" s="61" t="s">
        <v>237</v>
      </c>
      <c r="D13" s="59" t="s">
        <v>18</v>
      </c>
      <c r="E13" s="62">
        <v>231471.78</v>
      </c>
      <c r="F13" s="59">
        <v>0.69199999999999995</v>
      </c>
      <c r="G13" s="225">
        <f t="shared" si="0"/>
        <v>160178.47175999999</v>
      </c>
      <c r="H13" s="226" t="s">
        <v>235</v>
      </c>
      <c r="I13" s="226" t="s">
        <v>235</v>
      </c>
      <c r="J13" s="226" t="s">
        <v>235</v>
      </c>
      <c r="K13" s="226" t="s">
        <v>235</v>
      </c>
      <c r="L13" s="226" t="s">
        <v>235</v>
      </c>
      <c r="M13" s="226" t="s">
        <v>235</v>
      </c>
      <c r="N13" s="226" t="s">
        <v>235</v>
      </c>
      <c r="O13" s="226" t="s">
        <v>235</v>
      </c>
    </row>
    <row r="14" spans="1:15" s="5" customFormat="1" ht="28.5">
      <c r="A14" s="59">
        <v>3</v>
      </c>
      <c r="B14" s="59" t="s">
        <v>238</v>
      </c>
      <c r="C14" s="61" t="s">
        <v>239</v>
      </c>
      <c r="D14" s="59" t="s">
        <v>8</v>
      </c>
      <c r="E14" s="62">
        <v>122000</v>
      </c>
      <c r="F14" s="59">
        <v>1</v>
      </c>
      <c r="G14" s="225">
        <f t="shared" si="0"/>
        <v>122000</v>
      </c>
      <c r="H14" s="226" t="s">
        <v>235</v>
      </c>
      <c r="I14" s="226" t="s">
        <v>235</v>
      </c>
      <c r="J14" s="226" t="s">
        <v>235</v>
      </c>
      <c r="K14" s="226" t="s">
        <v>235</v>
      </c>
      <c r="L14" s="226" t="s">
        <v>235</v>
      </c>
      <c r="M14" s="226" t="s">
        <v>235</v>
      </c>
      <c r="N14" s="226" t="s">
        <v>235</v>
      </c>
      <c r="O14" s="226" t="s">
        <v>235</v>
      </c>
    </row>
    <row r="15" spans="1:15" s="5" customFormat="1" ht="28.5">
      <c r="A15" s="59">
        <v>4</v>
      </c>
      <c r="B15" s="59" t="s">
        <v>240</v>
      </c>
      <c r="C15" s="61" t="s">
        <v>241</v>
      </c>
      <c r="D15" s="59" t="s">
        <v>8</v>
      </c>
      <c r="E15" s="62">
        <v>32000</v>
      </c>
      <c r="F15" s="59">
        <v>1</v>
      </c>
      <c r="G15" s="225">
        <f t="shared" si="0"/>
        <v>32000</v>
      </c>
      <c r="H15" s="226" t="s">
        <v>235</v>
      </c>
      <c r="I15" s="226" t="s">
        <v>235</v>
      </c>
      <c r="J15" s="226" t="s">
        <v>235</v>
      </c>
      <c r="K15" s="226" t="s">
        <v>235</v>
      </c>
      <c r="L15" s="226" t="s">
        <v>235</v>
      </c>
      <c r="M15" s="226" t="s">
        <v>235</v>
      </c>
      <c r="N15" s="226" t="s">
        <v>235</v>
      </c>
      <c r="O15" s="226" t="s">
        <v>235</v>
      </c>
    </row>
    <row r="16" spans="1:15" s="5" customFormat="1" ht="28.5">
      <c r="A16" s="59">
        <v>5</v>
      </c>
      <c r="B16" s="60" t="s">
        <v>242</v>
      </c>
      <c r="C16" s="61" t="s">
        <v>243</v>
      </c>
      <c r="D16" s="59" t="s">
        <v>8</v>
      </c>
      <c r="E16" s="62">
        <v>1140000</v>
      </c>
      <c r="F16" s="59">
        <v>1</v>
      </c>
      <c r="G16" s="225">
        <f t="shared" si="0"/>
        <v>1140000</v>
      </c>
      <c r="H16" s="226" t="s">
        <v>235</v>
      </c>
      <c r="I16" s="226" t="s">
        <v>235</v>
      </c>
      <c r="J16" s="226" t="s">
        <v>235</v>
      </c>
      <c r="K16" s="226" t="s">
        <v>235</v>
      </c>
      <c r="L16" s="226" t="s">
        <v>235</v>
      </c>
      <c r="M16" s="226" t="s">
        <v>235</v>
      </c>
      <c r="N16" s="226" t="s">
        <v>235</v>
      </c>
      <c r="O16" s="226" t="s">
        <v>235</v>
      </c>
    </row>
    <row r="17" spans="1:15" s="5" customFormat="1" ht="28.5">
      <c r="A17" s="59">
        <v>6</v>
      </c>
      <c r="B17" s="60" t="s">
        <v>244</v>
      </c>
      <c r="C17" s="61" t="s">
        <v>245</v>
      </c>
      <c r="D17" s="59" t="s">
        <v>8</v>
      </c>
      <c r="E17" s="62">
        <v>90000</v>
      </c>
      <c r="F17" s="59">
        <v>1</v>
      </c>
      <c r="G17" s="225">
        <f t="shared" si="0"/>
        <v>90000</v>
      </c>
      <c r="H17" s="226" t="s">
        <v>235</v>
      </c>
      <c r="I17" s="226" t="s">
        <v>235</v>
      </c>
      <c r="J17" s="226" t="s">
        <v>235</v>
      </c>
      <c r="K17" s="226" t="s">
        <v>235</v>
      </c>
      <c r="L17" s="226" t="s">
        <v>235</v>
      </c>
      <c r="M17" s="226" t="s">
        <v>235</v>
      </c>
      <c r="N17" s="226" t="s">
        <v>235</v>
      </c>
      <c r="O17" s="226" t="s">
        <v>235</v>
      </c>
    </row>
    <row r="18" spans="1:15" s="5" customFormat="1">
      <c r="A18" s="59">
        <v>7</v>
      </c>
      <c r="B18" s="60" t="s">
        <v>19</v>
      </c>
      <c r="C18" s="61" t="s">
        <v>246</v>
      </c>
      <c r="D18" s="59" t="s">
        <v>8</v>
      </c>
      <c r="E18" s="62">
        <v>4500</v>
      </c>
      <c r="F18" s="59">
        <v>1</v>
      </c>
      <c r="G18" s="225">
        <f t="shared" si="0"/>
        <v>4500</v>
      </c>
      <c r="H18" s="226" t="s">
        <v>235</v>
      </c>
      <c r="I18" s="226" t="s">
        <v>235</v>
      </c>
      <c r="J18" s="226" t="s">
        <v>235</v>
      </c>
      <c r="K18" s="226" t="s">
        <v>235</v>
      </c>
      <c r="L18" s="226" t="s">
        <v>235</v>
      </c>
      <c r="M18" s="226" t="s">
        <v>235</v>
      </c>
      <c r="N18" s="226" t="s">
        <v>235</v>
      </c>
      <c r="O18" s="226" t="s">
        <v>235</v>
      </c>
    </row>
    <row r="19" spans="1:15" s="5" customFormat="1">
      <c r="A19" s="59">
        <v>8</v>
      </c>
      <c r="B19" s="60" t="s">
        <v>19</v>
      </c>
      <c r="C19" s="61" t="s">
        <v>247</v>
      </c>
      <c r="D19" s="59" t="s">
        <v>8</v>
      </c>
      <c r="E19" s="62">
        <v>4500</v>
      </c>
      <c r="F19" s="59">
        <v>1</v>
      </c>
      <c r="G19" s="225">
        <f t="shared" si="0"/>
        <v>4500</v>
      </c>
      <c r="H19" s="226" t="s">
        <v>235</v>
      </c>
      <c r="I19" s="226" t="s">
        <v>235</v>
      </c>
      <c r="J19" s="226" t="s">
        <v>235</v>
      </c>
      <c r="K19" s="226" t="s">
        <v>235</v>
      </c>
      <c r="L19" s="226" t="s">
        <v>235</v>
      </c>
      <c r="M19" s="226" t="s">
        <v>235</v>
      </c>
      <c r="N19" s="226" t="s">
        <v>235</v>
      </c>
      <c r="O19" s="226" t="s">
        <v>235</v>
      </c>
    </row>
    <row r="20" spans="1:15" s="5" customFormat="1">
      <c r="A20" s="59">
        <v>9</v>
      </c>
      <c r="B20" s="60" t="s">
        <v>20</v>
      </c>
      <c r="C20" s="61" t="s">
        <v>248</v>
      </c>
      <c r="D20" s="59" t="s">
        <v>8</v>
      </c>
      <c r="E20" s="62">
        <v>3500</v>
      </c>
      <c r="F20" s="59">
        <v>1</v>
      </c>
      <c r="G20" s="225">
        <f t="shared" si="0"/>
        <v>3500</v>
      </c>
      <c r="H20" s="226" t="s">
        <v>235</v>
      </c>
      <c r="I20" s="226" t="s">
        <v>235</v>
      </c>
      <c r="J20" s="226" t="s">
        <v>235</v>
      </c>
      <c r="K20" s="226" t="s">
        <v>235</v>
      </c>
      <c r="L20" s="226" t="s">
        <v>235</v>
      </c>
      <c r="M20" s="226" t="s">
        <v>235</v>
      </c>
      <c r="N20" s="226" t="s">
        <v>235</v>
      </c>
      <c r="O20" s="226" t="s">
        <v>235</v>
      </c>
    </row>
    <row r="21" spans="1:15" s="5" customFormat="1">
      <c r="A21" s="59">
        <v>10</v>
      </c>
      <c r="B21" s="60" t="s">
        <v>249</v>
      </c>
      <c r="C21" s="61" t="s">
        <v>250</v>
      </c>
      <c r="D21" s="59" t="s">
        <v>8</v>
      </c>
      <c r="E21" s="62">
        <v>3500</v>
      </c>
      <c r="F21" s="59">
        <v>1</v>
      </c>
      <c r="G21" s="225">
        <f t="shared" si="0"/>
        <v>3500</v>
      </c>
      <c r="H21" s="226" t="s">
        <v>235</v>
      </c>
      <c r="I21" s="226" t="s">
        <v>235</v>
      </c>
      <c r="J21" s="226" t="s">
        <v>235</v>
      </c>
      <c r="K21" s="226" t="s">
        <v>235</v>
      </c>
      <c r="L21" s="226" t="s">
        <v>235</v>
      </c>
      <c r="M21" s="226" t="s">
        <v>235</v>
      </c>
      <c r="N21" s="226" t="s">
        <v>235</v>
      </c>
      <c r="O21" s="226" t="s">
        <v>235</v>
      </c>
    </row>
    <row r="22" spans="1:15" s="5" customFormat="1">
      <c r="A22" s="59">
        <v>11</v>
      </c>
      <c r="B22" s="60" t="s">
        <v>251</v>
      </c>
      <c r="C22" s="61" t="s">
        <v>252</v>
      </c>
      <c r="D22" s="59" t="s">
        <v>8</v>
      </c>
      <c r="E22" s="62">
        <v>4300</v>
      </c>
      <c r="F22" s="59">
        <v>1</v>
      </c>
      <c r="G22" s="225">
        <f t="shared" si="0"/>
        <v>4300</v>
      </c>
      <c r="H22" s="226" t="s">
        <v>235</v>
      </c>
      <c r="I22" s="226" t="s">
        <v>235</v>
      </c>
      <c r="J22" s="226" t="s">
        <v>235</v>
      </c>
      <c r="K22" s="226" t="s">
        <v>235</v>
      </c>
      <c r="L22" s="226" t="s">
        <v>235</v>
      </c>
      <c r="M22" s="226" t="s">
        <v>235</v>
      </c>
      <c r="N22" s="226" t="s">
        <v>235</v>
      </c>
      <c r="O22" s="226" t="s">
        <v>235</v>
      </c>
    </row>
    <row r="23" spans="1:15" s="5" customFormat="1">
      <c r="A23" s="59">
        <v>12</v>
      </c>
      <c r="B23" s="60" t="s">
        <v>253</v>
      </c>
      <c r="C23" s="61" t="s">
        <v>254</v>
      </c>
      <c r="D23" s="59" t="s">
        <v>8</v>
      </c>
      <c r="E23" s="62">
        <v>4300</v>
      </c>
      <c r="F23" s="59">
        <v>1</v>
      </c>
      <c r="G23" s="225">
        <f t="shared" si="0"/>
        <v>4300</v>
      </c>
      <c r="H23" s="226" t="s">
        <v>235</v>
      </c>
      <c r="I23" s="226" t="s">
        <v>235</v>
      </c>
      <c r="J23" s="226" t="s">
        <v>235</v>
      </c>
      <c r="K23" s="226" t="s">
        <v>235</v>
      </c>
      <c r="L23" s="226" t="s">
        <v>235</v>
      </c>
      <c r="M23" s="226" t="s">
        <v>235</v>
      </c>
      <c r="N23" s="226" t="s">
        <v>235</v>
      </c>
      <c r="O23" s="226" t="s">
        <v>235</v>
      </c>
    </row>
    <row r="24" spans="1:15" s="5" customFormat="1">
      <c r="A24" s="59">
        <v>13</v>
      </c>
      <c r="B24" s="59" t="s">
        <v>255</v>
      </c>
      <c r="C24" s="61" t="s">
        <v>256</v>
      </c>
      <c r="D24" s="59" t="s">
        <v>8</v>
      </c>
      <c r="E24" s="62">
        <v>34000</v>
      </c>
      <c r="F24" s="59">
        <v>1</v>
      </c>
      <c r="G24" s="225">
        <f t="shared" si="0"/>
        <v>34000</v>
      </c>
      <c r="H24" s="226" t="s">
        <v>235</v>
      </c>
      <c r="I24" s="226" t="s">
        <v>235</v>
      </c>
      <c r="J24" s="226" t="s">
        <v>235</v>
      </c>
      <c r="K24" s="226" t="s">
        <v>235</v>
      </c>
      <c r="L24" s="226" t="s">
        <v>235</v>
      </c>
      <c r="M24" s="226" t="s">
        <v>235</v>
      </c>
      <c r="N24" s="226" t="s">
        <v>235</v>
      </c>
      <c r="O24" s="226" t="s">
        <v>235</v>
      </c>
    </row>
    <row r="25" spans="1:15" s="5" customFormat="1">
      <c r="A25" s="59">
        <v>14</v>
      </c>
      <c r="B25" s="59" t="s">
        <v>21</v>
      </c>
      <c r="C25" s="61" t="s">
        <v>257</v>
      </c>
      <c r="D25" s="59" t="s">
        <v>8</v>
      </c>
      <c r="E25" s="62">
        <v>32000</v>
      </c>
      <c r="F25" s="59">
        <v>1</v>
      </c>
      <c r="G25" s="225">
        <f t="shared" si="0"/>
        <v>32000</v>
      </c>
      <c r="H25" s="226" t="s">
        <v>235</v>
      </c>
      <c r="I25" s="226" t="s">
        <v>235</v>
      </c>
      <c r="J25" s="226" t="s">
        <v>235</v>
      </c>
      <c r="K25" s="226" t="s">
        <v>235</v>
      </c>
      <c r="L25" s="226" t="s">
        <v>235</v>
      </c>
      <c r="M25" s="226" t="s">
        <v>235</v>
      </c>
      <c r="N25" s="226" t="s">
        <v>235</v>
      </c>
      <c r="O25" s="226" t="s">
        <v>235</v>
      </c>
    </row>
    <row r="26" spans="1:15" s="5" customFormat="1">
      <c r="A26" s="59">
        <v>15</v>
      </c>
      <c r="B26" s="59" t="s">
        <v>22</v>
      </c>
      <c r="C26" s="61" t="s">
        <v>258</v>
      </c>
      <c r="D26" s="59" t="s">
        <v>8</v>
      </c>
      <c r="E26" s="62">
        <v>45600</v>
      </c>
      <c r="F26" s="59">
        <v>1</v>
      </c>
      <c r="G26" s="225">
        <f t="shared" si="0"/>
        <v>45600</v>
      </c>
      <c r="H26" s="226" t="s">
        <v>235</v>
      </c>
      <c r="I26" s="226" t="s">
        <v>235</v>
      </c>
      <c r="J26" s="226" t="s">
        <v>235</v>
      </c>
      <c r="K26" s="226" t="s">
        <v>235</v>
      </c>
      <c r="L26" s="226" t="s">
        <v>235</v>
      </c>
      <c r="M26" s="226" t="s">
        <v>235</v>
      </c>
      <c r="N26" s="226" t="s">
        <v>235</v>
      </c>
      <c r="O26" s="226" t="s">
        <v>235</v>
      </c>
    </row>
    <row r="27" spans="1:15" s="5" customFormat="1" ht="28.5">
      <c r="A27" s="59">
        <v>16</v>
      </c>
      <c r="B27" s="59" t="s">
        <v>21</v>
      </c>
      <c r="C27" s="61" t="s">
        <v>259</v>
      </c>
      <c r="D27" s="59" t="s">
        <v>23</v>
      </c>
      <c r="E27" s="62">
        <v>6197</v>
      </c>
      <c r="F27" s="59">
        <v>1</v>
      </c>
      <c r="G27" s="225">
        <f t="shared" si="0"/>
        <v>6197</v>
      </c>
      <c r="H27" s="226" t="s">
        <v>235</v>
      </c>
      <c r="I27" s="226" t="s">
        <v>235</v>
      </c>
      <c r="J27" s="226" t="s">
        <v>235</v>
      </c>
      <c r="K27" s="226" t="s">
        <v>235</v>
      </c>
      <c r="L27" s="226" t="s">
        <v>235</v>
      </c>
      <c r="M27" s="226" t="s">
        <v>235</v>
      </c>
      <c r="N27" s="226" t="s">
        <v>235</v>
      </c>
      <c r="O27" s="226" t="s">
        <v>235</v>
      </c>
    </row>
    <row r="28" spans="1:15" s="5" customFormat="1" ht="28.5">
      <c r="A28" s="59">
        <v>17</v>
      </c>
      <c r="B28" s="59" t="s">
        <v>260</v>
      </c>
      <c r="C28" s="61" t="s">
        <v>261</v>
      </c>
      <c r="D28" s="59" t="s">
        <v>8</v>
      </c>
      <c r="E28" s="62">
        <v>162000</v>
      </c>
      <c r="F28" s="59">
        <v>1</v>
      </c>
      <c r="G28" s="225">
        <f t="shared" si="0"/>
        <v>162000</v>
      </c>
      <c r="H28" s="226" t="s">
        <v>235</v>
      </c>
      <c r="I28" s="226" t="s">
        <v>235</v>
      </c>
      <c r="J28" s="226" t="s">
        <v>235</v>
      </c>
      <c r="K28" s="226" t="s">
        <v>235</v>
      </c>
      <c r="L28" s="226" t="s">
        <v>235</v>
      </c>
      <c r="M28" s="226" t="s">
        <v>235</v>
      </c>
      <c r="N28" s="226" t="s">
        <v>235</v>
      </c>
      <c r="O28" s="226" t="s">
        <v>235</v>
      </c>
    </row>
    <row r="29" spans="1:15" s="5" customFormat="1">
      <c r="A29" s="59">
        <v>18</v>
      </c>
      <c r="B29" s="59" t="s">
        <v>262</v>
      </c>
      <c r="C29" s="61" t="s">
        <v>263</v>
      </c>
      <c r="D29" s="59" t="s">
        <v>8</v>
      </c>
      <c r="E29" s="62">
        <v>324</v>
      </c>
      <c r="F29" s="59">
        <v>1</v>
      </c>
      <c r="G29" s="225">
        <f t="shared" si="0"/>
        <v>324</v>
      </c>
      <c r="H29" s="226" t="s">
        <v>235</v>
      </c>
      <c r="I29" s="226" t="s">
        <v>235</v>
      </c>
      <c r="J29" s="226" t="s">
        <v>235</v>
      </c>
      <c r="K29" s="226" t="s">
        <v>235</v>
      </c>
      <c r="L29" s="226" t="s">
        <v>235</v>
      </c>
      <c r="M29" s="226" t="s">
        <v>235</v>
      </c>
      <c r="N29" s="226" t="s">
        <v>235</v>
      </c>
      <c r="O29" s="226" t="s">
        <v>235</v>
      </c>
    </row>
    <row r="30" spans="1:15" s="5" customFormat="1" ht="28.5">
      <c r="A30" s="59">
        <v>19</v>
      </c>
      <c r="B30" s="59" t="s">
        <v>264</v>
      </c>
      <c r="C30" s="61" t="s">
        <v>265</v>
      </c>
      <c r="D30" s="59" t="s">
        <v>8</v>
      </c>
      <c r="E30" s="62">
        <v>678</v>
      </c>
      <c r="F30" s="59">
        <v>2</v>
      </c>
      <c r="G30" s="225">
        <f t="shared" si="0"/>
        <v>1356</v>
      </c>
      <c r="H30" s="226" t="s">
        <v>235</v>
      </c>
      <c r="I30" s="226" t="s">
        <v>235</v>
      </c>
      <c r="J30" s="226" t="s">
        <v>235</v>
      </c>
      <c r="K30" s="226" t="s">
        <v>235</v>
      </c>
      <c r="L30" s="226" t="s">
        <v>235</v>
      </c>
      <c r="M30" s="226" t="s">
        <v>235</v>
      </c>
      <c r="N30" s="226" t="s">
        <v>235</v>
      </c>
      <c r="O30" s="226" t="s">
        <v>235</v>
      </c>
    </row>
    <row r="31" spans="1:15" s="5" customFormat="1" ht="42.75">
      <c r="A31" s="59">
        <v>20</v>
      </c>
      <c r="B31" s="59" t="s">
        <v>266</v>
      </c>
      <c r="C31" s="61" t="s">
        <v>764</v>
      </c>
      <c r="D31" s="59" t="s">
        <v>24</v>
      </c>
      <c r="E31" s="62">
        <v>295000</v>
      </c>
      <c r="F31" s="59">
        <v>1</v>
      </c>
      <c r="G31" s="225">
        <f t="shared" si="0"/>
        <v>295000</v>
      </c>
      <c r="H31" s="226" t="s">
        <v>235</v>
      </c>
      <c r="I31" s="226" t="s">
        <v>235</v>
      </c>
      <c r="J31" s="226" t="s">
        <v>235</v>
      </c>
      <c r="K31" s="226" t="s">
        <v>235</v>
      </c>
      <c r="L31" s="226" t="s">
        <v>235</v>
      </c>
      <c r="M31" s="226" t="s">
        <v>235</v>
      </c>
      <c r="N31" s="226" t="s">
        <v>235</v>
      </c>
      <c r="O31" s="226" t="s">
        <v>235</v>
      </c>
    </row>
    <row r="32" spans="1:15" s="5" customFormat="1">
      <c r="A32" s="59">
        <v>21</v>
      </c>
      <c r="B32" s="59" t="s">
        <v>267</v>
      </c>
      <c r="C32" s="61" t="s">
        <v>268</v>
      </c>
      <c r="D32" s="59" t="s">
        <v>9</v>
      </c>
      <c r="E32" s="62">
        <v>300</v>
      </c>
      <c r="F32" s="59">
        <v>6</v>
      </c>
      <c r="G32" s="225">
        <f t="shared" si="0"/>
        <v>1800</v>
      </c>
      <c r="H32" s="226" t="s">
        <v>235</v>
      </c>
      <c r="I32" s="226" t="s">
        <v>235</v>
      </c>
      <c r="J32" s="226" t="s">
        <v>235</v>
      </c>
      <c r="K32" s="226" t="s">
        <v>235</v>
      </c>
      <c r="L32" s="226" t="s">
        <v>235</v>
      </c>
      <c r="M32" s="226" t="s">
        <v>235</v>
      </c>
      <c r="N32" s="226" t="s">
        <v>235</v>
      </c>
      <c r="O32" s="226" t="s">
        <v>235</v>
      </c>
    </row>
    <row r="33" spans="1:15" s="5" customFormat="1">
      <c r="A33" s="59">
        <v>22</v>
      </c>
      <c r="B33" s="59" t="s">
        <v>267</v>
      </c>
      <c r="C33" s="61" t="s">
        <v>269</v>
      </c>
      <c r="D33" s="59" t="s">
        <v>9</v>
      </c>
      <c r="E33" s="62">
        <v>215</v>
      </c>
      <c r="F33" s="59">
        <v>3</v>
      </c>
      <c r="G33" s="225">
        <f t="shared" si="0"/>
        <v>645</v>
      </c>
      <c r="H33" s="226" t="s">
        <v>235</v>
      </c>
      <c r="I33" s="226" t="s">
        <v>235</v>
      </c>
      <c r="J33" s="226" t="s">
        <v>235</v>
      </c>
      <c r="K33" s="226" t="s">
        <v>235</v>
      </c>
      <c r="L33" s="226" t="s">
        <v>235</v>
      </c>
      <c r="M33" s="226" t="s">
        <v>235</v>
      </c>
      <c r="N33" s="226" t="s">
        <v>235</v>
      </c>
      <c r="O33" s="226" t="s">
        <v>235</v>
      </c>
    </row>
    <row r="34" spans="1:15" s="5" customFormat="1">
      <c r="A34" s="59">
        <v>23</v>
      </c>
      <c r="B34" s="59" t="s">
        <v>267</v>
      </c>
      <c r="C34" s="61" t="s">
        <v>270</v>
      </c>
      <c r="D34" s="59" t="s">
        <v>9</v>
      </c>
      <c r="E34" s="62">
        <v>250</v>
      </c>
      <c r="F34" s="59">
        <v>3</v>
      </c>
      <c r="G34" s="225">
        <f t="shared" si="0"/>
        <v>750</v>
      </c>
      <c r="H34" s="226" t="s">
        <v>235</v>
      </c>
      <c r="I34" s="226" t="s">
        <v>235</v>
      </c>
      <c r="J34" s="226" t="s">
        <v>235</v>
      </c>
      <c r="K34" s="226" t="s">
        <v>235</v>
      </c>
      <c r="L34" s="226" t="s">
        <v>235</v>
      </c>
      <c r="M34" s="226" t="s">
        <v>235</v>
      </c>
      <c r="N34" s="226" t="s">
        <v>235</v>
      </c>
      <c r="O34" s="226" t="s">
        <v>235</v>
      </c>
    </row>
    <row r="35" spans="1:15" s="5" customFormat="1">
      <c r="A35" s="59">
        <v>24</v>
      </c>
      <c r="B35" s="59" t="s">
        <v>267</v>
      </c>
      <c r="C35" s="61" t="s">
        <v>271</v>
      </c>
      <c r="D35" s="59" t="s">
        <v>9</v>
      </c>
      <c r="E35" s="62">
        <v>90</v>
      </c>
      <c r="F35" s="59">
        <v>12</v>
      </c>
      <c r="G35" s="225">
        <f t="shared" si="0"/>
        <v>1080</v>
      </c>
      <c r="H35" s="226" t="s">
        <v>235</v>
      </c>
      <c r="I35" s="226" t="s">
        <v>235</v>
      </c>
      <c r="J35" s="226" t="s">
        <v>235</v>
      </c>
      <c r="K35" s="226" t="s">
        <v>235</v>
      </c>
      <c r="L35" s="226" t="s">
        <v>235</v>
      </c>
      <c r="M35" s="226" t="s">
        <v>235</v>
      </c>
      <c r="N35" s="226" t="s">
        <v>235</v>
      </c>
      <c r="O35" s="226" t="s">
        <v>235</v>
      </c>
    </row>
    <row r="36" spans="1:15" s="5" customFormat="1">
      <c r="A36" s="59">
        <v>25</v>
      </c>
      <c r="B36" s="59" t="s">
        <v>267</v>
      </c>
      <c r="C36" s="61" t="s">
        <v>272</v>
      </c>
      <c r="D36" s="59" t="s">
        <v>9</v>
      </c>
      <c r="E36" s="62">
        <v>100</v>
      </c>
      <c r="F36" s="59">
        <v>15</v>
      </c>
      <c r="G36" s="225">
        <f t="shared" si="0"/>
        <v>1500</v>
      </c>
      <c r="H36" s="226" t="s">
        <v>235</v>
      </c>
      <c r="I36" s="226" t="s">
        <v>235</v>
      </c>
      <c r="J36" s="226" t="s">
        <v>235</v>
      </c>
      <c r="K36" s="226" t="s">
        <v>235</v>
      </c>
      <c r="L36" s="226" t="s">
        <v>235</v>
      </c>
      <c r="M36" s="226" t="s">
        <v>235</v>
      </c>
      <c r="N36" s="226" t="s">
        <v>235</v>
      </c>
      <c r="O36" s="226" t="s">
        <v>235</v>
      </c>
    </row>
    <row r="37" spans="1:15" s="5" customFormat="1">
      <c r="A37" s="59">
        <v>26</v>
      </c>
      <c r="B37" s="59" t="s">
        <v>267</v>
      </c>
      <c r="C37" s="61" t="s">
        <v>273</v>
      </c>
      <c r="D37" s="59" t="s">
        <v>9</v>
      </c>
      <c r="E37" s="62">
        <v>60</v>
      </c>
      <c r="F37" s="59">
        <v>12</v>
      </c>
      <c r="G37" s="225">
        <f t="shared" si="0"/>
        <v>720</v>
      </c>
      <c r="H37" s="226" t="s">
        <v>235</v>
      </c>
      <c r="I37" s="226" t="s">
        <v>235</v>
      </c>
      <c r="J37" s="226" t="s">
        <v>235</v>
      </c>
      <c r="K37" s="226" t="s">
        <v>235</v>
      </c>
      <c r="L37" s="226" t="s">
        <v>235</v>
      </c>
      <c r="M37" s="226" t="s">
        <v>235</v>
      </c>
      <c r="N37" s="226" t="s">
        <v>235</v>
      </c>
      <c r="O37" s="226" t="s">
        <v>235</v>
      </c>
    </row>
    <row r="38" spans="1:15" s="5" customFormat="1">
      <c r="A38" s="59">
        <v>27</v>
      </c>
      <c r="B38" s="59" t="s">
        <v>267</v>
      </c>
      <c r="C38" s="61" t="s">
        <v>269</v>
      </c>
      <c r="D38" s="59" t="s">
        <v>9</v>
      </c>
      <c r="E38" s="62">
        <v>1500</v>
      </c>
      <c r="F38" s="59">
        <v>1</v>
      </c>
      <c r="G38" s="225">
        <f t="shared" si="0"/>
        <v>1500</v>
      </c>
      <c r="H38" s="226" t="s">
        <v>235</v>
      </c>
      <c r="I38" s="226" t="s">
        <v>235</v>
      </c>
      <c r="J38" s="226" t="s">
        <v>235</v>
      </c>
      <c r="K38" s="226" t="s">
        <v>235</v>
      </c>
      <c r="L38" s="226" t="s">
        <v>235</v>
      </c>
      <c r="M38" s="226" t="s">
        <v>235</v>
      </c>
      <c r="N38" s="226" t="s">
        <v>235</v>
      </c>
      <c r="O38" s="226" t="s">
        <v>235</v>
      </c>
    </row>
    <row r="39" spans="1:15" s="5" customFormat="1">
      <c r="A39" s="59">
        <v>28</v>
      </c>
      <c r="B39" s="59" t="s">
        <v>267</v>
      </c>
      <c r="C39" s="61" t="s">
        <v>270</v>
      </c>
      <c r="D39" s="59" t="s">
        <v>9</v>
      </c>
      <c r="E39" s="62">
        <v>250</v>
      </c>
      <c r="F39" s="59">
        <v>3</v>
      </c>
      <c r="G39" s="225">
        <f t="shared" si="0"/>
        <v>750</v>
      </c>
      <c r="H39" s="226" t="s">
        <v>235</v>
      </c>
      <c r="I39" s="226" t="s">
        <v>235</v>
      </c>
      <c r="J39" s="226" t="s">
        <v>235</v>
      </c>
      <c r="K39" s="226" t="s">
        <v>235</v>
      </c>
      <c r="L39" s="226" t="s">
        <v>235</v>
      </c>
      <c r="M39" s="226" t="s">
        <v>235</v>
      </c>
      <c r="N39" s="226" t="s">
        <v>235</v>
      </c>
      <c r="O39" s="226" t="s">
        <v>235</v>
      </c>
    </row>
    <row r="40" spans="1:15" s="5" customFormat="1">
      <c r="A40" s="59">
        <v>29</v>
      </c>
      <c r="B40" s="59" t="s">
        <v>267</v>
      </c>
      <c r="C40" s="61" t="s">
        <v>271</v>
      </c>
      <c r="D40" s="59" t="s">
        <v>9</v>
      </c>
      <c r="E40" s="62">
        <v>120</v>
      </c>
      <c r="F40" s="59">
        <v>12</v>
      </c>
      <c r="G40" s="225">
        <f t="shared" si="0"/>
        <v>1440</v>
      </c>
      <c r="H40" s="226" t="s">
        <v>235</v>
      </c>
      <c r="I40" s="226" t="s">
        <v>235</v>
      </c>
      <c r="J40" s="226" t="s">
        <v>235</v>
      </c>
      <c r="K40" s="226" t="s">
        <v>235</v>
      </c>
      <c r="L40" s="226" t="s">
        <v>235</v>
      </c>
      <c r="M40" s="226" t="s">
        <v>235</v>
      </c>
      <c r="N40" s="226" t="s">
        <v>235</v>
      </c>
      <c r="O40" s="226" t="s">
        <v>235</v>
      </c>
    </row>
    <row r="41" spans="1:15" s="5" customFormat="1">
      <c r="A41" s="59">
        <v>30</v>
      </c>
      <c r="B41" s="59" t="s">
        <v>267</v>
      </c>
      <c r="C41" s="61" t="s">
        <v>272</v>
      </c>
      <c r="D41" s="59" t="s">
        <v>9</v>
      </c>
      <c r="E41" s="62">
        <v>100</v>
      </c>
      <c r="F41" s="59">
        <v>13</v>
      </c>
      <c r="G41" s="225">
        <f t="shared" si="0"/>
        <v>1300</v>
      </c>
      <c r="H41" s="226" t="s">
        <v>235</v>
      </c>
      <c r="I41" s="226" t="s">
        <v>235</v>
      </c>
      <c r="J41" s="226" t="s">
        <v>235</v>
      </c>
      <c r="K41" s="226" t="s">
        <v>235</v>
      </c>
      <c r="L41" s="226" t="s">
        <v>235</v>
      </c>
      <c r="M41" s="226" t="s">
        <v>235</v>
      </c>
      <c r="N41" s="226" t="s">
        <v>235</v>
      </c>
      <c r="O41" s="226" t="s">
        <v>235</v>
      </c>
    </row>
    <row r="42" spans="1:15" s="5" customFormat="1">
      <c r="A42" s="59">
        <v>31</v>
      </c>
      <c r="B42" s="59" t="s">
        <v>267</v>
      </c>
      <c r="C42" s="61" t="s">
        <v>273</v>
      </c>
      <c r="D42" s="59" t="s">
        <v>9</v>
      </c>
      <c r="E42" s="62">
        <v>260</v>
      </c>
      <c r="F42" s="59">
        <v>12</v>
      </c>
      <c r="G42" s="225">
        <f t="shared" si="0"/>
        <v>3120</v>
      </c>
      <c r="H42" s="226" t="s">
        <v>235</v>
      </c>
      <c r="I42" s="226" t="s">
        <v>235</v>
      </c>
      <c r="J42" s="226" t="s">
        <v>235</v>
      </c>
      <c r="K42" s="226" t="s">
        <v>235</v>
      </c>
      <c r="L42" s="226" t="s">
        <v>235</v>
      </c>
      <c r="M42" s="226" t="s">
        <v>235</v>
      </c>
      <c r="N42" s="226" t="s">
        <v>235</v>
      </c>
      <c r="O42" s="226" t="s">
        <v>235</v>
      </c>
    </row>
    <row r="43" spans="1:15" s="5" customFormat="1">
      <c r="A43" s="59">
        <v>32</v>
      </c>
      <c r="B43" s="59" t="s">
        <v>274</v>
      </c>
      <c r="C43" s="61" t="s">
        <v>275</v>
      </c>
      <c r="D43" s="59" t="s">
        <v>8</v>
      </c>
      <c r="E43" s="62">
        <v>255</v>
      </c>
      <c r="F43" s="59">
        <v>1</v>
      </c>
      <c r="G43" s="225">
        <f t="shared" si="0"/>
        <v>255</v>
      </c>
      <c r="H43" s="226" t="s">
        <v>235</v>
      </c>
      <c r="I43" s="226" t="s">
        <v>235</v>
      </c>
      <c r="J43" s="226" t="s">
        <v>235</v>
      </c>
      <c r="K43" s="226" t="s">
        <v>235</v>
      </c>
      <c r="L43" s="226" t="s">
        <v>235</v>
      </c>
      <c r="M43" s="226" t="s">
        <v>235</v>
      </c>
      <c r="N43" s="226" t="s">
        <v>235</v>
      </c>
      <c r="O43" s="226" t="s">
        <v>235</v>
      </c>
    </row>
    <row r="44" spans="1:15" s="5" customFormat="1">
      <c r="A44" s="59">
        <v>33</v>
      </c>
      <c r="B44" s="59" t="s">
        <v>276</v>
      </c>
      <c r="C44" s="61" t="s">
        <v>277</v>
      </c>
      <c r="D44" s="59" t="s">
        <v>8</v>
      </c>
      <c r="E44" s="62">
        <v>500</v>
      </c>
      <c r="F44" s="59">
        <v>1</v>
      </c>
      <c r="G44" s="225">
        <f t="shared" si="0"/>
        <v>500</v>
      </c>
      <c r="H44" s="226" t="s">
        <v>235</v>
      </c>
      <c r="I44" s="226" t="s">
        <v>235</v>
      </c>
      <c r="J44" s="226" t="s">
        <v>235</v>
      </c>
      <c r="K44" s="226" t="s">
        <v>235</v>
      </c>
      <c r="L44" s="226" t="s">
        <v>235</v>
      </c>
      <c r="M44" s="226" t="s">
        <v>235</v>
      </c>
      <c r="N44" s="226" t="s">
        <v>235</v>
      </c>
      <c r="O44" s="226" t="s">
        <v>235</v>
      </c>
    </row>
    <row r="45" spans="1:15" s="5" customFormat="1">
      <c r="A45" s="59">
        <v>34</v>
      </c>
      <c r="B45" s="59" t="s">
        <v>276</v>
      </c>
      <c r="C45" s="61" t="s">
        <v>278</v>
      </c>
      <c r="D45" s="59" t="s">
        <v>8</v>
      </c>
      <c r="E45" s="62">
        <v>500</v>
      </c>
      <c r="F45" s="59">
        <v>1</v>
      </c>
      <c r="G45" s="225">
        <f t="shared" si="0"/>
        <v>500</v>
      </c>
      <c r="H45" s="226" t="s">
        <v>235</v>
      </c>
      <c r="I45" s="226" t="s">
        <v>235</v>
      </c>
      <c r="J45" s="226" t="s">
        <v>235</v>
      </c>
      <c r="K45" s="226" t="s">
        <v>235</v>
      </c>
      <c r="L45" s="226" t="s">
        <v>235</v>
      </c>
      <c r="M45" s="226" t="s">
        <v>235</v>
      </c>
      <c r="N45" s="226" t="s">
        <v>235</v>
      </c>
      <c r="O45" s="226" t="s">
        <v>235</v>
      </c>
    </row>
    <row r="46" spans="1:15" s="5" customFormat="1" ht="28.5">
      <c r="A46" s="59">
        <v>35</v>
      </c>
      <c r="B46" s="59" t="s">
        <v>276</v>
      </c>
      <c r="C46" s="61" t="s">
        <v>279</v>
      </c>
      <c r="D46" s="59" t="s">
        <v>25</v>
      </c>
      <c r="E46" s="62">
        <v>619</v>
      </c>
      <c r="F46" s="59">
        <v>1</v>
      </c>
      <c r="G46" s="225">
        <f t="shared" si="0"/>
        <v>619</v>
      </c>
      <c r="H46" s="226" t="s">
        <v>235</v>
      </c>
      <c r="I46" s="226" t="s">
        <v>235</v>
      </c>
      <c r="J46" s="226" t="s">
        <v>235</v>
      </c>
      <c r="K46" s="226" t="s">
        <v>235</v>
      </c>
      <c r="L46" s="226" t="s">
        <v>235</v>
      </c>
      <c r="M46" s="226" t="s">
        <v>235</v>
      </c>
      <c r="N46" s="226" t="s">
        <v>235</v>
      </c>
      <c r="O46" s="226" t="s">
        <v>235</v>
      </c>
    </row>
    <row r="47" spans="1:15" s="5" customFormat="1" ht="28.5">
      <c r="A47" s="59">
        <v>36</v>
      </c>
      <c r="B47" s="59" t="s">
        <v>276</v>
      </c>
      <c r="C47" s="61" t="s">
        <v>280</v>
      </c>
      <c r="D47" s="59" t="s">
        <v>25</v>
      </c>
      <c r="E47" s="62">
        <v>2200</v>
      </c>
      <c r="F47" s="59">
        <v>2</v>
      </c>
      <c r="G47" s="225">
        <f t="shared" si="0"/>
        <v>4400</v>
      </c>
      <c r="H47" s="226" t="s">
        <v>235</v>
      </c>
      <c r="I47" s="226" t="s">
        <v>235</v>
      </c>
      <c r="J47" s="226" t="s">
        <v>235</v>
      </c>
      <c r="K47" s="226" t="s">
        <v>235</v>
      </c>
      <c r="L47" s="226" t="s">
        <v>235</v>
      </c>
      <c r="M47" s="226" t="s">
        <v>235</v>
      </c>
      <c r="N47" s="226" t="s">
        <v>235</v>
      </c>
      <c r="O47" s="226" t="s">
        <v>235</v>
      </c>
    </row>
    <row r="48" spans="1:15" s="5" customFormat="1">
      <c r="A48" s="59">
        <v>37</v>
      </c>
      <c r="B48" s="59" t="s">
        <v>26</v>
      </c>
      <c r="C48" s="61" t="s">
        <v>281</v>
      </c>
      <c r="D48" s="59" t="s">
        <v>8</v>
      </c>
      <c r="E48" s="62">
        <v>2300</v>
      </c>
      <c r="F48" s="59">
        <v>1</v>
      </c>
      <c r="G48" s="225">
        <f t="shared" si="0"/>
        <v>2300</v>
      </c>
      <c r="H48" s="226" t="s">
        <v>235</v>
      </c>
      <c r="I48" s="226" t="s">
        <v>235</v>
      </c>
      <c r="J48" s="226" t="s">
        <v>235</v>
      </c>
      <c r="K48" s="226" t="s">
        <v>235</v>
      </c>
      <c r="L48" s="226" t="s">
        <v>235</v>
      </c>
      <c r="M48" s="226" t="s">
        <v>235</v>
      </c>
      <c r="N48" s="226" t="s">
        <v>235</v>
      </c>
      <c r="O48" s="226" t="s">
        <v>235</v>
      </c>
    </row>
    <row r="49" spans="1:15" s="5" customFormat="1">
      <c r="A49" s="59">
        <v>38</v>
      </c>
      <c r="B49" s="59" t="s">
        <v>26</v>
      </c>
      <c r="C49" s="61" t="s">
        <v>282</v>
      </c>
      <c r="D49" s="59" t="s">
        <v>8</v>
      </c>
      <c r="E49" s="62">
        <v>2500</v>
      </c>
      <c r="F49" s="59">
        <v>1</v>
      </c>
      <c r="G49" s="225">
        <f t="shared" si="0"/>
        <v>2500</v>
      </c>
      <c r="H49" s="226" t="s">
        <v>235</v>
      </c>
      <c r="I49" s="226" t="s">
        <v>235</v>
      </c>
      <c r="J49" s="226" t="s">
        <v>235</v>
      </c>
      <c r="K49" s="226" t="s">
        <v>235</v>
      </c>
      <c r="L49" s="226" t="s">
        <v>235</v>
      </c>
      <c r="M49" s="226" t="s">
        <v>235</v>
      </c>
      <c r="N49" s="226" t="s">
        <v>235</v>
      </c>
      <c r="O49" s="226" t="s">
        <v>235</v>
      </c>
    </row>
    <row r="50" spans="1:15" s="5" customFormat="1">
      <c r="A50" s="59">
        <v>39</v>
      </c>
      <c r="B50" s="59" t="s">
        <v>283</v>
      </c>
      <c r="C50" s="61" t="s">
        <v>284</v>
      </c>
      <c r="D50" s="59" t="s">
        <v>8</v>
      </c>
      <c r="E50" s="62">
        <v>2000</v>
      </c>
      <c r="F50" s="59">
        <v>1</v>
      </c>
      <c r="G50" s="225">
        <f t="shared" si="0"/>
        <v>2000</v>
      </c>
      <c r="H50" s="226" t="s">
        <v>235</v>
      </c>
      <c r="I50" s="226" t="s">
        <v>235</v>
      </c>
      <c r="J50" s="226" t="s">
        <v>235</v>
      </c>
      <c r="K50" s="226" t="s">
        <v>235</v>
      </c>
      <c r="L50" s="226" t="s">
        <v>235</v>
      </c>
      <c r="M50" s="226" t="s">
        <v>235</v>
      </c>
      <c r="N50" s="226" t="s">
        <v>235</v>
      </c>
      <c r="O50" s="226" t="s">
        <v>235</v>
      </c>
    </row>
    <row r="51" spans="1:15" s="5" customFormat="1">
      <c r="A51" s="59">
        <v>40</v>
      </c>
      <c r="B51" s="59" t="s">
        <v>285</v>
      </c>
      <c r="C51" s="61" t="s">
        <v>286</v>
      </c>
      <c r="D51" s="59" t="s">
        <v>8</v>
      </c>
      <c r="E51" s="62">
        <v>2200</v>
      </c>
      <c r="F51" s="59">
        <v>1</v>
      </c>
      <c r="G51" s="225">
        <f t="shared" si="0"/>
        <v>2200</v>
      </c>
      <c r="H51" s="226" t="s">
        <v>235</v>
      </c>
      <c r="I51" s="226" t="s">
        <v>235</v>
      </c>
      <c r="J51" s="226" t="s">
        <v>235</v>
      </c>
      <c r="K51" s="226" t="s">
        <v>235</v>
      </c>
      <c r="L51" s="226" t="s">
        <v>235</v>
      </c>
      <c r="M51" s="226" t="s">
        <v>235</v>
      </c>
      <c r="N51" s="226" t="s">
        <v>235</v>
      </c>
      <c r="O51" s="226" t="s">
        <v>235</v>
      </c>
    </row>
    <row r="52" spans="1:15" s="5" customFormat="1">
      <c r="A52" s="59">
        <v>41</v>
      </c>
      <c r="B52" s="59" t="s">
        <v>285</v>
      </c>
      <c r="C52" s="61" t="s">
        <v>286</v>
      </c>
      <c r="D52" s="59" t="s">
        <v>8</v>
      </c>
      <c r="E52" s="62">
        <v>2200</v>
      </c>
      <c r="F52" s="59">
        <v>1</v>
      </c>
      <c r="G52" s="225">
        <f t="shared" si="0"/>
        <v>2200</v>
      </c>
      <c r="H52" s="226" t="s">
        <v>235</v>
      </c>
      <c r="I52" s="226" t="s">
        <v>235</v>
      </c>
      <c r="J52" s="226" t="s">
        <v>235</v>
      </c>
      <c r="K52" s="226" t="s">
        <v>235</v>
      </c>
      <c r="L52" s="226" t="s">
        <v>235</v>
      </c>
      <c r="M52" s="226" t="s">
        <v>235</v>
      </c>
      <c r="N52" s="226" t="s">
        <v>235</v>
      </c>
      <c r="O52" s="226" t="s">
        <v>235</v>
      </c>
    </row>
    <row r="53" spans="1:15" s="5" customFormat="1">
      <c r="A53" s="59">
        <v>42</v>
      </c>
      <c r="B53" s="59" t="s">
        <v>287</v>
      </c>
      <c r="C53" s="61" t="s">
        <v>288</v>
      </c>
      <c r="D53" s="59" t="s">
        <v>8</v>
      </c>
      <c r="E53" s="62">
        <v>2500</v>
      </c>
      <c r="F53" s="59">
        <v>1</v>
      </c>
      <c r="G53" s="225">
        <f t="shared" si="0"/>
        <v>2500</v>
      </c>
      <c r="H53" s="226" t="s">
        <v>235</v>
      </c>
      <c r="I53" s="226" t="s">
        <v>235</v>
      </c>
      <c r="J53" s="226" t="s">
        <v>235</v>
      </c>
      <c r="K53" s="226" t="s">
        <v>235</v>
      </c>
      <c r="L53" s="226" t="s">
        <v>235</v>
      </c>
      <c r="M53" s="226" t="s">
        <v>235</v>
      </c>
      <c r="N53" s="226" t="s">
        <v>235</v>
      </c>
      <c r="O53" s="226" t="s">
        <v>235</v>
      </c>
    </row>
    <row r="54" spans="1:15" s="5" customFormat="1">
      <c r="A54" s="59">
        <v>43</v>
      </c>
      <c r="B54" s="59" t="s">
        <v>287</v>
      </c>
      <c r="C54" s="61" t="s">
        <v>288</v>
      </c>
      <c r="D54" s="59" t="s">
        <v>8</v>
      </c>
      <c r="E54" s="62">
        <v>2500</v>
      </c>
      <c r="F54" s="59">
        <v>1</v>
      </c>
      <c r="G54" s="225">
        <f t="shared" si="0"/>
        <v>2500</v>
      </c>
      <c r="H54" s="226" t="s">
        <v>235</v>
      </c>
      <c r="I54" s="226" t="s">
        <v>235</v>
      </c>
      <c r="J54" s="226" t="s">
        <v>235</v>
      </c>
      <c r="K54" s="226" t="s">
        <v>235</v>
      </c>
      <c r="L54" s="226" t="s">
        <v>235</v>
      </c>
      <c r="M54" s="226" t="s">
        <v>235</v>
      </c>
      <c r="N54" s="226" t="s">
        <v>235</v>
      </c>
      <c r="O54" s="226" t="s">
        <v>235</v>
      </c>
    </row>
    <row r="55" spans="1:15" s="5" customFormat="1">
      <c r="A55" s="59">
        <v>44</v>
      </c>
      <c r="B55" s="59" t="s">
        <v>289</v>
      </c>
      <c r="C55" s="61" t="s">
        <v>290</v>
      </c>
      <c r="D55" s="59" t="s">
        <v>8</v>
      </c>
      <c r="E55" s="62">
        <v>45</v>
      </c>
      <c r="F55" s="59">
        <v>1</v>
      </c>
      <c r="G55" s="225">
        <f t="shared" si="0"/>
        <v>45</v>
      </c>
      <c r="H55" s="226" t="s">
        <v>235</v>
      </c>
      <c r="I55" s="226" t="s">
        <v>235</v>
      </c>
      <c r="J55" s="226" t="s">
        <v>235</v>
      </c>
      <c r="K55" s="226" t="s">
        <v>235</v>
      </c>
      <c r="L55" s="226" t="s">
        <v>235</v>
      </c>
      <c r="M55" s="226" t="s">
        <v>235</v>
      </c>
      <c r="N55" s="226" t="s">
        <v>235</v>
      </c>
      <c r="O55" s="226" t="s">
        <v>235</v>
      </c>
    </row>
    <row r="56" spans="1:15" s="5" customFormat="1">
      <c r="A56" s="59">
        <v>45</v>
      </c>
      <c r="B56" s="59" t="s">
        <v>289</v>
      </c>
      <c r="C56" s="61" t="s">
        <v>290</v>
      </c>
      <c r="D56" s="59" t="s">
        <v>8</v>
      </c>
      <c r="E56" s="62">
        <v>45</v>
      </c>
      <c r="F56" s="59">
        <v>1</v>
      </c>
      <c r="G56" s="225">
        <f t="shared" si="0"/>
        <v>45</v>
      </c>
      <c r="H56" s="226" t="s">
        <v>235</v>
      </c>
      <c r="I56" s="226" t="s">
        <v>235</v>
      </c>
      <c r="J56" s="226" t="s">
        <v>235</v>
      </c>
      <c r="K56" s="226" t="s">
        <v>235</v>
      </c>
      <c r="L56" s="226" t="s">
        <v>235</v>
      </c>
      <c r="M56" s="226" t="s">
        <v>235</v>
      </c>
      <c r="N56" s="226" t="s">
        <v>235</v>
      </c>
      <c r="O56" s="226" t="s">
        <v>235</v>
      </c>
    </row>
    <row r="57" spans="1:15" s="5" customFormat="1">
      <c r="A57" s="59">
        <v>46</v>
      </c>
      <c r="B57" s="59" t="s">
        <v>291</v>
      </c>
      <c r="C57" s="61" t="s">
        <v>292</v>
      </c>
      <c r="D57" s="59" t="s">
        <v>8</v>
      </c>
      <c r="E57" s="62">
        <v>75</v>
      </c>
      <c r="F57" s="59">
        <v>1</v>
      </c>
      <c r="G57" s="225">
        <f t="shared" si="0"/>
        <v>75</v>
      </c>
      <c r="H57" s="226" t="s">
        <v>235</v>
      </c>
      <c r="I57" s="226" t="s">
        <v>235</v>
      </c>
      <c r="J57" s="226" t="s">
        <v>235</v>
      </c>
      <c r="K57" s="226" t="s">
        <v>235</v>
      </c>
      <c r="L57" s="226" t="s">
        <v>235</v>
      </c>
      <c r="M57" s="226" t="s">
        <v>235</v>
      </c>
      <c r="N57" s="226" t="s">
        <v>235</v>
      </c>
      <c r="O57" s="226" t="s">
        <v>235</v>
      </c>
    </row>
    <row r="58" spans="1:15" s="5" customFormat="1">
      <c r="A58" s="59">
        <v>47</v>
      </c>
      <c r="B58" s="59" t="s">
        <v>293</v>
      </c>
      <c r="C58" s="61" t="s">
        <v>294</v>
      </c>
      <c r="D58" s="59" t="s">
        <v>8</v>
      </c>
      <c r="E58" s="62">
        <v>90</v>
      </c>
      <c r="F58" s="59">
        <v>1</v>
      </c>
      <c r="G58" s="225">
        <f t="shared" si="0"/>
        <v>90</v>
      </c>
      <c r="H58" s="226" t="s">
        <v>235</v>
      </c>
      <c r="I58" s="226" t="s">
        <v>235</v>
      </c>
      <c r="J58" s="226" t="s">
        <v>235</v>
      </c>
      <c r="K58" s="226" t="s">
        <v>235</v>
      </c>
      <c r="L58" s="226" t="s">
        <v>235</v>
      </c>
      <c r="M58" s="226" t="s">
        <v>235</v>
      </c>
      <c r="N58" s="226" t="s">
        <v>235</v>
      </c>
      <c r="O58" s="226" t="s">
        <v>235</v>
      </c>
    </row>
    <row r="59" spans="1:15" s="5" customFormat="1">
      <c r="A59" s="59">
        <v>48</v>
      </c>
      <c r="B59" s="59" t="s">
        <v>295</v>
      </c>
      <c r="C59" s="61" t="s">
        <v>296</v>
      </c>
      <c r="D59" s="59" t="s">
        <v>8</v>
      </c>
      <c r="E59" s="62">
        <v>95</v>
      </c>
      <c r="F59" s="59">
        <v>1</v>
      </c>
      <c r="G59" s="225">
        <f t="shared" si="0"/>
        <v>95</v>
      </c>
      <c r="H59" s="226" t="s">
        <v>235</v>
      </c>
      <c r="I59" s="226" t="s">
        <v>235</v>
      </c>
      <c r="J59" s="226" t="s">
        <v>235</v>
      </c>
      <c r="K59" s="226" t="s">
        <v>235</v>
      </c>
      <c r="L59" s="226" t="s">
        <v>235</v>
      </c>
      <c r="M59" s="226" t="s">
        <v>235</v>
      </c>
      <c r="N59" s="226" t="s">
        <v>235</v>
      </c>
      <c r="O59" s="226" t="s">
        <v>235</v>
      </c>
    </row>
    <row r="60" spans="1:15" s="5" customFormat="1">
      <c r="A60" s="59">
        <v>49</v>
      </c>
      <c r="B60" s="59" t="s">
        <v>297</v>
      </c>
      <c r="C60" s="61" t="s">
        <v>298</v>
      </c>
      <c r="D60" s="59" t="s">
        <v>8</v>
      </c>
      <c r="E60" s="62">
        <v>45</v>
      </c>
      <c r="F60" s="59">
        <v>1</v>
      </c>
      <c r="G60" s="225">
        <f t="shared" si="0"/>
        <v>45</v>
      </c>
      <c r="H60" s="226" t="s">
        <v>235</v>
      </c>
      <c r="I60" s="226" t="s">
        <v>235</v>
      </c>
      <c r="J60" s="226" t="s">
        <v>235</v>
      </c>
      <c r="K60" s="226" t="s">
        <v>235</v>
      </c>
      <c r="L60" s="226" t="s">
        <v>235</v>
      </c>
      <c r="M60" s="226" t="s">
        <v>235</v>
      </c>
      <c r="N60" s="226" t="s">
        <v>235</v>
      </c>
      <c r="O60" s="226" t="s">
        <v>235</v>
      </c>
    </row>
    <row r="61" spans="1:15" s="5" customFormat="1">
      <c r="A61" s="59">
        <v>50</v>
      </c>
      <c r="B61" s="59" t="s">
        <v>299</v>
      </c>
      <c r="C61" s="61" t="s">
        <v>300</v>
      </c>
      <c r="D61" s="59" t="s">
        <v>8</v>
      </c>
      <c r="E61" s="62">
        <v>45</v>
      </c>
      <c r="F61" s="59">
        <v>1</v>
      </c>
      <c r="G61" s="225">
        <f t="shared" si="0"/>
        <v>45</v>
      </c>
      <c r="H61" s="226" t="s">
        <v>235</v>
      </c>
      <c r="I61" s="226" t="s">
        <v>235</v>
      </c>
      <c r="J61" s="226" t="s">
        <v>235</v>
      </c>
      <c r="K61" s="226" t="s">
        <v>235</v>
      </c>
      <c r="L61" s="226" t="s">
        <v>235</v>
      </c>
      <c r="M61" s="226" t="s">
        <v>235</v>
      </c>
      <c r="N61" s="226" t="s">
        <v>235</v>
      </c>
      <c r="O61" s="226" t="s">
        <v>235</v>
      </c>
    </row>
    <row r="62" spans="1:15" s="5" customFormat="1">
      <c r="A62" s="59">
        <v>51</v>
      </c>
      <c r="B62" s="59" t="s">
        <v>301</v>
      </c>
      <c r="C62" s="61" t="s">
        <v>302</v>
      </c>
      <c r="D62" s="59" t="s">
        <v>23</v>
      </c>
      <c r="E62" s="62">
        <v>280</v>
      </c>
      <c r="F62" s="59">
        <v>1</v>
      </c>
      <c r="G62" s="225">
        <f t="shared" si="0"/>
        <v>280</v>
      </c>
      <c r="H62" s="226" t="s">
        <v>235</v>
      </c>
      <c r="I62" s="226" t="s">
        <v>235</v>
      </c>
      <c r="J62" s="226" t="s">
        <v>235</v>
      </c>
      <c r="K62" s="226" t="s">
        <v>235</v>
      </c>
      <c r="L62" s="226" t="s">
        <v>235</v>
      </c>
      <c r="M62" s="226" t="s">
        <v>235</v>
      </c>
      <c r="N62" s="226" t="s">
        <v>235</v>
      </c>
      <c r="O62" s="226" t="s">
        <v>235</v>
      </c>
    </row>
    <row r="63" spans="1:15" s="5" customFormat="1">
      <c r="A63" s="59">
        <v>52</v>
      </c>
      <c r="B63" s="59" t="s">
        <v>301</v>
      </c>
      <c r="C63" s="61" t="s">
        <v>302</v>
      </c>
      <c r="D63" s="59" t="s">
        <v>23</v>
      </c>
      <c r="E63" s="62">
        <v>280</v>
      </c>
      <c r="F63" s="59">
        <v>1</v>
      </c>
      <c r="G63" s="225">
        <f t="shared" si="0"/>
        <v>280</v>
      </c>
      <c r="H63" s="226" t="s">
        <v>235</v>
      </c>
      <c r="I63" s="226" t="s">
        <v>235</v>
      </c>
      <c r="J63" s="226" t="s">
        <v>235</v>
      </c>
      <c r="K63" s="226" t="s">
        <v>235</v>
      </c>
      <c r="L63" s="226" t="s">
        <v>235</v>
      </c>
      <c r="M63" s="226" t="s">
        <v>235</v>
      </c>
      <c r="N63" s="226" t="s">
        <v>235</v>
      </c>
      <c r="O63" s="226" t="s">
        <v>235</v>
      </c>
    </row>
    <row r="64" spans="1:15" s="5" customFormat="1">
      <c r="A64" s="59">
        <v>53</v>
      </c>
      <c r="B64" s="59" t="s">
        <v>303</v>
      </c>
      <c r="C64" s="61" t="s">
        <v>304</v>
      </c>
      <c r="D64" s="59" t="s">
        <v>25</v>
      </c>
      <c r="E64" s="62">
        <v>18600</v>
      </c>
      <c r="F64" s="59">
        <v>1</v>
      </c>
      <c r="G64" s="225">
        <f t="shared" si="0"/>
        <v>18600</v>
      </c>
      <c r="H64" s="226" t="s">
        <v>235</v>
      </c>
      <c r="I64" s="226" t="s">
        <v>235</v>
      </c>
      <c r="J64" s="226" t="s">
        <v>235</v>
      </c>
      <c r="K64" s="226" t="s">
        <v>235</v>
      </c>
      <c r="L64" s="226" t="s">
        <v>235</v>
      </c>
      <c r="M64" s="226" t="s">
        <v>235</v>
      </c>
      <c r="N64" s="226" t="s">
        <v>235</v>
      </c>
      <c r="O64" s="226" t="s">
        <v>235</v>
      </c>
    </row>
    <row r="65" spans="1:15" s="5" customFormat="1">
      <c r="A65" s="59">
        <v>54</v>
      </c>
      <c r="B65" s="59" t="s">
        <v>303</v>
      </c>
      <c r="C65" s="61" t="s">
        <v>305</v>
      </c>
      <c r="D65" s="59" t="s">
        <v>25</v>
      </c>
      <c r="E65" s="62">
        <v>5038</v>
      </c>
      <c r="F65" s="59">
        <v>1</v>
      </c>
      <c r="G65" s="225">
        <f t="shared" si="0"/>
        <v>5038</v>
      </c>
      <c r="H65" s="226" t="s">
        <v>235</v>
      </c>
      <c r="I65" s="226" t="s">
        <v>235</v>
      </c>
      <c r="J65" s="226" t="s">
        <v>235</v>
      </c>
      <c r="K65" s="226" t="s">
        <v>235</v>
      </c>
      <c r="L65" s="226" t="s">
        <v>235</v>
      </c>
      <c r="M65" s="226" t="s">
        <v>235</v>
      </c>
      <c r="N65" s="226" t="s">
        <v>235</v>
      </c>
      <c r="O65" s="226" t="s">
        <v>235</v>
      </c>
    </row>
    <row r="66" spans="1:15" s="5" customFormat="1">
      <c r="A66" s="59">
        <v>55</v>
      </c>
      <c r="B66" s="59" t="s">
        <v>306</v>
      </c>
      <c r="C66" s="61" t="s">
        <v>307</v>
      </c>
      <c r="D66" s="59" t="s">
        <v>25</v>
      </c>
      <c r="E66" s="62">
        <v>5039</v>
      </c>
      <c r="F66" s="59">
        <v>1</v>
      </c>
      <c r="G66" s="225">
        <f t="shared" si="0"/>
        <v>5039</v>
      </c>
      <c r="H66" s="226" t="s">
        <v>235</v>
      </c>
      <c r="I66" s="226" t="s">
        <v>235</v>
      </c>
      <c r="J66" s="226" t="s">
        <v>235</v>
      </c>
      <c r="K66" s="226" t="s">
        <v>235</v>
      </c>
      <c r="L66" s="226" t="s">
        <v>235</v>
      </c>
      <c r="M66" s="226" t="s">
        <v>235</v>
      </c>
      <c r="N66" s="226" t="s">
        <v>235</v>
      </c>
      <c r="O66" s="226" t="s">
        <v>235</v>
      </c>
    </row>
    <row r="67" spans="1:15" s="5" customFormat="1">
      <c r="A67" s="59">
        <v>56</v>
      </c>
      <c r="B67" s="59" t="s">
        <v>308</v>
      </c>
      <c r="C67" s="61" t="s">
        <v>27</v>
      </c>
      <c r="D67" s="59" t="s">
        <v>23</v>
      </c>
      <c r="E67" s="62">
        <v>122000</v>
      </c>
      <c r="F67" s="59">
        <v>1</v>
      </c>
      <c r="G67" s="225">
        <f t="shared" si="0"/>
        <v>122000</v>
      </c>
      <c r="H67" s="226" t="s">
        <v>235</v>
      </c>
      <c r="I67" s="226" t="s">
        <v>235</v>
      </c>
      <c r="J67" s="226" t="s">
        <v>235</v>
      </c>
      <c r="K67" s="226" t="s">
        <v>235</v>
      </c>
      <c r="L67" s="226" t="s">
        <v>235</v>
      </c>
      <c r="M67" s="226" t="s">
        <v>235</v>
      </c>
      <c r="N67" s="226" t="s">
        <v>235</v>
      </c>
      <c r="O67" s="226" t="s">
        <v>235</v>
      </c>
    </row>
    <row r="68" spans="1:15" s="5" customFormat="1">
      <c r="A68" s="59">
        <v>57</v>
      </c>
      <c r="B68" s="59" t="s">
        <v>309</v>
      </c>
      <c r="C68" s="61" t="s">
        <v>310</v>
      </c>
      <c r="D68" s="59" t="s">
        <v>25</v>
      </c>
      <c r="E68" s="62">
        <v>18600</v>
      </c>
      <c r="F68" s="59">
        <v>1</v>
      </c>
      <c r="G68" s="225">
        <f t="shared" si="0"/>
        <v>18600</v>
      </c>
      <c r="H68" s="226" t="s">
        <v>235</v>
      </c>
      <c r="I68" s="226" t="s">
        <v>235</v>
      </c>
      <c r="J68" s="226" t="s">
        <v>235</v>
      </c>
      <c r="K68" s="226" t="s">
        <v>235</v>
      </c>
      <c r="L68" s="226" t="s">
        <v>235</v>
      </c>
      <c r="M68" s="226" t="s">
        <v>235</v>
      </c>
      <c r="N68" s="226" t="s">
        <v>235</v>
      </c>
      <c r="O68" s="226" t="s">
        <v>235</v>
      </c>
    </row>
    <row r="69" spans="1:15" s="5" customFormat="1">
      <c r="A69" s="59">
        <v>58</v>
      </c>
      <c r="B69" s="59" t="s">
        <v>309</v>
      </c>
      <c r="C69" s="61" t="s">
        <v>310</v>
      </c>
      <c r="D69" s="59" t="s">
        <v>25</v>
      </c>
      <c r="E69" s="62">
        <v>8000</v>
      </c>
      <c r="F69" s="59">
        <v>1</v>
      </c>
      <c r="G69" s="225">
        <f t="shared" si="0"/>
        <v>8000</v>
      </c>
      <c r="H69" s="226" t="s">
        <v>235</v>
      </c>
      <c r="I69" s="226" t="s">
        <v>235</v>
      </c>
      <c r="J69" s="226" t="s">
        <v>235</v>
      </c>
      <c r="K69" s="226" t="s">
        <v>235</v>
      </c>
      <c r="L69" s="226" t="s">
        <v>235</v>
      </c>
      <c r="M69" s="226" t="s">
        <v>235</v>
      </c>
      <c r="N69" s="226" t="s">
        <v>235</v>
      </c>
      <c r="O69" s="226" t="s">
        <v>235</v>
      </c>
    </row>
    <row r="70" spans="1:15" s="5" customFormat="1">
      <c r="A70" s="59">
        <v>59</v>
      </c>
      <c r="B70" s="59" t="s">
        <v>311</v>
      </c>
      <c r="C70" s="61" t="s">
        <v>312</v>
      </c>
      <c r="D70" s="59" t="s">
        <v>25</v>
      </c>
      <c r="E70" s="62">
        <v>18600</v>
      </c>
      <c r="F70" s="59">
        <v>1</v>
      </c>
      <c r="G70" s="225">
        <f t="shared" si="0"/>
        <v>18600</v>
      </c>
      <c r="H70" s="226" t="s">
        <v>235</v>
      </c>
      <c r="I70" s="226" t="s">
        <v>235</v>
      </c>
      <c r="J70" s="226" t="s">
        <v>235</v>
      </c>
      <c r="K70" s="226" t="s">
        <v>235</v>
      </c>
      <c r="L70" s="226" t="s">
        <v>235</v>
      </c>
      <c r="M70" s="226" t="s">
        <v>235</v>
      </c>
      <c r="N70" s="226" t="s">
        <v>235</v>
      </c>
      <c r="O70" s="226" t="s">
        <v>235</v>
      </c>
    </row>
    <row r="71" spans="1:15" s="5" customFormat="1">
      <c r="A71" s="59">
        <v>60</v>
      </c>
      <c r="B71" s="59" t="s">
        <v>311</v>
      </c>
      <c r="C71" s="61" t="s">
        <v>312</v>
      </c>
      <c r="D71" s="59" t="s">
        <v>25</v>
      </c>
      <c r="E71" s="62">
        <v>8000</v>
      </c>
      <c r="F71" s="59">
        <v>1</v>
      </c>
      <c r="G71" s="225">
        <f t="shared" si="0"/>
        <v>8000</v>
      </c>
      <c r="H71" s="226" t="s">
        <v>235</v>
      </c>
      <c r="I71" s="226" t="s">
        <v>235</v>
      </c>
      <c r="J71" s="226" t="s">
        <v>235</v>
      </c>
      <c r="K71" s="226" t="s">
        <v>235</v>
      </c>
      <c r="L71" s="226" t="s">
        <v>235</v>
      </c>
      <c r="M71" s="226" t="s">
        <v>235</v>
      </c>
      <c r="N71" s="226" t="s">
        <v>235</v>
      </c>
      <c r="O71" s="226" t="s">
        <v>235</v>
      </c>
    </row>
    <row r="72" spans="1:15" s="5" customFormat="1" ht="42.75">
      <c r="A72" s="59">
        <v>61</v>
      </c>
      <c r="B72" s="59" t="s">
        <v>313</v>
      </c>
      <c r="C72" s="61" t="s">
        <v>314</v>
      </c>
      <c r="D72" s="59" t="s">
        <v>8</v>
      </c>
      <c r="E72" s="62">
        <v>54000</v>
      </c>
      <c r="F72" s="59">
        <v>1</v>
      </c>
      <c r="G72" s="225">
        <f t="shared" si="0"/>
        <v>54000</v>
      </c>
      <c r="H72" s="226" t="s">
        <v>235</v>
      </c>
      <c r="I72" s="226" t="s">
        <v>235</v>
      </c>
      <c r="J72" s="226" t="s">
        <v>235</v>
      </c>
      <c r="K72" s="226" t="s">
        <v>235</v>
      </c>
      <c r="L72" s="226" t="s">
        <v>235</v>
      </c>
      <c r="M72" s="226" t="s">
        <v>235</v>
      </c>
      <c r="N72" s="226" t="s">
        <v>235</v>
      </c>
      <c r="O72" s="226" t="s">
        <v>235</v>
      </c>
    </row>
    <row r="73" spans="1:15" s="5" customFormat="1">
      <c r="A73" s="59">
        <v>62</v>
      </c>
      <c r="B73" s="59" t="s">
        <v>315</v>
      </c>
      <c r="C73" s="61" t="s">
        <v>316</v>
      </c>
      <c r="D73" s="59" t="s">
        <v>25</v>
      </c>
      <c r="E73" s="62">
        <v>3500</v>
      </c>
      <c r="F73" s="59">
        <v>2</v>
      </c>
      <c r="G73" s="225">
        <f t="shared" si="0"/>
        <v>7000</v>
      </c>
      <c r="H73" s="226" t="s">
        <v>235</v>
      </c>
      <c r="I73" s="226" t="s">
        <v>235</v>
      </c>
      <c r="J73" s="226" t="s">
        <v>235</v>
      </c>
      <c r="K73" s="226" t="s">
        <v>235</v>
      </c>
      <c r="L73" s="226" t="s">
        <v>235</v>
      </c>
      <c r="M73" s="226" t="s">
        <v>235</v>
      </c>
      <c r="N73" s="226" t="s">
        <v>235</v>
      </c>
      <c r="O73" s="226" t="s">
        <v>235</v>
      </c>
    </row>
    <row r="74" spans="1:15" s="5" customFormat="1">
      <c r="A74" s="59">
        <v>63</v>
      </c>
      <c r="B74" s="59" t="s">
        <v>317</v>
      </c>
      <c r="C74" s="61" t="s">
        <v>318</v>
      </c>
      <c r="D74" s="59" t="s">
        <v>24</v>
      </c>
      <c r="E74" s="62">
        <v>24000</v>
      </c>
      <c r="F74" s="59">
        <v>1</v>
      </c>
      <c r="G74" s="225">
        <f t="shared" si="0"/>
        <v>24000</v>
      </c>
      <c r="H74" s="226" t="s">
        <v>235</v>
      </c>
      <c r="I74" s="226" t="s">
        <v>235</v>
      </c>
      <c r="J74" s="226" t="s">
        <v>235</v>
      </c>
      <c r="K74" s="226" t="s">
        <v>235</v>
      </c>
      <c r="L74" s="226" t="s">
        <v>235</v>
      </c>
      <c r="M74" s="226" t="s">
        <v>235</v>
      </c>
      <c r="N74" s="226" t="s">
        <v>235</v>
      </c>
      <c r="O74" s="226" t="s">
        <v>235</v>
      </c>
    </row>
    <row r="75" spans="1:15" s="5" customFormat="1">
      <c r="A75" s="59">
        <v>64</v>
      </c>
      <c r="B75" s="59" t="s">
        <v>28</v>
      </c>
      <c r="C75" s="61" t="s">
        <v>318</v>
      </c>
      <c r="D75" s="59" t="s">
        <v>24</v>
      </c>
      <c r="E75" s="62">
        <v>21000</v>
      </c>
      <c r="F75" s="59">
        <v>1</v>
      </c>
      <c r="G75" s="225">
        <f t="shared" si="0"/>
        <v>21000</v>
      </c>
      <c r="H75" s="226" t="s">
        <v>235</v>
      </c>
      <c r="I75" s="226" t="s">
        <v>235</v>
      </c>
      <c r="J75" s="226" t="s">
        <v>235</v>
      </c>
      <c r="K75" s="226" t="s">
        <v>235</v>
      </c>
      <c r="L75" s="226" t="s">
        <v>235</v>
      </c>
      <c r="M75" s="226" t="s">
        <v>235</v>
      </c>
      <c r="N75" s="226" t="s">
        <v>235</v>
      </c>
      <c r="O75" s="226" t="s">
        <v>235</v>
      </c>
    </row>
    <row r="76" spans="1:15" s="5" customFormat="1" ht="42.75">
      <c r="A76" s="59">
        <v>65</v>
      </c>
      <c r="B76" s="59" t="s">
        <v>319</v>
      </c>
      <c r="C76" s="61" t="s">
        <v>320</v>
      </c>
      <c r="D76" s="59" t="s">
        <v>24</v>
      </c>
      <c r="E76" s="62">
        <v>90854.8</v>
      </c>
      <c r="F76" s="59">
        <v>1</v>
      </c>
      <c r="G76" s="225">
        <f t="shared" ref="G76:G106" si="1">E76*F76</f>
        <v>90854.8</v>
      </c>
      <c r="H76" s="226" t="s">
        <v>235</v>
      </c>
      <c r="I76" s="226" t="s">
        <v>235</v>
      </c>
      <c r="J76" s="226" t="s">
        <v>235</v>
      </c>
      <c r="K76" s="226" t="s">
        <v>235</v>
      </c>
      <c r="L76" s="226" t="s">
        <v>235</v>
      </c>
      <c r="M76" s="226" t="s">
        <v>235</v>
      </c>
      <c r="N76" s="226" t="s">
        <v>235</v>
      </c>
      <c r="O76" s="226" t="s">
        <v>235</v>
      </c>
    </row>
    <row r="77" spans="1:15" s="5" customFormat="1" ht="28.5">
      <c r="A77" s="59">
        <v>66</v>
      </c>
      <c r="B77" s="59" t="s">
        <v>321</v>
      </c>
      <c r="C77" s="61" t="s">
        <v>322</v>
      </c>
      <c r="D77" s="59" t="s">
        <v>24</v>
      </c>
      <c r="E77" s="62">
        <v>5000</v>
      </c>
      <c r="F77" s="59">
        <v>2</v>
      </c>
      <c r="G77" s="225">
        <f t="shared" si="1"/>
        <v>10000</v>
      </c>
      <c r="H77" s="226" t="s">
        <v>235</v>
      </c>
      <c r="I77" s="226" t="s">
        <v>235</v>
      </c>
      <c r="J77" s="226" t="s">
        <v>235</v>
      </c>
      <c r="K77" s="226" t="s">
        <v>235</v>
      </c>
      <c r="L77" s="226" t="s">
        <v>235</v>
      </c>
      <c r="M77" s="226" t="s">
        <v>235</v>
      </c>
      <c r="N77" s="226" t="s">
        <v>235</v>
      </c>
      <c r="O77" s="226" t="s">
        <v>235</v>
      </c>
    </row>
    <row r="78" spans="1:15" s="5" customFormat="1">
      <c r="A78" s="59">
        <v>67</v>
      </c>
      <c r="B78" s="59" t="s">
        <v>29</v>
      </c>
      <c r="C78" s="61" t="s">
        <v>323</v>
      </c>
      <c r="D78" s="59" t="s">
        <v>24</v>
      </c>
      <c r="E78" s="62">
        <v>2400</v>
      </c>
      <c r="F78" s="59">
        <v>4</v>
      </c>
      <c r="G78" s="225">
        <f t="shared" si="1"/>
        <v>9600</v>
      </c>
      <c r="H78" s="226" t="s">
        <v>235</v>
      </c>
      <c r="I78" s="226" t="s">
        <v>235</v>
      </c>
      <c r="J78" s="226" t="s">
        <v>235</v>
      </c>
      <c r="K78" s="226" t="s">
        <v>235</v>
      </c>
      <c r="L78" s="226" t="s">
        <v>235</v>
      </c>
      <c r="M78" s="226" t="s">
        <v>235</v>
      </c>
      <c r="N78" s="226" t="s">
        <v>235</v>
      </c>
      <c r="O78" s="226" t="s">
        <v>235</v>
      </c>
    </row>
    <row r="79" spans="1:15" s="5" customFormat="1">
      <c r="A79" s="59">
        <v>68</v>
      </c>
      <c r="B79" s="59" t="s">
        <v>324</v>
      </c>
      <c r="C79" s="61" t="s">
        <v>325</v>
      </c>
      <c r="D79" s="59" t="s">
        <v>24</v>
      </c>
      <c r="E79" s="62">
        <v>700</v>
      </c>
      <c r="F79" s="59">
        <v>1</v>
      </c>
      <c r="G79" s="225">
        <f t="shared" si="1"/>
        <v>700</v>
      </c>
      <c r="H79" s="226" t="s">
        <v>235</v>
      </c>
      <c r="I79" s="226" t="s">
        <v>235</v>
      </c>
      <c r="J79" s="226" t="s">
        <v>235</v>
      </c>
      <c r="K79" s="226" t="s">
        <v>235</v>
      </c>
      <c r="L79" s="226" t="s">
        <v>235</v>
      </c>
      <c r="M79" s="226" t="s">
        <v>235</v>
      </c>
      <c r="N79" s="226" t="s">
        <v>235</v>
      </c>
      <c r="O79" s="226" t="s">
        <v>235</v>
      </c>
    </row>
    <row r="80" spans="1:15" s="5" customFormat="1">
      <c r="A80" s="59">
        <v>69</v>
      </c>
      <c r="B80" s="59" t="s">
        <v>30</v>
      </c>
      <c r="C80" s="61" t="s">
        <v>326</v>
      </c>
      <c r="D80" s="59" t="s">
        <v>8</v>
      </c>
      <c r="E80" s="62">
        <v>12300</v>
      </c>
      <c r="F80" s="59">
        <v>1</v>
      </c>
      <c r="G80" s="225">
        <f t="shared" si="1"/>
        <v>12300</v>
      </c>
      <c r="H80" s="226" t="s">
        <v>235</v>
      </c>
      <c r="I80" s="226" t="s">
        <v>235</v>
      </c>
      <c r="J80" s="226" t="s">
        <v>235</v>
      </c>
      <c r="K80" s="226" t="s">
        <v>235</v>
      </c>
      <c r="L80" s="226" t="s">
        <v>235</v>
      </c>
      <c r="M80" s="226" t="s">
        <v>235</v>
      </c>
      <c r="N80" s="226" t="s">
        <v>235</v>
      </c>
      <c r="O80" s="226" t="s">
        <v>235</v>
      </c>
    </row>
    <row r="81" spans="1:15" s="5" customFormat="1">
      <c r="A81" s="59">
        <v>70</v>
      </c>
      <c r="B81" s="59" t="s">
        <v>327</v>
      </c>
      <c r="C81" s="61" t="s">
        <v>328</v>
      </c>
      <c r="D81" s="59" t="s">
        <v>31</v>
      </c>
      <c r="E81" s="62">
        <v>180</v>
      </c>
      <c r="F81" s="59">
        <v>40</v>
      </c>
      <c r="G81" s="225">
        <f t="shared" si="1"/>
        <v>7200</v>
      </c>
      <c r="H81" s="226" t="s">
        <v>235</v>
      </c>
      <c r="I81" s="226" t="s">
        <v>235</v>
      </c>
      <c r="J81" s="226" t="s">
        <v>235</v>
      </c>
      <c r="K81" s="226" t="s">
        <v>235</v>
      </c>
      <c r="L81" s="226" t="s">
        <v>235</v>
      </c>
      <c r="M81" s="226" t="s">
        <v>235</v>
      </c>
      <c r="N81" s="226" t="s">
        <v>235</v>
      </c>
      <c r="O81" s="226" t="s">
        <v>235</v>
      </c>
    </row>
    <row r="82" spans="1:15" s="5" customFormat="1">
      <c r="A82" s="59">
        <v>71</v>
      </c>
      <c r="B82" s="59" t="s">
        <v>30</v>
      </c>
      <c r="C82" s="61" t="s">
        <v>329</v>
      </c>
      <c r="D82" s="59" t="s">
        <v>8</v>
      </c>
      <c r="E82" s="62">
        <v>12000</v>
      </c>
      <c r="F82" s="59">
        <v>1</v>
      </c>
      <c r="G82" s="225">
        <f t="shared" si="1"/>
        <v>12000</v>
      </c>
      <c r="H82" s="226" t="s">
        <v>235</v>
      </c>
      <c r="I82" s="226" t="s">
        <v>235</v>
      </c>
      <c r="J82" s="226" t="s">
        <v>235</v>
      </c>
      <c r="K82" s="226" t="s">
        <v>235</v>
      </c>
      <c r="L82" s="226" t="s">
        <v>235</v>
      </c>
      <c r="M82" s="226" t="s">
        <v>235</v>
      </c>
      <c r="N82" s="226" t="s">
        <v>235</v>
      </c>
      <c r="O82" s="226" t="s">
        <v>235</v>
      </c>
    </row>
    <row r="83" spans="1:15" s="5" customFormat="1">
      <c r="A83" s="59">
        <v>72</v>
      </c>
      <c r="B83" s="59" t="s">
        <v>30</v>
      </c>
      <c r="C83" s="61" t="s">
        <v>330</v>
      </c>
      <c r="D83" s="59" t="s">
        <v>8</v>
      </c>
      <c r="E83" s="62">
        <v>2500</v>
      </c>
      <c r="F83" s="59">
        <v>1</v>
      </c>
      <c r="G83" s="225">
        <f t="shared" si="1"/>
        <v>2500</v>
      </c>
      <c r="H83" s="226" t="s">
        <v>235</v>
      </c>
      <c r="I83" s="226" t="s">
        <v>235</v>
      </c>
      <c r="J83" s="226" t="s">
        <v>235</v>
      </c>
      <c r="K83" s="226" t="s">
        <v>235</v>
      </c>
      <c r="L83" s="226" t="s">
        <v>235</v>
      </c>
      <c r="M83" s="226" t="s">
        <v>235</v>
      </c>
      <c r="N83" s="226" t="s">
        <v>235</v>
      </c>
      <c r="O83" s="226" t="s">
        <v>235</v>
      </c>
    </row>
    <row r="84" spans="1:15" s="5" customFormat="1" ht="28.5">
      <c r="A84" s="59">
        <v>73</v>
      </c>
      <c r="B84" s="59" t="s">
        <v>317</v>
      </c>
      <c r="C84" s="61" t="s">
        <v>331</v>
      </c>
      <c r="D84" s="59" t="s">
        <v>10</v>
      </c>
      <c r="E84" s="62">
        <v>25</v>
      </c>
      <c r="F84" s="59">
        <v>2</v>
      </c>
      <c r="G84" s="225">
        <f t="shared" si="1"/>
        <v>50</v>
      </c>
      <c r="H84" s="226" t="s">
        <v>235</v>
      </c>
      <c r="I84" s="226" t="s">
        <v>235</v>
      </c>
      <c r="J84" s="226" t="s">
        <v>235</v>
      </c>
      <c r="K84" s="226" t="s">
        <v>235</v>
      </c>
      <c r="L84" s="226" t="s">
        <v>235</v>
      </c>
      <c r="M84" s="226" t="s">
        <v>235</v>
      </c>
      <c r="N84" s="226" t="s">
        <v>235</v>
      </c>
      <c r="O84" s="226" t="s">
        <v>235</v>
      </c>
    </row>
    <row r="85" spans="1:15" s="5" customFormat="1" ht="71.25">
      <c r="A85" s="59">
        <v>74</v>
      </c>
      <c r="B85" s="59" t="s">
        <v>332</v>
      </c>
      <c r="C85" s="61" t="s">
        <v>333</v>
      </c>
      <c r="D85" s="59" t="s">
        <v>9</v>
      </c>
      <c r="E85" s="62">
        <v>10</v>
      </c>
      <c r="F85" s="59">
        <v>1</v>
      </c>
      <c r="G85" s="225">
        <f t="shared" si="1"/>
        <v>10</v>
      </c>
      <c r="H85" s="226" t="s">
        <v>235</v>
      </c>
      <c r="I85" s="226" t="s">
        <v>235</v>
      </c>
      <c r="J85" s="226" t="s">
        <v>235</v>
      </c>
      <c r="K85" s="226" t="s">
        <v>235</v>
      </c>
      <c r="L85" s="226" t="s">
        <v>235</v>
      </c>
      <c r="M85" s="226" t="s">
        <v>235</v>
      </c>
      <c r="N85" s="226" t="s">
        <v>235</v>
      </c>
      <c r="O85" s="226" t="s">
        <v>235</v>
      </c>
    </row>
    <row r="86" spans="1:15" s="5" customFormat="1">
      <c r="A86" s="59">
        <v>75</v>
      </c>
      <c r="B86" s="59" t="s">
        <v>334</v>
      </c>
      <c r="C86" s="61" t="s">
        <v>335</v>
      </c>
      <c r="D86" s="59" t="s">
        <v>9</v>
      </c>
      <c r="E86" s="62">
        <v>1590</v>
      </c>
      <c r="F86" s="59">
        <v>7</v>
      </c>
      <c r="G86" s="225">
        <f t="shared" si="1"/>
        <v>11130</v>
      </c>
      <c r="H86" s="226" t="s">
        <v>235</v>
      </c>
      <c r="I86" s="226" t="s">
        <v>235</v>
      </c>
      <c r="J86" s="226" t="s">
        <v>235</v>
      </c>
      <c r="K86" s="226" t="s">
        <v>235</v>
      </c>
      <c r="L86" s="226" t="s">
        <v>235</v>
      </c>
      <c r="M86" s="226" t="s">
        <v>235</v>
      </c>
      <c r="N86" s="226" t="s">
        <v>235</v>
      </c>
      <c r="O86" s="226" t="s">
        <v>235</v>
      </c>
    </row>
    <row r="87" spans="1:15" s="5" customFormat="1">
      <c r="A87" s="59">
        <v>76</v>
      </c>
      <c r="B87" s="59" t="s">
        <v>336</v>
      </c>
      <c r="C87" s="61" t="s">
        <v>337</v>
      </c>
      <c r="D87" s="59" t="s">
        <v>9</v>
      </c>
      <c r="E87" s="62">
        <v>1688.16</v>
      </c>
      <c r="F87" s="59">
        <v>3</v>
      </c>
      <c r="G87" s="225">
        <f t="shared" si="1"/>
        <v>5064.4800000000005</v>
      </c>
      <c r="H87" s="226" t="s">
        <v>235</v>
      </c>
      <c r="I87" s="226" t="s">
        <v>235</v>
      </c>
      <c r="J87" s="226" t="s">
        <v>235</v>
      </c>
      <c r="K87" s="226" t="s">
        <v>235</v>
      </c>
      <c r="L87" s="226" t="s">
        <v>235</v>
      </c>
      <c r="M87" s="226" t="s">
        <v>235</v>
      </c>
      <c r="N87" s="226" t="s">
        <v>235</v>
      </c>
      <c r="O87" s="226" t="s">
        <v>235</v>
      </c>
    </row>
    <row r="88" spans="1:15" s="5" customFormat="1">
      <c r="A88" s="59">
        <v>77</v>
      </c>
      <c r="B88" s="59" t="s">
        <v>338</v>
      </c>
      <c r="C88" s="61" t="s">
        <v>339</v>
      </c>
      <c r="D88" s="59" t="s">
        <v>32</v>
      </c>
      <c r="E88" s="63">
        <v>173528.44</v>
      </c>
      <c r="F88" s="59">
        <v>1</v>
      </c>
      <c r="G88" s="225">
        <f t="shared" si="1"/>
        <v>173528.44</v>
      </c>
      <c r="H88" s="226" t="s">
        <v>235</v>
      </c>
      <c r="I88" s="226" t="s">
        <v>235</v>
      </c>
      <c r="J88" s="226" t="s">
        <v>235</v>
      </c>
      <c r="K88" s="226" t="s">
        <v>235</v>
      </c>
      <c r="L88" s="226" t="s">
        <v>235</v>
      </c>
      <c r="M88" s="226" t="s">
        <v>235</v>
      </c>
      <c r="N88" s="226" t="s">
        <v>235</v>
      </c>
      <c r="O88" s="226" t="s">
        <v>235</v>
      </c>
    </row>
    <row r="89" spans="1:15" s="5" customFormat="1" ht="28.5">
      <c r="A89" s="59">
        <v>78</v>
      </c>
      <c r="B89" s="59" t="s">
        <v>338</v>
      </c>
      <c r="C89" s="61" t="s">
        <v>340</v>
      </c>
      <c r="D89" s="59" t="s">
        <v>32</v>
      </c>
      <c r="E89" s="63">
        <v>57843.6</v>
      </c>
      <c r="F89" s="59">
        <v>2</v>
      </c>
      <c r="G89" s="225">
        <f t="shared" si="1"/>
        <v>115687.2</v>
      </c>
      <c r="H89" s="226" t="s">
        <v>235</v>
      </c>
      <c r="I89" s="226" t="s">
        <v>235</v>
      </c>
      <c r="J89" s="226" t="s">
        <v>235</v>
      </c>
      <c r="K89" s="226" t="s">
        <v>235</v>
      </c>
      <c r="L89" s="226" t="s">
        <v>235</v>
      </c>
      <c r="M89" s="226" t="s">
        <v>235</v>
      </c>
      <c r="N89" s="226" t="s">
        <v>235</v>
      </c>
      <c r="O89" s="226" t="s">
        <v>235</v>
      </c>
    </row>
    <row r="90" spans="1:15" s="5" customFormat="1">
      <c r="A90" s="59">
        <v>79</v>
      </c>
      <c r="B90" s="64" t="s">
        <v>341</v>
      </c>
      <c r="C90" s="61" t="s">
        <v>342</v>
      </c>
      <c r="D90" s="59" t="s">
        <v>10</v>
      </c>
      <c r="E90" s="63">
        <v>65195</v>
      </c>
      <c r="F90" s="59">
        <v>1</v>
      </c>
      <c r="G90" s="225">
        <f t="shared" si="1"/>
        <v>65195</v>
      </c>
      <c r="H90" s="226"/>
      <c r="I90" s="226" t="s">
        <v>235</v>
      </c>
      <c r="J90" s="226" t="s">
        <v>235</v>
      </c>
      <c r="K90" s="226" t="s">
        <v>235</v>
      </c>
      <c r="L90" s="226" t="s">
        <v>235</v>
      </c>
      <c r="M90" s="226" t="s">
        <v>235</v>
      </c>
      <c r="N90" s="226"/>
      <c r="O90" s="226"/>
    </row>
    <row r="91" spans="1:15" s="5" customFormat="1" ht="42.75">
      <c r="A91" s="59">
        <v>80</v>
      </c>
      <c r="B91" s="59" t="s">
        <v>343</v>
      </c>
      <c r="C91" s="61" t="s">
        <v>344</v>
      </c>
      <c r="D91" s="59" t="s">
        <v>8</v>
      </c>
      <c r="E91" s="63">
        <v>90854.8</v>
      </c>
      <c r="F91" s="59">
        <v>1</v>
      </c>
      <c r="G91" s="225">
        <f t="shared" si="1"/>
        <v>90854.8</v>
      </c>
      <c r="H91" s="226" t="s">
        <v>235</v>
      </c>
      <c r="I91" s="226" t="s">
        <v>235</v>
      </c>
      <c r="J91" s="226" t="s">
        <v>235</v>
      </c>
      <c r="K91" s="226" t="s">
        <v>235</v>
      </c>
      <c r="L91" s="226" t="s">
        <v>235</v>
      </c>
      <c r="M91" s="226" t="s">
        <v>235</v>
      </c>
      <c r="N91" s="226" t="s">
        <v>235</v>
      </c>
      <c r="O91" s="226" t="s">
        <v>235</v>
      </c>
    </row>
    <row r="92" spans="1:15" s="5" customFormat="1" ht="43.5">
      <c r="A92" s="59">
        <v>81</v>
      </c>
      <c r="B92" s="59" t="s">
        <v>345</v>
      </c>
      <c r="C92" s="61" t="s">
        <v>765</v>
      </c>
      <c r="D92" s="59" t="s">
        <v>10</v>
      </c>
      <c r="E92" s="65">
        <v>20000000</v>
      </c>
      <c r="F92" s="59">
        <v>1</v>
      </c>
      <c r="G92" s="225">
        <f t="shared" si="1"/>
        <v>20000000</v>
      </c>
      <c r="H92" s="226" t="s">
        <v>235</v>
      </c>
      <c r="I92" s="226" t="s">
        <v>235</v>
      </c>
      <c r="J92" s="226" t="s">
        <v>235</v>
      </c>
      <c r="K92" s="226" t="s">
        <v>235</v>
      </c>
      <c r="L92" s="226" t="s">
        <v>235</v>
      </c>
      <c r="M92" s="226" t="s">
        <v>235</v>
      </c>
      <c r="N92" s="226" t="s">
        <v>235</v>
      </c>
      <c r="O92" s="226" t="s">
        <v>235</v>
      </c>
    </row>
    <row r="93" spans="1:15" s="5" customFormat="1" ht="28.5">
      <c r="A93" s="59">
        <v>82</v>
      </c>
      <c r="B93" s="59" t="s">
        <v>242</v>
      </c>
      <c r="C93" s="61" t="s">
        <v>346</v>
      </c>
      <c r="D93" s="59" t="s">
        <v>10</v>
      </c>
      <c r="E93" s="65">
        <v>250000</v>
      </c>
      <c r="F93" s="59">
        <v>1</v>
      </c>
      <c r="G93" s="225">
        <f t="shared" si="1"/>
        <v>250000</v>
      </c>
      <c r="H93" s="225"/>
      <c r="I93" s="226" t="s">
        <v>235</v>
      </c>
      <c r="J93" s="226" t="s">
        <v>235</v>
      </c>
      <c r="K93" s="226" t="s">
        <v>235</v>
      </c>
      <c r="L93" s="226" t="s">
        <v>235</v>
      </c>
      <c r="M93" s="226" t="s">
        <v>235</v>
      </c>
      <c r="N93" s="226" t="s">
        <v>235</v>
      </c>
      <c r="O93" s="226" t="s">
        <v>235</v>
      </c>
    </row>
    <row r="94" spans="1:15" s="5" customFormat="1" ht="28.5">
      <c r="A94" s="59">
        <v>83</v>
      </c>
      <c r="B94" s="60" t="s">
        <v>242</v>
      </c>
      <c r="C94" s="61" t="s">
        <v>347</v>
      </c>
      <c r="D94" s="59" t="s">
        <v>32</v>
      </c>
      <c r="E94" s="65">
        <v>200000</v>
      </c>
      <c r="F94" s="60">
        <v>2</v>
      </c>
      <c r="G94" s="225">
        <f t="shared" si="1"/>
        <v>400000</v>
      </c>
      <c r="H94" s="227"/>
      <c r="I94" s="226" t="s">
        <v>235</v>
      </c>
      <c r="J94" s="226" t="s">
        <v>235</v>
      </c>
      <c r="K94" s="226" t="s">
        <v>235</v>
      </c>
      <c r="L94" s="226" t="s">
        <v>235</v>
      </c>
      <c r="M94" s="226" t="s">
        <v>235</v>
      </c>
      <c r="N94" s="227" t="s">
        <v>235</v>
      </c>
      <c r="O94" s="227" t="s">
        <v>235</v>
      </c>
    </row>
    <row r="95" spans="1:15" s="5" customFormat="1" ht="28.5">
      <c r="A95" s="59">
        <v>84</v>
      </c>
      <c r="B95" s="60" t="s">
        <v>244</v>
      </c>
      <c r="C95" s="61" t="s">
        <v>348</v>
      </c>
      <c r="D95" s="59" t="s">
        <v>10</v>
      </c>
      <c r="E95" s="65">
        <v>150000</v>
      </c>
      <c r="F95" s="60">
        <v>3</v>
      </c>
      <c r="G95" s="225">
        <f t="shared" si="1"/>
        <v>450000</v>
      </c>
      <c r="H95" s="228"/>
      <c r="I95" s="226" t="s">
        <v>235</v>
      </c>
      <c r="J95" s="226" t="s">
        <v>235</v>
      </c>
      <c r="K95" s="226" t="s">
        <v>235</v>
      </c>
      <c r="L95" s="226" t="s">
        <v>235</v>
      </c>
      <c r="M95" s="226" t="s">
        <v>235</v>
      </c>
      <c r="N95" s="227" t="s">
        <v>235</v>
      </c>
      <c r="O95" s="227" t="s">
        <v>235</v>
      </c>
    </row>
    <row r="96" spans="1:15" s="5" customFormat="1">
      <c r="A96" s="59">
        <v>85</v>
      </c>
      <c r="B96" s="60" t="s">
        <v>349</v>
      </c>
      <c r="C96" s="61" t="s">
        <v>350</v>
      </c>
      <c r="D96" s="59" t="s">
        <v>32</v>
      </c>
      <c r="E96" s="65">
        <v>100000</v>
      </c>
      <c r="F96" s="60">
        <v>1</v>
      </c>
      <c r="G96" s="225">
        <f t="shared" si="1"/>
        <v>100000</v>
      </c>
      <c r="H96" s="227" t="s">
        <v>235</v>
      </c>
      <c r="I96" s="226" t="s">
        <v>235</v>
      </c>
      <c r="J96" s="226" t="s">
        <v>235</v>
      </c>
      <c r="K96" s="226" t="s">
        <v>235</v>
      </c>
      <c r="L96" s="226" t="s">
        <v>235</v>
      </c>
      <c r="M96" s="226" t="s">
        <v>235</v>
      </c>
      <c r="N96" s="227" t="s">
        <v>235</v>
      </c>
      <c r="O96" s="227" t="s">
        <v>235</v>
      </c>
    </row>
    <row r="97" spans="1:15" s="5" customFormat="1">
      <c r="A97" s="59">
        <v>86</v>
      </c>
      <c r="B97" s="60" t="s">
        <v>351</v>
      </c>
      <c r="C97" s="61" t="s">
        <v>352</v>
      </c>
      <c r="D97" s="59" t="s">
        <v>32</v>
      </c>
      <c r="E97" s="65">
        <v>100000</v>
      </c>
      <c r="F97" s="60">
        <v>3</v>
      </c>
      <c r="G97" s="225">
        <f t="shared" si="1"/>
        <v>300000</v>
      </c>
      <c r="H97" s="227" t="s">
        <v>235</v>
      </c>
      <c r="I97" s="226" t="s">
        <v>235</v>
      </c>
      <c r="J97" s="226" t="s">
        <v>235</v>
      </c>
      <c r="K97" s="226" t="s">
        <v>235</v>
      </c>
      <c r="L97" s="226" t="s">
        <v>235</v>
      </c>
      <c r="M97" s="226" t="s">
        <v>235</v>
      </c>
      <c r="N97" s="227" t="s">
        <v>235</v>
      </c>
      <c r="O97" s="227" t="s">
        <v>235</v>
      </c>
    </row>
    <row r="98" spans="1:15" s="5" customFormat="1">
      <c r="A98" s="59">
        <v>87</v>
      </c>
      <c r="B98" s="60" t="s">
        <v>30</v>
      </c>
      <c r="C98" s="61" t="s">
        <v>353</v>
      </c>
      <c r="D98" s="59" t="s">
        <v>32</v>
      </c>
      <c r="E98" s="65">
        <v>400000</v>
      </c>
      <c r="F98" s="60">
        <v>1</v>
      </c>
      <c r="G98" s="225">
        <f t="shared" si="1"/>
        <v>400000</v>
      </c>
      <c r="H98" s="227" t="s">
        <v>235</v>
      </c>
      <c r="I98" s="226" t="s">
        <v>235</v>
      </c>
      <c r="J98" s="226" t="s">
        <v>235</v>
      </c>
      <c r="K98" s="226" t="s">
        <v>235</v>
      </c>
      <c r="L98" s="226" t="s">
        <v>235</v>
      </c>
      <c r="M98" s="226" t="s">
        <v>235</v>
      </c>
      <c r="N98" s="227" t="s">
        <v>235</v>
      </c>
      <c r="O98" s="227" t="s">
        <v>235</v>
      </c>
    </row>
    <row r="99" spans="1:15" s="5" customFormat="1" ht="28.5">
      <c r="A99" s="59">
        <v>88</v>
      </c>
      <c r="B99" s="66" t="s">
        <v>354</v>
      </c>
      <c r="C99" s="61" t="s">
        <v>355</v>
      </c>
      <c r="D99" s="59" t="s">
        <v>32</v>
      </c>
      <c r="E99" s="67">
        <v>245139</v>
      </c>
      <c r="F99" s="60">
        <v>1</v>
      </c>
      <c r="G99" s="225">
        <f t="shared" si="1"/>
        <v>245139</v>
      </c>
      <c r="H99" s="227" t="s">
        <v>235</v>
      </c>
      <c r="I99" s="226" t="s">
        <v>235</v>
      </c>
      <c r="J99" s="226" t="s">
        <v>235</v>
      </c>
      <c r="K99" s="226" t="s">
        <v>235</v>
      </c>
      <c r="L99" s="226" t="s">
        <v>235</v>
      </c>
      <c r="M99" s="226" t="s">
        <v>235</v>
      </c>
      <c r="N99" s="227" t="s">
        <v>235</v>
      </c>
      <c r="O99" s="227" t="s">
        <v>235</v>
      </c>
    </row>
    <row r="100" spans="1:15" s="5" customFormat="1" ht="28.5">
      <c r="A100" s="59">
        <v>89</v>
      </c>
      <c r="B100" s="66" t="s">
        <v>354</v>
      </c>
      <c r="C100" s="61" t="s">
        <v>356</v>
      </c>
      <c r="D100" s="59" t="s">
        <v>32</v>
      </c>
      <c r="E100" s="65">
        <v>245139</v>
      </c>
      <c r="F100" s="60">
        <v>1</v>
      </c>
      <c r="G100" s="225">
        <f t="shared" si="1"/>
        <v>245139</v>
      </c>
      <c r="H100" s="227" t="s">
        <v>235</v>
      </c>
      <c r="I100" s="226" t="s">
        <v>235</v>
      </c>
      <c r="J100" s="226" t="s">
        <v>235</v>
      </c>
      <c r="K100" s="226" t="s">
        <v>235</v>
      </c>
      <c r="L100" s="226" t="s">
        <v>235</v>
      </c>
      <c r="M100" s="226" t="s">
        <v>235</v>
      </c>
      <c r="N100" s="227" t="s">
        <v>235</v>
      </c>
      <c r="O100" s="227" t="s">
        <v>235</v>
      </c>
    </row>
    <row r="101" spans="1:15" s="5" customFormat="1" ht="28.5">
      <c r="A101" s="59">
        <v>90</v>
      </c>
      <c r="B101" s="67" t="s">
        <v>357</v>
      </c>
      <c r="C101" s="67" t="s">
        <v>358</v>
      </c>
      <c r="D101" s="59" t="s">
        <v>32</v>
      </c>
      <c r="E101" s="68">
        <v>324500</v>
      </c>
      <c r="F101" s="60">
        <v>1</v>
      </c>
      <c r="G101" s="228">
        <f t="shared" si="1"/>
        <v>324500</v>
      </c>
      <c r="H101" s="227" t="s">
        <v>235</v>
      </c>
      <c r="I101" s="226" t="s">
        <v>235</v>
      </c>
      <c r="J101" s="226" t="s">
        <v>235</v>
      </c>
      <c r="K101" s="226" t="s">
        <v>235</v>
      </c>
      <c r="L101" s="226" t="s">
        <v>235</v>
      </c>
      <c r="M101" s="226" t="s">
        <v>235</v>
      </c>
      <c r="N101" s="226" t="s">
        <v>235</v>
      </c>
      <c r="O101" s="226" t="s">
        <v>235</v>
      </c>
    </row>
    <row r="102" spans="1:15" s="5" customFormat="1" ht="28.5">
      <c r="A102" s="59">
        <v>91</v>
      </c>
      <c r="B102" s="60" t="s">
        <v>357</v>
      </c>
      <c r="C102" s="69" t="s">
        <v>359</v>
      </c>
      <c r="D102" s="59" t="s">
        <v>32</v>
      </c>
      <c r="E102" s="68">
        <v>578269.62</v>
      </c>
      <c r="F102" s="60">
        <v>1</v>
      </c>
      <c r="G102" s="228">
        <f t="shared" si="1"/>
        <v>578269.62</v>
      </c>
      <c r="H102" s="227" t="s">
        <v>235</v>
      </c>
      <c r="I102" s="227" t="s">
        <v>235</v>
      </c>
      <c r="J102" s="227"/>
      <c r="K102" s="229"/>
      <c r="L102" s="226" t="s">
        <v>235</v>
      </c>
      <c r="M102" s="226" t="s">
        <v>235</v>
      </c>
      <c r="N102" s="226" t="s">
        <v>235</v>
      </c>
      <c r="O102" s="226" t="s">
        <v>235</v>
      </c>
    </row>
    <row r="103" spans="1:15" s="5" customFormat="1">
      <c r="A103" s="59">
        <v>92</v>
      </c>
      <c r="B103" s="59" t="s">
        <v>360</v>
      </c>
      <c r="C103" s="70" t="s">
        <v>361</v>
      </c>
      <c r="D103" s="59" t="s">
        <v>362</v>
      </c>
      <c r="E103" s="68">
        <v>73866.820000000007</v>
      </c>
      <c r="F103" s="59">
        <v>1</v>
      </c>
      <c r="G103" s="228">
        <f t="shared" si="1"/>
        <v>73866.820000000007</v>
      </c>
      <c r="H103" s="227" t="s">
        <v>235</v>
      </c>
      <c r="I103" s="227" t="s">
        <v>235</v>
      </c>
      <c r="J103" s="226"/>
      <c r="K103" s="229"/>
      <c r="L103" s="226" t="s">
        <v>235</v>
      </c>
      <c r="M103" s="226" t="s">
        <v>235</v>
      </c>
      <c r="N103" s="226" t="s">
        <v>235</v>
      </c>
      <c r="O103" s="226" t="s">
        <v>235</v>
      </c>
    </row>
    <row r="104" spans="1:15" s="5" customFormat="1">
      <c r="A104" s="59">
        <v>93</v>
      </c>
      <c r="B104" s="59" t="s">
        <v>363</v>
      </c>
      <c r="C104" s="67" t="s">
        <v>364</v>
      </c>
      <c r="D104" s="59" t="s">
        <v>32</v>
      </c>
      <c r="E104" s="68">
        <v>24740</v>
      </c>
      <c r="F104" s="59">
        <v>6</v>
      </c>
      <c r="G104" s="228">
        <f t="shared" si="1"/>
        <v>148440</v>
      </c>
      <c r="H104" s="227" t="s">
        <v>235</v>
      </c>
      <c r="I104" s="227" t="s">
        <v>235</v>
      </c>
      <c r="J104" s="226"/>
      <c r="K104" s="229"/>
      <c r="L104" s="226" t="s">
        <v>235</v>
      </c>
      <c r="M104" s="226" t="s">
        <v>235</v>
      </c>
      <c r="N104" s="226" t="s">
        <v>235</v>
      </c>
      <c r="O104" s="226" t="s">
        <v>235</v>
      </c>
    </row>
    <row r="105" spans="1:15" s="5" customFormat="1" ht="28.5">
      <c r="A105" s="59">
        <v>94</v>
      </c>
      <c r="B105" s="59" t="s">
        <v>365</v>
      </c>
      <c r="C105" s="67" t="s">
        <v>366</v>
      </c>
      <c r="D105" s="59" t="s">
        <v>8</v>
      </c>
      <c r="E105" s="68">
        <v>17700</v>
      </c>
      <c r="F105" s="60">
        <v>6</v>
      </c>
      <c r="G105" s="228">
        <f t="shared" si="1"/>
        <v>106200</v>
      </c>
      <c r="H105" s="227" t="s">
        <v>235</v>
      </c>
      <c r="I105" s="227" t="s">
        <v>235</v>
      </c>
      <c r="J105" s="227"/>
      <c r="K105" s="229"/>
      <c r="L105" s="226" t="s">
        <v>235</v>
      </c>
      <c r="M105" s="226" t="s">
        <v>235</v>
      </c>
      <c r="N105" s="226" t="s">
        <v>235</v>
      </c>
      <c r="O105" s="226" t="s">
        <v>235</v>
      </c>
    </row>
    <row r="106" spans="1:15" s="5" customFormat="1" ht="28.5">
      <c r="A106" s="59">
        <v>95</v>
      </c>
      <c r="B106" s="59" t="s">
        <v>365</v>
      </c>
      <c r="C106" s="67" t="s">
        <v>367</v>
      </c>
      <c r="D106" s="59" t="s">
        <v>32</v>
      </c>
      <c r="E106" s="68">
        <v>17700</v>
      </c>
      <c r="F106" s="60">
        <v>3</v>
      </c>
      <c r="G106" s="228">
        <f t="shared" si="1"/>
        <v>53100</v>
      </c>
      <c r="H106" s="227" t="s">
        <v>235</v>
      </c>
      <c r="I106" s="227" t="s">
        <v>235</v>
      </c>
      <c r="J106" s="227"/>
      <c r="K106" s="229"/>
      <c r="L106" s="226" t="s">
        <v>235</v>
      </c>
      <c r="M106" s="226" t="s">
        <v>235</v>
      </c>
      <c r="N106" s="226" t="s">
        <v>235</v>
      </c>
      <c r="O106" s="226" t="s">
        <v>235</v>
      </c>
    </row>
    <row r="107" spans="1:15" s="5" customFormat="1" ht="28.5">
      <c r="A107" s="59">
        <v>96</v>
      </c>
      <c r="B107" s="59" t="s">
        <v>368</v>
      </c>
      <c r="C107" s="67" t="s">
        <v>369</v>
      </c>
      <c r="D107" s="59" t="s">
        <v>32</v>
      </c>
      <c r="E107" s="68">
        <v>15930</v>
      </c>
      <c r="F107" s="60">
        <v>3</v>
      </c>
      <c r="G107" s="228">
        <f>E107*F107</f>
        <v>47790</v>
      </c>
      <c r="H107" s="227"/>
      <c r="I107" s="227"/>
      <c r="J107" s="227"/>
      <c r="K107" s="229"/>
      <c r="L107" s="226"/>
      <c r="M107" s="226"/>
      <c r="N107" s="226"/>
      <c r="O107" s="226"/>
    </row>
    <row r="108" spans="1:15" s="5" customFormat="1">
      <c r="A108" s="59">
        <v>97</v>
      </c>
      <c r="B108" s="59" t="s">
        <v>363</v>
      </c>
      <c r="C108" s="61" t="s">
        <v>760</v>
      </c>
      <c r="D108" s="59" t="s">
        <v>761</v>
      </c>
      <c r="E108" s="63">
        <v>94341</v>
      </c>
      <c r="F108" s="59">
        <v>6</v>
      </c>
      <c r="G108" s="228">
        <f>E108*F108</f>
        <v>566046</v>
      </c>
      <c r="H108" s="226" t="s">
        <v>235</v>
      </c>
      <c r="I108" s="226" t="s">
        <v>235</v>
      </c>
      <c r="J108" s="226"/>
      <c r="K108" s="226" t="s">
        <v>235</v>
      </c>
      <c r="L108" s="226" t="s">
        <v>235</v>
      </c>
      <c r="M108" s="226" t="s">
        <v>235</v>
      </c>
      <c r="N108" s="226"/>
      <c r="O108" s="225"/>
    </row>
    <row r="109" spans="1:15" s="5" customFormat="1">
      <c r="A109" s="59">
        <v>98</v>
      </c>
      <c r="B109" s="59" t="s">
        <v>365</v>
      </c>
      <c r="C109" s="61" t="s">
        <v>762</v>
      </c>
      <c r="D109" s="59" t="s">
        <v>761</v>
      </c>
      <c r="E109" s="68">
        <v>50681</v>
      </c>
      <c r="F109" s="60">
        <v>3</v>
      </c>
      <c r="G109" s="228">
        <f>E109*F109</f>
        <v>152043</v>
      </c>
      <c r="H109" s="227" t="s">
        <v>235</v>
      </c>
      <c r="I109" s="227" t="s">
        <v>235</v>
      </c>
      <c r="J109" s="227" t="s">
        <v>235</v>
      </c>
      <c r="K109" s="226" t="s">
        <v>235</v>
      </c>
      <c r="L109" s="226" t="s">
        <v>235</v>
      </c>
      <c r="M109" s="226" t="s">
        <v>235</v>
      </c>
      <c r="N109" s="227"/>
      <c r="O109" s="228"/>
    </row>
    <row r="110" spans="1:15" s="5" customFormat="1">
      <c r="A110" s="59">
        <v>99</v>
      </c>
      <c r="B110" s="59" t="s">
        <v>365</v>
      </c>
      <c r="C110" s="61" t="s">
        <v>585</v>
      </c>
      <c r="D110" s="59" t="s">
        <v>761</v>
      </c>
      <c r="E110" s="68">
        <v>50710.5</v>
      </c>
      <c r="F110" s="60">
        <v>9</v>
      </c>
      <c r="G110" s="228">
        <f>E110*F110</f>
        <v>456394.5</v>
      </c>
      <c r="H110" s="227"/>
      <c r="I110" s="227"/>
      <c r="J110" s="227"/>
      <c r="K110" s="226"/>
      <c r="L110" s="226"/>
      <c r="M110" s="226"/>
      <c r="N110" s="227"/>
      <c r="O110" s="228"/>
    </row>
    <row r="111" spans="1:15" s="5" customFormat="1">
      <c r="A111" s="59">
        <v>100</v>
      </c>
      <c r="B111" s="59" t="s">
        <v>33</v>
      </c>
      <c r="C111" s="61" t="s">
        <v>371</v>
      </c>
      <c r="D111" s="59" t="s">
        <v>31</v>
      </c>
      <c r="E111" s="63">
        <v>50</v>
      </c>
      <c r="F111" s="60"/>
      <c r="G111" s="227"/>
      <c r="H111" s="227"/>
      <c r="I111" s="227"/>
      <c r="J111" s="227"/>
      <c r="K111" s="226"/>
      <c r="L111" s="226"/>
      <c r="M111" s="226"/>
      <c r="N111" s="226">
        <v>2240</v>
      </c>
      <c r="O111" s="225">
        <f>N111*E111</f>
        <v>112000</v>
      </c>
    </row>
    <row r="112" spans="1:15" s="5" customFormat="1">
      <c r="A112" s="59">
        <v>101</v>
      </c>
      <c r="B112" s="60" t="s">
        <v>372</v>
      </c>
      <c r="C112" s="61" t="s">
        <v>373</v>
      </c>
      <c r="D112" s="59" t="s">
        <v>8</v>
      </c>
      <c r="E112" s="68">
        <v>100</v>
      </c>
      <c r="F112" s="60" t="s">
        <v>763</v>
      </c>
      <c r="G112" s="227"/>
      <c r="H112" s="227"/>
      <c r="I112" s="227"/>
      <c r="J112" s="227"/>
      <c r="K112" s="226"/>
      <c r="L112" s="226"/>
      <c r="M112" s="226"/>
      <c r="N112" s="227">
        <v>2</v>
      </c>
      <c r="O112" s="228">
        <f>N112*E112</f>
        <v>200</v>
      </c>
    </row>
    <row r="113" spans="1:15" s="37" customFormat="1" ht="15">
      <c r="A113" s="2"/>
      <c r="B113" s="36"/>
      <c r="C113" s="8" t="s">
        <v>374</v>
      </c>
      <c r="D113" s="2"/>
      <c r="E113" s="36"/>
      <c r="F113" s="36"/>
      <c r="G113" s="46">
        <f>SUM(G12:G112)</f>
        <v>28080269.76376</v>
      </c>
      <c r="H113" s="8"/>
      <c r="I113" s="8"/>
      <c r="J113" s="8"/>
      <c r="K113" s="8"/>
      <c r="L113" s="8"/>
      <c r="M113" s="8"/>
      <c r="N113" s="8"/>
      <c r="O113" s="71">
        <f>SUM(O111:O112)</f>
        <v>112200</v>
      </c>
    </row>
    <row r="114" spans="1:15" s="9" customFormat="1" ht="15">
      <c r="A114" s="434" t="s">
        <v>216</v>
      </c>
      <c r="B114" s="434"/>
      <c r="C114" s="434"/>
      <c r="D114" s="434"/>
      <c r="E114" s="434"/>
      <c r="F114" s="434"/>
      <c r="G114" s="434"/>
      <c r="H114" s="434"/>
      <c r="I114" s="434"/>
      <c r="J114" s="434"/>
      <c r="K114" s="434"/>
      <c r="L114" s="434"/>
      <c r="M114" s="434"/>
      <c r="N114" s="434"/>
      <c r="O114" s="434"/>
    </row>
    <row r="115" spans="1:15" s="7" customFormat="1">
      <c r="A115" s="59">
        <v>1</v>
      </c>
      <c r="B115" s="60" t="s">
        <v>19</v>
      </c>
      <c r="C115" s="61" t="s">
        <v>43</v>
      </c>
      <c r="D115" s="59" t="s">
        <v>8</v>
      </c>
      <c r="E115" s="68">
        <v>3000</v>
      </c>
      <c r="F115" s="60">
        <v>1</v>
      </c>
      <c r="G115" s="227">
        <f t="shared" ref="G115:G178" si="2">E115*F115</f>
        <v>3000</v>
      </c>
      <c r="H115" s="227"/>
      <c r="I115" s="227"/>
      <c r="J115" s="227"/>
      <c r="K115" s="226"/>
      <c r="L115" s="226"/>
      <c r="M115" s="226"/>
      <c r="N115" s="227"/>
      <c r="O115" s="228"/>
    </row>
    <row r="116" spans="1:15" s="7" customFormat="1">
      <c r="A116" s="59">
        <v>2</v>
      </c>
      <c r="B116" s="60" t="s">
        <v>20</v>
      </c>
      <c r="C116" s="61" t="s">
        <v>44</v>
      </c>
      <c r="D116" s="59" t="s">
        <v>8</v>
      </c>
      <c r="E116" s="68">
        <v>2100</v>
      </c>
      <c r="F116" s="60">
        <v>1</v>
      </c>
      <c r="G116" s="227">
        <f t="shared" si="2"/>
        <v>2100</v>
      </c>
      <c r="H116" s="227"/>
      <c r="I116" s="227"/>
      <c r="J116" s="227"/>
      <c r="K116" s="226"/>
      <c r="L116" s="226"/>
      <c r="M116" s="226"/>
      <c r="N116" s="227"/>
      <c r="O116" s="228"/>
    </row>
    <row r="117" spans="1:15" s="7" customFormat="1">
      <c r="A117" s="59">
        <v>3</v>
      </c>
      <c r="B117" s="60" t="s">
        <v>19</v>
      </c>
      <c r="C117" s="61" t="s">
        <v>45</v>
      </c>
      <c r="D117" s="59" t="s">
        <v>8</v>
      </c>
      <c r="E117" s="68">
        <v>3000</v>
      </c>
      <c r="F117" s="60">
        <v>1</v>
      </c>
      <c r="G117" s="227">
        <f t="shared" si="2"/>
        <v>3000</v>
      </c>
      <c r="H117" s="227"/>
      <c r="I117" s="227"/>
      <c r="J117" s="227"/>
      <c r="K117" s="226"/>
      <c r="L117" s="226"/>
      <c r="M117" s="226"/>
      <c r="N117" s="227"/>
      <c r="O117" s="228"/>
    </row>
    <row r="118" spans="1:15" s="7" customFormat="1">
      <c r="A118" s="59">
        <v>4</v>
      </c>
      <c r="B118" s="60" t="s">
        <v>20</v>
      </c>
      <c r="C118" s="61" t="s">
        <v>46</v>
      </c>
      <c r="D118" s="59" t="s">
        <v>8</v>
      </c>
      <c r="E118" s="68">
        <v>2100</v>
      </c>
      <c r="F118" s="60">
        <v>1</v>
      </c>
      <c r="G118" s="227">
        <f t="shared" si="2"/>
        <v>2100</v>
      </c>
      <c r="H118" s="227"/>
      <c r="I118" s="227"/>
      <c r="J118" s="227"/>
      <c r="K118" s="226"/>
      <c r="L118" s="226"/>
      <c r="M118" s="226"/>
      <c r="N118" s="227"/>
      <c r="O118" s="228"/>
    </row>
    <row r="119" spans="1:15" s="7" customFormat="1">
      <c r="A119" s="59">
        <v>5</v>
      </c>
      <c r="B119" s="60" t="s">
        <v>21</v>
      </c>
      <c r="C119" s="61" t="s">
        <v>47</v>
      </c>
      <c r="D119" s="59" t="s">
        <v>8</v>
      </c>
      <c r="E119" s="68">
        <v>1200</v>
      </c>
      <c r="F119" s="60">
        <v>1</v>
      </c>
      <c r="G119" s="227">
        <f t="shared" si="2"/>
        <v>1200</v>
      </c>
      <c r="H119" s="227"/>
      <c r="I119" s="227"/>
      <c r="J119" s="227"/>
      <c r="K119" s="226"/>
      <c r="L119" s="226"/>
      <c r="M119" s="226"/>
      <c r="N119" s="227"/>
      <c r="O119" s="228"/>
    </row>
    <row r="120" spans="1:15" s="7" customFormat="1" ht="28.5">
      <c r="A120" s="59">
        <v>6</v>
      </c>
      <c r="B120" s="60" t="s">
        <v>22</v>
      </c>
      <c r="C120" s="61" t="s">
        <v>48</v>
      </c>
      <c r="D120" s="59" t="s">
        <v>8</v>
      </c>
      <c r="E120" s="68">
        <v>3240</v>
      </c>
      <c r="F120" s="60">
        <v>1</v>
      </c>
      <c r="G120" s="227">
        <f t="shared" si="2"/>
        <v>3240</v>
      </c>
      <c r="H120" s="227"/>
      <c r="I120" s="227"/>
      <c r="J120" s="227"/>
      <c r="K120" s="226"/>
      <c r="L120" s="226"/>
      <c r="M120" s="226"/>
      <c r="N120" s="227"/>
      <c r="O120" s="228"/>
    </row>
    <row r="121" spans="1:15" s="7" customFormat="1" ht="42.75">
      <c r="A121" s="59">
        <v>7</v>
      </c>
      <c r="B121" s="60" t="s">
        <v>49</v>
      </c>
      <c r="C121" s="61" t="s">
        <v>50</v>
      </c>
      <c r="D121" s="59" t="s">
        <v>24</v>
      </c>
      <c r="E121" s="68">
        <v>275776</v>
      </c>
      <c r="F121" s="60">
        <v>1</v>
      </c>
      <c r="G121" s="227">
        <f t="shared" si="2"/>
        <v>275776</v>
      </c>
      <c r="H121" s="227"/>
      <c r="I121" s="227"/>
      <c r="J121" s="227"/>
      <c r="K121" s="226"/>
      <c r="L121" s="226"/>
      <c r="M121" s="226"/>
      <c r="N121" s="227"/>
      <c r="O121" s="228"/>
    </row>
    <row r="122" spans="1:15" s="7" customFormat="1">
      <c r="A122" s="59">
        <v>8</v>
      </c>
      <c r="B122" s="60" t="s">
        <v>51</v>
      </c>
      <c r="C122" s="61" t="s">
        <v>52</v>
      </c>
      <c r="D122" s="59" t="s">
        <v>53</v>
      </c>
      <c r="E122" s="68">
        <v>450</v>
      </c>
      <c r="F122" s="60">
        <v>8</v>
      </c>
      <c r="G122" s="227">
        <f t="shared" si="2"/>
        <v>3600</v>
      </c>
      <c r="H122" s="227"/>
      <c r="I122" s="227"/>
      <c r="J122" s="227"/>
      <c r="K122" s="226"/>
      <c r="L122" s="226"/>
      <c r="M122" s="226"/>
      <c r="N122" s="227"/>
      <c r="O122" s="228"/>
    </row>
    <row r="123" spans="1:15" s="7" customFormat="1">
      <c r="A123" s="59">
        <v>9</v>
      </c>
      <c r="B123" s="60" t="s">
        <v>54</v>
      </c>
      <c r="C123" s="61" t="s">
        <v>27</v>
      </c>
      <c r="D123" s="59" t="s">
        <v>23</v>
      </c>
      <c r="E123" s="68">
        <v>63000</v>
      </c>
      <c r="F123" s="60">
        <v>1</v>
      </c>
      <c r="G123" s="227">
        <f t="shared" si="2"/>
        <v>63000</v>
      </c>
      <c r="H123" s="227"/>
      <c r="I123" s="227"/>
      <c r="J123" s="227"/>
      <c r="K123" s="226"/>
      <c r="L123" s="226"/>
      <c r="M123" s="226"/>
      <c r="N123" s="227"/>
      <c r="O123" s="228"/>
    </row>
    <row r="124" spans="1:15" s="7" customFormat="1" ht="28.5">
      <c r="A124" s="59">
        <v>10</v>
      </c>
      <c r="B124" s="60" t="s">
        <v>61</v>
      </c>
      <c r="C124" s="61" t="s">
        <v>62</v>
      </c>
      <c r="D124" s="59" t="s">
        <v>32</v>
      </c>
      <c r="E124" s="68">
        <v>12020</v>
      </c>
      <c r="F124" s="60">
        <v>1</v>
      </c>
      <c r="G124" s="227">
        <f t="shared" si="2"/>
        <v>12020</v>
      </c>
      <c r="H124" s="227"/>
      <c r="I124" s="227"/>
      <c r="J124" s="227"/>
      <c r="K124" s="226"/>
      <c r="L124" s="226"/>
      <c r="M124" s="226"/>
      <c r="N124" s="227"/>
      <c r="O124" s="228"/>
    </row>
    <row r="125" spans="1:15" s="7" customFormat="1">
      <c r="A125" s="59">
        <v>11</v>
      </c>
      <c r="B125" s="60" t="s">
        <v>63</v>
      </c>
      <c r="C125" s="61" t="s">
        <v>64</v>
      </c>
      <c r="D125" s="59" t="s">
        <v>32</v>
      </c>
      <c r="E125" s="68">
        <f>19850*1.18</f>
        <v>23423</v>
      </c>
      <c r="F125" s="60">
        <v>1</v>
      </c>
      <c r="G125" s="227">
        <f t="shared" si="2"/>
        <v>23423</v>
      </c>
      <c r="H125" s="227"/>
      <c r="I125" s="227"/>
      <c r="J125" s="227"/>
      <c r="K125" s="226"/>
      <c r="L125" s="226"/>
      <c r="M125" s="226"/>
      <c r="N125" s="227"/>
      <c r="O125" s="228"/>
    </row>
    <row r="126" spans="1:15" s="7" customFormat="1">
      <c r="A126" s="59">
        <v>12</v>
      </c>
      <c r="B126" s="60" t="s">
        <v>63</v>
      </c>
      <c r="C126" s="61" t="s">
        <v>65</v>
      </c>
      <c r="D126" s="59" t="s">
        <v>32</v>
      </c>
      <c r="E126" s="68">
        <f>19850*1.18</f>
        <v>23423</v>
      </c>
      <c r="F126" s="60">
        <v>1</v>
      </c>
      <c r="G126" s="227">
        <f t="shared" si="2"/>
        <v>23423</v>
      </c>
      <c r="H126" s="227"/>
      <c r="I126" s="227"/>
      <c r="J126" s="227"/>
      <c r="K126" s="226"/>
      <c r="L126" s="226"/>
      <c r="M126" s="226"/>
      <c r="N126" s="227"/>
      <c r="O126" s="228"/>
    </row>
    <row r="127" spans="1:15" s="7" customFormat="1" ht="28.5">
      <c r="A127" s="59">
        <v>13</v>
      </c>
      <c r="B127" s="60" t="s">
        <v>63</v>
      </c>
      <c r="C127" s="61" t="s">
        <v>66</v>
      </c>
      <c r="D127" s="59" t="s">
        <v>24</v>
      </c>
      <c r="E127" s="68">
        <v>4200</v>
      </c>
      <c r="F127" s="60">
        <v>1</v>
      </c>
      <c r="G127" s="227">
        <f t="shared" si="2"/>
        <v>4200</v>
      </c>
      <c r="H127" s="227"/>
      <c r="I127" s="227"/>
      <c r="J127" s="227"/>
      <c r="K127" s="226"/>
      <c r="L127" s="226"/>
      <c r="M127" s="226"/>
      <c r="N127" s="227"/>
      <c r="O127" s="228"/>
    </row>
    <row r="128" spans="1:15" s="7" customFormat="1" ht="28.5">
      <c r="A128" s="59">
        <v>14</v>
      </c>
      <c r="B128" s="60" t="s">
        <v>63</v>
      </c>
      <c r="C128" s="61" t="s">
        <v>67</v>
      </c>
      <c r="D128" s="59" t="s">
        <v>32</v>
      </c>
      <c r="E128" s="68">
        <v>58410</v>
      </c>
      <c r="F128" s="60">
        <v>2</v>
      </c>
      <c r="G128" s="227">
        <f t="shared" si="2"/>
        <v>116820</v>
      </c>
      <c r="H128" s="227"/>
      <c r="I128" s="227"/>
      <c r="J128" s="227"/>
      <c r="K128" s="226"/>
      <c r="L128" s="226"/>
      <c r="M128" s="226"/>
      <c r="N128" s="227"/>
      <c r="O128" s="228"/>
    </row>
    <row r="129" spans="1:15" s="7" customFormat="1" ht="28.5">
      <c r="A129" s="59">
        <v>15</v>
      </c>
      <c r="B129" s="60" t="s">
        <v>63</v>
      </c>
      <c r="C129" s="61" t="s">
        <v>66</v>
      </c>
      <c r="D129" s="59" t="s">
        <v>24</v>
      </c>
      <c r="E129" s="68">
        <v>4500</v>
      </c>
      <c r="F129" s="60">
        <v>1</v>
      </c>
      <c r="G129" s="227">
        <f t="shared" si="2"/>
        <v>4500</v>
      </c>
      <c r="H129" s="227"/>
      <c r="I129" s="227"/>
      <c r="J129" s="227"/>
      <c r="K129" s="226"/>
      <c r="L129" s="226"/>
      <c r="M129" s="226"/>
      <c r="N129" s="227"/>
      <c r="O129" s="228"/>
    </row>
    <row r="130" spans="1:15" s="7" customFormat="1">
      <c r="A130" s="59">
        <v>16</v>
      </c>
      <c r="B130" s="60" t="s">
        <v>71</v>
      </c>
      <c r="C130" s="61" t="s">
        <v>72</v>
      </c>
      <c r="D130" s="59" t="s">
        <v>24</v>
      </c>
      <c r="E130" s="68">
        <v>356</v>
      </c>
      <c r="F130" s="60">
        <v>1</v>
      </c>
      <c r="G130" s="227">
        <f t="shared" si="2"/>
        <v>356</v>
      </c>
      <c r="H130" s="227"/>
      <c r="I130" s="227"/>
      <c r="J130" s="227"/>
      <c r="K130" s="226"/>
      <c r="L130" s="226"/>
      <c r="M130" s="226"/>
      <c r="N130" s="227"/>
      <c r="O130" s="228"/>
    </row>
    <row r="131" spans="1:15" s="7" customFormat="1">
      <c r="A131" s="59">
        <v>17</v>
      </c>
      <c r="B131" s="60" t="s">
        <v>77</v>
      </c>
      <c r="C131" s="61" t="s">
        <v>78</v>
      </c>
      <c r="D131" s="59" t="s">
        <v>8</v>
      </c>
      <c r="E131" s="68">
        <v>3500</v>
      </c>
      <c r="F131" s="60">
        <v>1</v>
      </c>
      <c r="G131" s="227">
        <f t="shared" si="2"/>
        <v>3500</v>
      </c>
      <c r="H131" s="227"/>
      <c r="I131" s="227"/>
      <c r="J131" s="227"/>
      <c r="K131" s="226"/>
      <c r="L131" s="226"/>
      <c r="M131" s="226"/>
      <c r="N131" s="227"/>
      <c r="O131" s="228"/>
    </row>
    <row r="132" spans="1:15" s="7" customFormat="1" ht="28.5">
      <c r="A132" s="59">
        <v>18</v>
      </c>
      <c r="B132" s="60" t="s">
        <v>81</v>
      </c>
      <c r="C132" s="61" t="s">
        <v>82</v>
      </c>
      <c r="D132" s="59" t="s">
        <v>70</v>
      </c>
      <c r="E132" s="68">
        <v>3000</v>
      </c>
      <c r="F132" s="60">
        <v>1</v>
      </c>
      <c r="G132" s="227">
        <f t="shared" si="2"/>
        <v>3000</v>
      </c>
      <c r="H132" s="227"/>
      <c r="I132" s="227"/>
      <c r="J132" s="227"/>
      <c r="K132" s="226"/>
      <c r="L132" s="226"/>
      <c r="M132" s="226"/>
      <c r="N132" s="227"/>
      <c r="O132" s="228"/>
    </row>
    <row r="133" spans="1:15" s="7" customFormat="1">
      <c r="A133" s="59">
        <v>19</v>
      </c>
      <c r="B133" s="60" t="s">
        <v>83</v>
      </c>
      <c r="C133" s="61" t="s">
        <v>84</v>
      </c>
      <c r="D133" s="59" t="s">
        <v>8</v>
      </c>
      <c r="E133" s="68">
        <v>300</v>
      </c>
      <c r="F133" s="60">
        <v>1</v>
      </c>
      <c r="G133" s="227">
        <f t="shared" si="2"/>
        <v>300</v>
      </c>
      <c r="H133" s="227"/>
      <c r="I133" s="227"/>
      <c r="J133" s="227"/>
      <c r="K133" s="226"/>
      <c r="L133" s="226"/>
      <c r="M133" s="226"/>
      <c r="N133" s="227"/>
      <c r="O133" s="228"/>
    </row>
    <row r="134" spans="1:15" s="7" customFormat="1">
      <c r="A134" s="59">
        <v>20</v>
      </c>
      <c r="B134" s="60" t="s">
        <v>83</v>
      </c>
      <c r="C134" s="61" t="s">
        <v>85</v>
      </c>
      <c r="D134" s="59" t="s">
        <v>8</v>
      </c>
      <c r="E134" s="68">
        <v>300</v>
      </c>
      <c r="F134" s="60">
        <v>1</v>
      </c>
      <c r="G134" s="227">
        <f t="shared" si="2"/>
        <v>300</v>
      </c>
      <c r="H134" s="227"/>
      <c r="I134" s="227"/>
      <c r="J134" s="227"/>
      <c r="K134" s="226"/>
      <c r="L134" s="226"/>
      <c r="M134" s="226"/>
      <c r="N134" s="227"/>
      <c r="O134" s="228"/>
    </row>
    <row r="135" spans="1:15" s="7" customFormat="1">
      <c r="A135" s="59">
        <v>21</v>
      </c>
      <c r="B135" s="60" t="s">
        <v>83</v>
      </c>
      <c r="C135" s="61" t="s">
        <v>86</v>
      </c>
      <c r="D135" s="59" t="s">
        <v>8</v>
      </c>
      <c r="E135" s="68">
        <v>200</v>
      </c>
      <c r="F135" s="60">
        <v>1</v>
      </c>
      <c r="G135" s="227">
        <f t="shared" si="2"/>
        <v>200</v>
      </c>
      <c r="H135" s="227"/>
      <c r="I135" s="227"/>
      <c r="J135" s="227"/>
      <c r="K135" s="226"/>
      <c r="L135" s="226"/>
      <c r="M135" s="226"/>
      <c r="N135" s="227"/>
      <c r="O135" s="228"/>
    </row>
    <row r="136" spans="1:15" s="7" customFormat="1">
      <c r="A136" s="59">
        <v>22</v>
      </c>
      <c r="B136" s="60" t="s">
        <v>83</v>
      </c>
      <c r="C136" s="61" t="s">
        <v>87</v>
      </c>
      <c r="D136" s="59" t="s">
        <v>8</v>
      </c>
      <c r="E136" s="68">
        <v>350</v>
      </c>
      <c r="F136" s="60">
        <v>1</v>
      </c>
      <c r="G136" s="227">
        <f t="shared" si="2"/>
        <v>350</v>
      </c>
      <c r="H136" s="227"/>
      <c r="I136" s="227"/>
      <c r="J136" s="227"/>
      <c r="K136" s="226"/>
      <c r="L136" s="226"/>
      <c r="M136" s="226"/>
      <c r="N136" s="227"/>
      <c r="O136" s="228"/>
    </row>
    <row r="137" spans="1:15" s="7" customFormat="1" ht="28.5">
      <c r="A137" s="59">
        <v>23</v>
      </c>
      <c r="B137" s="60" t="s">
        <v>88</v>
      </c>
      <c r="C137" s="61" t="s">
        <v>89</v>
      </c>
      <c r="D137" s="59" t="s">
        <v>8</v>
      </c>
      <c r="E137" s="68">
        <v>450</v>
      </c>
      <c r="F137" s="60">
        <v>1</v>
      </c>
      <c r="G137" s="227">
        <f t="shared" si="2"/>
        <v>450</v>
      </c>
      <c r="H137" s="227"/>
      <c r="I137" s="227"/>
      <c r="J137" s="227"/>
      <c r="K137" s="226"/>
      <c r="L137" s="226"/>
      <c r="M137" s="226"/>
      <c r="N137" s="227"/>
      <c r="O137" s="228"/>
    </row>
    <row r="138" spans="1:15" s="7" customFormat="1">
      <c r="A138" s="59">
        <v>24</v>
      </c>
      <c r="B138" s="60" t="s">
        <v>91</v>
      </c>
      <c r="C138" s="61" t="s">
        <v>84</v>
      </c>
      <c r="D138" s="59" t="s">
        <v>8</v>
      </c>
      <c r="E138" s="68">
        <v>300</v>
      </c>
      <c r="F138" s="60">
        <v>1</v>
      </c>
      <c r="G138" s="227">
        <f t="shared" si="2"/>
        <v>300</v>
      </c>
      <c r="H138" s="227"/>
      <c r="I138" s="227"/>
      <c r="J138" s="227"/>
      <c r="K138" s="226"/>
      <c r="L138" s="226"/>
      <c r="M138" s="226"/>
      <c r="N138" s="227"/>
      <c r="O138" s="228"/>
    </row>
    <row r="139" spans="1:15" s="7" customFormat="1">
      <c r="A139" s="59">
        <v>25</v>
      </c>
      <c r="B139" s="60" t="s">
        <v>91</v>
      </c>
      <c r="C139" s="61" t="s">
        <v>92</v>
      </c>
      <c r="D139" s="59" t="s">
        <v>8</v>
      </c>
      <c r="E139" s="68">
        <v>500</v>
      </c>
      <c r="F139" s="60">
        <v>1</v>
      </c>
      <c r="G139" s="227">
        <f t="shared" si="2"/>
        <v>500</v>
      </c>
      <c r="H139" s="227"/>
      <c r="I139" s="227"/>
      <c r="J139" s="227"/>
      <c r="K139" s="226"/>
      <c r="L139" s="226"/>
      <c r="M139" s="226"/>
      <c r="N139" s="227"/>
      <c r="O139" s="228"/>
    </row>
    <row r="140" spans="1:15" s="7" customFormat="1">
      <c r="A140" s="59">
        <v>26</v>
      </c>
      <c r="B140" s="60" t="s">
        <v>91</v>
      </c>
      <c r="C140" s="61" t="s">
        <v>85</v>
      </c>
      <c r="D140" s="59" t="s">
        <v>8</v>
      </c>
      <c r="E140" s="68">
        <v>300</v>
      </c>
      <c r="F140" s="60">
        <v>1</v>
      </c>
      <c r="G140" s="227">
        <f t="shared" si="2"/>
        <v>300</v>
      </c>
      <c r="H140" s="227"/>
      <c r="I140" s="227"/>
      <c r="J140" s="227"/>
      <c r="K140" s="226"/>
      <c r="L140" s="226"/>
      <c r="M140" s="226"/>
      <c r="N140" s="227"/>
      <c r="O140" s="228"/>
    </row>
    <row r="141" spans="1:15" s="7" customFormat="1">
      <c r="A141" s="59">
        <v>27</v>
      </c>
      <c r="B141" s="60" t="s">
        <v>91</v>
      </c>
      <c r="C141" s="61" t="s">
        <v>87</v>
      </c>
      <c r="D141" s="59" t="s">
        <v>8</v>
      </c>
      <c r="E141" s="68">
        <v>350</v>
      </c>
      <c r="F141" s="60">
        <v>1</v>
      </c>
      <c r="G141" s="227">
        <f t="shared" si="2"/>
        <v>350</v>
      </c>
      <c r="H141" s="227"/>
      <c r="I141" s="227"/>
      <c r="J141" s="227"/>
      <c r="K141" s="226"/>
      <c r="L141" s="226"/>
      <c r="M141" s="226"/>
      <c r="N141" s="227"/>
      <c r="O141" s="228"/>
    </row>
    <row r="142" spans="1:15" s="7" customFormat="1" ht="28.5">
      <c r="A142" s="59">
        <v>28</v>
      </c>
      <c r="B142" s="60" t="s">
        <v>88</v>
      </c>
      <c r="C142" s="61" t="s">
        <v>93</v>
      </c>
      <c r="D142" s="59" t="s">
        <v>8</v>
      </c>
      <c r="E142" s="68">
        <v>550</v>
      </c>
      <c r="F142" s="60">
        <v>1</v>
      </c>
      <c r="G142" s="227">
        <f t="shared" si="2"/>
        <v>550</v>
      </c>
      <c r="H142" s="227"/>
      <c r="I142" s="227"/>
      <c r="J142" s="227"/>
      <c r="K142" s="226"/>
      <c r="L142" s="226"/>
      <c r="M142" s="226"/>
      <c r="N142" s="227"/>
      <c r="O142" s="228"/>
    </row>
    <row r="143" spans="1:15" s="7" customFormat="1">
      <c r="A143" s="59">
        <v>29</v>
      </c>
      <c r="B143" s="60" t="s">
        <v>94</v>
      </c>
      <c r="C143" s="61" t="s">
        <v>95</v>
      </c>
      <c r="D143" s="59" t="s">
        <v>8</v>
      </c>
      <c r="E143" s="68">
        <v>50</v>
      </c>
      <c r="F143" s="60">
        <v>3</v>
      </c>
      <c r="G143" s="227">
        <f t="shared" si="2"/>
        <v>150</v>
      </c>
      <c r="H143" s="227"/>
      <c r="I143" s="227"/>
      <c r="J143" s="227"/>
      <c r="K143" s="226"/>
      <c r="L143" s="226"/>
      <c r="M143" s="226"/>
      <c r="N143" s="227"/>
      <c r="O143" s="228"/>
    </row>
    <row r="144" spans="1:15" s="7" customFormat="1">
      <c r="A144" s="59">
        <v>30</v>
      </c>
      <c r="B144" s="60" t="s">
        <v>96</v>
      </c>
      <c r="C144" s="61" t="s">
        <v>97</v>
      </c>
      <c r="D144" s="59" t="s">
        <v>8</v>
      </c>
      <c r="E144" s="68">
        <v>200</v>
      </c>
      <c r="F144" s="60">
        <v>1</v>
      </c>
      <c r="G144" s="227">
        <f t="shared" si="2"/>
        <v>200</v>
      </c>
      <c r="H144" s="227"/>
      <c r="I144" s="227"/>
      <c r="J144" s="227"/>
      <c r="K144" s="226"/>
      <c r="L144" s="226"/>
      <c r="M144" s="226"/>
      <c r="N144" s="227"/>
      <c r="O144" s="228"/>
    </row>
    <row r="145" spans="1:15" s="7" customFormat="1">
      <c r="A145" s="59">
        <v>31</v>
      </c>
      <c r="B145" s="60" t="s">
        <v>94</v>
      </c>
      <c r="C145" s="61" t="s">
        <v>98</v>
      </c>
      <c r="D145" s="59" t="s">
        <v>8</v>
      </c>
      <c r="E145" s="68">
        <v>100</v>
      </c>
      <c r="F145" s="60">
        <v>1</v>
      </c>
      <c r="G145" s="227">
        <f t="shared" si="2"/>
        <v>100</v>
      </c>
      <c r="H145" s="227"/>
      <c r="I145" s="227"/>
      <c r="J145" s="227"/>
      <c r="K145" s="226"/>
      <c r="L145" s="226"/>
      <c r="M145" s="226"/>
      <c r="N145" s="227"/>
      <c r="O145" s="228"/>
    </row>
    <row r="146" spans="1:15" s="7" customFormat="1">
      <c r="A146" s="59">
        <v>32</v>
      </c>
      <c r="B146" s="60" t="s">
        <v>94</v>
      </c>
      <c r="C146" s="61" t="s">
        <v>99</v>
      </c>
      <c r="D146" s="59" t="s">
        <v>8</v>
      </c>
      <c r="E146" s="68">
        <v>203</v>
      </c>
      <c r="F146" s="60">
        <v>1</v>
      </c>
      <c r="G146" s="227">
        <f t="shared" si="2"/>
        <v>203</v>
      </c>
      <c r="H146" s="227"/>
      <c r="I146" s="227"/>
      <c r="J146" s="227"/>
      <c r="K146" s="226"/>
      <c r="L146" s="226"/>
      <c r="M146" s="226"/>
      <c r="N146" s="227"/>
      <c r="O146" s="228"/>
    </row>
    <row r="147" spans="1:15" s="7" customFormat="1">
      <c r="A147" s="59">
        <v>33</v>
      </c>
      <c r="B147" s="60" t="s">
        <v>100</v>
      </c>
      <c r="C147" s="61" t="s">
        <v>101</v>
      </c>
      <c r="D147" s="59" t="s">
        <v>32</v>
      </c>
      <c r="E147" s="68">
        <v>5900</v>
      </c>
      <c r="F147" s="60">
        <v>2</v>
      </c>
      <c r="G147" s="227">
        <f t="shared" si="2"/>
        <v>11800</v>
      </c>
      <c r="H147" s="227"/>
      <c r="I147" s="227"/>
      <c r="J147" s="227"/>
      <c r="K147" s="226"/>
      <c r="L147" s="226"/>
      <c r="M147" s="226"/>
      <c r="N147" s="227"/>
      <c r="O147" s="228"/>
    </row>
    <row r="148" spans="1:15" s="7" customFormat="1">
      <c r="A148" s="59">
        <v>34</v>
      </c>
      <c r="B148" s="60" t="s">
        <v>102</v>
      </c>
      <c r="C148" s="61" t="s">
        <v>103</v>
      </c>
      <c r="D148" s="59" t="s">
        <v>32</v>
      </c>
      <c r="E148" s="68">
        <v>5900</v>
      </c>
      <c r="F148" s="60">
        <v>2</v>
      </c>
      <c r="G148" s="227">
        <f t="shared" si="2"/>
        <v>11800</v>
      </c>
      <c r="H148" s="227"/>
      <c r="I148" s="227"/>
      <c r="J148" s="227"/>
      <c r="K148" s="226"/>
      <c r="L148" s="226"/>
      <c r="M148" s="226"/>
      <c r="N148" s="227"/>
      <c r="O148" s="228"/>
    </row>
    <row r="149" spans="1:15" s="7" customFormat="1">
      <c r="A149" s="59">
        <v>35</v>
      </c>
      <c r="B149" s="60" t="s">
        <v>100</v>
      </c>
      <c r="C149" s="61" t="s">
        <v>104</v>
      </c>
      <c r="D149" s="59" t="s">
        <v>32</v>
      </c>
      <c r="E149" s="68">
        <v>7080</v>
      </c>
      <c r="F149" s="60">
        <v>2</v>
      </c>
      <c r="G149" s="227">
        <f t="shared" si="2"/>
        <v>14160</v>
      </c>
      <c r="H149" s="227"/>
      <c r="I149" s="227"/>
      <c r="J149" s="227"/>
      <c r="K149" s="226"/>
      <c r="L149" s="226"/>
      <c r="M149" s="226"/>
      <c r="N149" s="227"/>
      <c r="O149" s="228"/>
    </row>
    <row r="150" spans="1:15" s="7" customFormat="1">
      <c r="A150" s="59">
        <v>36</v>
      </c>
      <c r="B150" s="60" t="s">
        <v>105</v>
      </c>
      <c r="C150" s="61" t="s">
        <v>106</v>
      </c>
      <c r="D150" s="59" t="s">
        <v>8</v>
      </c>
      <c r="E150" s="68">
        <v>210</v>
      </c>
      <c r="F150" s="60">
        <v>1</v>
      </c>
      <c r="G150" s="227">
        <f t="shared" si="2"/>
        <v>210</v>
      </c>
      <c r="H150" s="227"/>
      <c r="I150" s="227"/>
      <c r="J150" s="227"/>
      <c r="K150" s="226"/>
      <c r="L150" s="226"/>
      <c r="M150" s="226"/>
      <c r="N150" s="227"/>
      <c r="O150" s="228"/>
    </row>
    <row r="151" spans="1:15" s="7" customFormat="1">
      <c r="A151" s="59">
        <v>37</v>
      </c>
      <c r="B151" s="60" t="s">
        <v>107</v>
      </c>
      <c r="C151" s="61" t="s">
        <v>108</v>
      </c>
      <c r="D151" s="59" t="s">
        <v>109</v>
      </c>
      <c r="E151" s="68">
        <v>12</v>
      </c>
      <c r="F151" s="60">
        <v>93</v>
      </c>
      <c r="G151" s="227">
        <f t="shared" si="2"/>
        <v>1116</v>
      </c>
      <c r="H151" s="227"/>
      <c r="I151" s="227"/>
      <c r="J151" s="227"/>
      <c r="K151" s="226"/>
      <c r="L151" s="226"/>
      <c r="M151" s="226"/>
      <c r="N151" s="227"/>
      <c r="O151" s="228"/>
    </row>
    <row r="152" spans="1:15" s="7" customFormat="1">
      <c r="A152" s="59">
        <v>38</v>
      </c>
      <c r="B152" s="60" t="s">
        <v>113</v>
      </c>
      <c r="C152" s="61" t="s">
        <v>114</v>
      </c>
      <c r="D152" s="59" t="s">
        <v>9</v>
      </c>
      <c r="E152" s="68">
        <v>4420</v>
      </c>
      <c r="F152" s="60">
        <v>2</v>
      </c>
      <c r="G152" s="227">
        <f t="shared" si="2"/>
        <v>8840</v>
      </c>
      <c r="H152" s="227"/>
      <c r="I152" s="227"/>
      <c r="J152" s="227"/>
      <c r="K152" s="226"/>
      <c r="L152" s="226"/>
      <c r="M152" s="226"/>
      <c r="N152" s="227"/>
      <c r="O152" s="228"/>
    </row>
    <row r="153" spans="1:15" s="7" customFormat="1">
      <c r="A153" s="59">
        <v>39</v>
      </c>
      <c r="B153" s="60" t="s">
        <v>115</v>
      </c>
      <c r="C153" s="61" t="s">
        <v>116</v>
      </c>
      <c r="D153" s="59" t="s">
        <v>7</v>
      </c>
      <c r="E153" s="68">
        <v>74517.5</v>
      </c>
      <c r="F153" s="60">
        <v>3.089</v>
      </c>
      <c r="G153" s="227">
        <f t="shared" si="2"/>
        <v>230184.5575</v>
      </c>
      <c r="H153" s="227"/>
      <c r="I153" s="227"/>
      <c r="J153" s="227"/>
      <c r="K153" s="226"/>
      <c r="L153" s="226"/>
      <c r="M153" s="226"/>
      <c r="N153" s="227"/>
      <c r="O153" s="228"/>
    </row>
    <row r="154" spans="1:15" s="7" customFormat="1">
      <c r="A154" s="59">
        <v>40</v>
      </c>
      <c r="B154" s="60" t="s">
        <v>124</v>
      </c>
      <c r="C154" s="61" t="s">
        <v>125</v>
      </c>
      <c r="D154" s="59" t="s">
        <v>32</v>
      </c>
      <c r="E154" s="68">
        <v>20000</v>
      </c>
      <c r="F154" s="60">
        <v>1</v>
      </c>
      <c r="G154" s="227">
        <f t="shared" si="2"/>
        <v>20000</v>
      </c>
      <c r="H154" s="227"/>
      <c r="I154" s="227"/>
      <c r="J154" s="227"/>
      <c r="K154" s="226"/>
      <c r="L154" s="226"/>
      <c r="M154" s="226"/>
      <c r="N154" s="227"/>
      <c r="O154" s="228"/>
    </row>
    <row r="155" spans="1:15" s="7" customFormat="1">
      <c r="A155" s="59">
        <v>41</v>
      </c>
      <c r="B155" s="60" t="s">
        <v>126</v>
      </c>
      <c r="C155" s="61" t="s">
        <v>127</v>
      </c>
      <c r="D155" s="59" t="s">
        <v>32</v>
      </c>
      <c r="E155" s="68">
        <v>79490.7</v>
      </c>
      <c r="F155" s="60">
        <v>1</v>
      </c>
      <c r="G155" s="227">
        <f t="shared" si="2"/>
        <v>79490.7</v>
      </c>
      <c r="H155" s="227"/>
      <c r="I155" s="227"/>
      <c r="J155" s="227"/>
      <c r="K155" s="226"/>
      <c r="L155" s="226"/>
      <c r="M155" s="226"/>
      <c r="N155" s="227"/>
      <c r="O155" s="228"/>
    </row>
    <row r="156" spans="1:15" s="7" customFormat="1">
      <c r="A156" s="59">
        <v>42</v>
      </c>
      <c r="B156" s="60" t="s">
        <v>126</v>
      </c>
      <c r="C156" s="61" t="s">
        <v>128</v>
      </c>
      <c r="D156" s="59" t="s">
        <v>32</v>
      </c>
      <c r="E156" s="68">
        <v>79060</v>
      </c>
      <c r="F156" s="60">
        <v>1</v>
      </c>
      <c r="G156" s="227">
        <f t="shared" si="2"/>
        <v>79060</v>
      </c>
      <c r="H156" s="227"/>
      <c r="I156" s="227"/>
      <c r="J156" s="227"/>
      <c r="K156" s="226"/>
      <c r="L156" s="226"/>
      <c r="M156" s="226"/>
      <c r="N156" s="227"/>
      <c r="O156" s="228"/>
    </row>
    <row r="157" spans="1:15" s="7" customFormat="1">
      <c r="A157" s="59">
        <v>43</v>
      </c>
      <c r="B157" s="60" t="s">
        <v>130</v>
      </c>
      <c r="C157" s="61" t="s">
        <v>131</v>
      </c>
      <c r="D157" s="59" t="s">
        <v>10</v>
      </c>
      <c r="E157" s="68">
        <v>15000</v>
      </c>
      <c r="F157" s="60">
        <v>5</v>
      </c>
      <c r="G157" s="227">
        <f t="shared" si="2"/>
        <v>75000</v>
      </c>
      <c r="H157" s="227"/>
      <c r="I157" s="227"/>
      <c r="J157" s="227"/>
      <c r="K157" s="226"/>
      <c r="L157" s="226"/>
      <c r="M157" s="226"/>
      <c r="N157" s="227"/>
      <c r="O157" s="228"/>
    </row>
    <row r="158" spans="1:15" s="7" customFormat="1">
      <c r="A158" s="59">
        <v>44</v>
      </c>
      <c r="B158" s="60" t="s">
        <v>136</v>
      </c>
      <c r="C158" s="61" t="s">
        <v>137</v>
      </c>
      <c r="D158" s="59" t="s">
        <v>32</v>
      </c>
      <c r="E158" s="68">
        <v>59000</v>
      </c>
      <c r="F158" s="60">
        <v>2</v>
      </c>
      <c r="G158" s="227">
        <f t="shared" si="2"/>
        <v>118000</v>
      </c>
      <c r="H158" s="227"/>
      <c r="I158" s="227"/>
      <c r="J158" s="227"/>
      <c r="K158" s="226"/>
      <c r="L158" s="226"/>
      <c r="M158" s="226"/>
      <c r="N158" s="227"/>
      <c r="O158" s="228"/>
    </row>
    <row r="159" spans="1:15" s="7" customFormat="1">
      <c r="A159" s="59">
        <v>45</v>
      </c>
      <c r="B159" s="60" t="s">
        <v>138</v>
      </c>
      <c r="C159" s="61" t="s">
        <v>139</v>
      </c>
      <c r="D159" s="59" t="s">
        <v>23</v>
      </c>
      <c r="E159" s="68">
        <v>163902</v>
      </c>
      <c r="F159" s="60">
        <v>4</v>
      </c>
      <c r="G159" s="227">
        <f t="shared" si="2"/>
        <v>655608</v>
      </c>
      <c r="H159" s="227"/>
      <c r="I159" s="227"/>
      <c r="J159" s="227"/>
      <c r="K159" s="226"/>
      <c r="L159" s="226"/>
      <c r="M159" s="226"/>
      <c r="N159" s="227"/>
      <c r="O159" s="228"/>
    </row>
    <row r="160" spans="1:15" s="7" customFormat="1">
      <c r="A160" s="59">
        <v>46</v>
      </c>
      <c r="B160" s="60" t="s">
        <v>140</v>
      </c>
      <c r="C160" s="61" t="s">
        <v>141</v>
      </c>
      <c r="D160" s="59" t="s">
        <v>32</v>
      </c>
      <c r="E160" s="68">
        <v>21240</v>
      </c>
      <c r="F160" s="60">
        <v>6</v>
      </c>
      <c r="G160" s="227">
        <f t="shared" si="2"/>
        <v>127440</v>
      </c>
      <c r="H160" s="227"/>
      <c r="I160" s="227"/>
      <c r="J160" s="227"/>
      <c r="K160" s="226"/>
      <c r="L160" s="226"/>
      <c r="M160" s="226"/>
      <c r="N160" s="227"/>
      <c r="O160" s="228"/>
    </row>
    <row r="161" spans="1:15" s="7" customFormat="1">
      <c r="A161" s="59">
        <v>47</v>
      </c>
      <c r="B161" s="60" t="s">
        <v>142</v>
      </c>
      <c r="C161" s="61" t="s">
        <v>143</v>
      </c>
      <c r="D161" s="59" t="s">
        <v>144</v>
      </c>
      <c r="E161" s="68">
        <v>684.4</v>
      </c>
      <c r="F161" s="60">
        <v>3</v>
      </c>
      <c r="G161" s="227">
        <f t="shared" si="2"/>
        <v>2053.1999999999998</v>
      </c>
      <c r="H161" s="227"/>
      <c r="I161" s="227"/>
      <c r="J161" s="227"/>
      <c r="K161" s="226"/>
      <c r="L161" s="226"/>
      <c r="M161" s="226"/>
      <c r="N161" s="227"/>
      <c r="O161" s="228"/>
    </row>
    <row r="162" spans="1:15" s="7" customFormat="1">
      <c r="A162" s="59">
        <v>48</v>
      </c>
      <c r="B162" s="60" t="s">
        <v>142</v>
      </c>
      <c r="C162" s="61" t="s">
        <v>145</v>
      </c>
      <c r="D162" s="59" t="s">
        <v>9</v>
      </c>
      <c r="E162" s="68">
        <v>678.5</v>
      </c>
      <c r="F162" s="60">
        <v>9</v>
      </c>
      <c r="G162" s="227">
        <f t="shared" si="2"/>
        <v>6106.5</v>
      </c>
      <c r="H162" s="227"/>
      <c r="I162" s="227"/>
      <c r="J162" s="227"/>
      <c r="K162" s="226"/>
      <c r="L162" s="226"/>
      <c r="M162" s="226"/>
      <c r="N162" s="227"/>
      <c r="O162" s="228"/>
    </row>
    <row r="163" spans="1:15" s="7" customFormat="1">
      <c r="A163" s="59">
        <v>49</v>
      </c>
      <c r="B163" s="60" t="s">
        <v>146</v>
      </c>
      <c r="C163" s="61" t="s">
        <v>147</v>
      </c>
      <c r="D163" s="59" t="s">
        <v>144</v>
      </c>
      <c r="E163" s="68">
        <v>684.4</v>
      </c>
      <c r="F163" s="60">
        <v>4</v>
      </c>
      <c r="G163" s="227">
        <f t="shared" si="2"/>
        <v>2737.6</v>
      </c>
      <c r="H163" s="227"/>
      <c r="I163" s="227"/>
      <c r="J163" s="227"/>
      <c r="K163" s="226"/>
      <c r="L163" s="226"/>
      <c r="M163" s="226"/>
      <c r="N163" s="227"/>
      <c r="O163" s="228"/>
    </row>
    <row r="164" spans="1:15" s="7" customFormat="1">
      <c r="A164" s="59">
        <v>50</v>
      </c>
      <c r="B164" s="60" t="s">
        <v>146</v>
      </c>
      <c r="C164" s="61" t="s">
        <v>148</v>
      </c>
      <c r="D164" s="59" t="s">
        <v>144</v>
      </c>
      <c r="E164" s="68">
        <v>684.4</v>
      </c>
      <c r="F164" s="60">
        <v>4</v>
      </c>
      <c r="G164" s="227">
        <f t="shared" si="2"/>
        <v>2737.6</v>
      </c>
      <c r="H164" s="227"/>
      <c r="I164" s="227"/>
      <c r="J164" s="227"/>
      <c r="K164" s="226"/>
      <c r="L164" s="226"/>
      <c r="M164" s="226"/>
      <c r="N164" s="227"/>
      <c r="O164" s="228"/>
    </row>
    <row r="165" spans="1:15" s="7" customFormat="1">
      <c r="A165" s="59">
        <v>51</v>
      </c>
      <c r="B165" s="60" t="s">
        <v>146</v>
      </c>
      <c r="C165" s="61" t="s">
        <v>149</v>
      </c>
      <c r="D165" s="59" t="s">
        <v>144</v>
      </c>
      <c r="E165" s="68">
        <v>684.4</v>
      </c>
      <c r="F165" s="60">
        <v>4</v>
      </c>
      <c r="G165" s="227">
        <f t="shared" si="2"/>
        <v>2737.6</v>
      </c>
      <c r="H165" s="227"/>
      <c r="I165" s="227"/>
      <c r="J165" s="227"/>
      <c r="K165" s="226"/>
      <c r="L165" s="226"/>
      <c r="M165" s="226"/>
      <c r="N165" s="227"/>
      <c r="O165" s="228"/>
    </row>
    <row r="166" spans="1:15" s="7" customFormat="1">
      <c r="A166" s="59">
        <v>52</v>
      </c>
      <c r="B166" s="60" t="s">
        <v>146</v>
      </c>
      <c r="C166" s="61" t="s">
        <v>150</v>
      </c>
      <c r="D166" s="59" t="s">
        <v>9</v>
      </c>
      <c r="E166" s="68">
        <v>678.5</v>
      </c>
      <c r="F166" s="60">
        <v>6</v>
      </c>
      <c r="G166" s="227">
        <f t="shared" si="2"/>
        <v>4071</v>
      </c>
      <c r="H166" s="227"/>
      <c r="I166" s="227"/>
      <c r="J166" s="227"/>
      <c r="K166" s="226"/>
      <c r="L166" s="226"/>
      <c r="M166" s="226"/>
      <c r="N166" s="227"/>
      <c r="O166" s="228"/>
    </row>
    <row r="167" spans="1:15" s="7" customFormat="1">
      <c r="A167" s="59">
        <v>53</v>
      </c>
      <c r="B167" s="60" t="s">
        <v>151</v>
      </c>
      <c r="C167" s="61" t="s">
        <v>152</v>
      </c>
      <c r="D167" s="59" t="s">
        <v>9</v>
      </c>
      <c r="E167" s="68">
        <v>678.5</v>
      </c>
      <c r="F167" s="60">
        <v>6</v>
      </c>
      <c r="G167" s="227">
        <f t="shared" si="2"/>
        <v>4071</v>
      </c>
      <c r="H167" s="227"/>
      <c r="I167" s="227"/>
      <c r="J167" s="227"/>
      <c r="K167" s="226"/>
      <c r="L167" s="226"/>
      <c r="M167" s="226"/>
      <c r="N167" s="227"/>
      <c r="O167" s="228"/>
    </row>
    <row r="168" spans="1:15" s="7" customFormat="1">
      <c r="A168" s="59">
        <v>54</v>
      </c>
      <c r="B168" s="60" t="s">
        <v>153</v>
      </c>
      <c r="C168" s="61" t="s">
        <v>154</v>
      </c>
      <c r="D168" s="59" t="s">
        <v>9</v>
      </c>
      <c r="E168" s="68">
        <v>678.5</v>
      </c>
      <c r="F168" s="60">
        <v>4</v>
      </c>
      <c r="G168" s="227">
        <f t="shared" si="2"/>
        <v>2714</v>
      </c>
      <c r="H168" s="227"/>
      <c r="I168" s="227"/>
      <c r="J168" s="227"/>
      <c r="K168" s="226"/>
      <c r="L168" s="226"/>
      <c r="M168" s="226"/>
      <c r="N168" s="227"/>
      <c r="O168" s="228"/>
    </row>
    <row r="169" spans="1:15" s="7" customFormat="1">
      <c r="A169" s="59">
        <v>55</v>
      </c>
      <c r="B169" s="60" t="s">
        <v>155</v>
      </c>
      <c r="C169" s="61" t="s">
        <v>156</v>
      </c>
      <c r="D169" s="59" t="s">
        <v>9</v>
      </c>
      <c r="E169" s="68">
        <v>678.5</v>
      </c>
      <c r="F169" s="60">
        <v>6</v>
      </c>
      <c r="G169" s="227">
        <f t="shared" si="2"/>
        <v>4071</v>
      </c>
      <c r="H169" s="227"/>
      <c r="I169" s="227"/>
      <c r="J169" s="227"/>
      <c r="K169" s="226"/>
      <c r="L169" s="226"/>
      <c r="M169" s="226"/>
      <c r="N169" s="227"/>
      <c r="O169" s="228"/>
    </row>
    <row r="170" spans="1:15" s="7" customFormat="1">
      <c r="A170" s="59">
        <v>56</v>
      </c>
      <c r="B170" s="60" t="s">
        <v>157</v>
      </c>
      <c r="C170" s="61" t="s">
        <v>158</v>
      </c>
      <c r="D170" s="59" t="s">
        <v>144</v>
      </c>
      <c r="E170" s="68">
        <v>684.4</v>
      </c>
      <c r="F170" s="60">
        <v>5</v>
      </c>
      <c r="G170" s="227">
        <f t="shared" si="2"/>
        <v>3422</v>
      </c>
      <c r="H170" s="227"/>
      <c r="I170" s="227"/>
      <c r="J170" s="227"/>
      <c r="K170" s="226"/>
      <c r="L170" s="226"/>
      <c r="M170" s="226"/>
      <c r="N170" s="227"/>
      <c r="O170" s="228"/>
    </row>
    <row r="171" spans="1:15" s="7" customFormat="1">
      <c r="A171" s="59">
        <v>57</v>
      </c>
      <c r="B171" s="60" t="s">
        <v>157</v>
      </c>
      <c r="C171" s="61" t="s">
        <v>159</v>
      </c>
      <c r="D171" s="59" t="s">
        <v>9</v>
      </c>
      <c r="E171" s="68">
        <v>678.5</v>
      </c>
      <c r="F171" s="60">
        <v>3</v>
      </c>
      <c r="G171" s="227">
        <f t="shared" si="2"/>
        <v>2035.5</v>
      </c>
      <c r="H171" s="227"/>
      <c r="I171" s="227"/>
      <c r="J171" s="227"/>
      <c r="K171" s="226"/>
      <c r="L171" s="226"/>
      <c r="M171" s="226"/>
      <c r="N171" s="227"/>
      <c r="O171" s="228"/>
    </row>
    <row r="172" spans="1:15" s="7" customFormat="1">
      <c r="A172" s="59">
        <v>58</v>
      </c>
      <c r="B172" s="60" t="s">
        <v>160</v>
      </c>
      <c r="C172" s="61" t="s">
        <v>161</v>
      </c>
      <c r="D172" s="59" t="s">
        <v>9</v>
      </c>
      <c r="E172" s="68">
        <v>678.5</v>
      </c>
      <c r="F172" s="60">
        <v>1</v>
      </c>
      <c r="G172" s="227">
        <f t="shared" si="2"/>
        <v>678.5</v>
      </c>
      <c r="H172" s="227"/>
      <c r="I172" s="227"/>
      <c r="J172" s="227"/>
      <c r="K172" s="226"/>
      <c r="L172" s="226"/>
      <c r="M172" s="226"/>
      <c r="N172" s="227"/>
      <c r="O172" s="228"/>
    </row>
    <row r="173" spans="1:15" s="7" customFormat="1">
      <c r="A173" s="59">
        <v>59</v>
      </c>
      <c r="B173" s="60" t="s">
        <v>162</v>
      </c>
      <c r="C173" s="61" t="s">
        <v>163</v>
      </c>
      <c r="D173" s="59" t="s">
        <v>9</v>
      </c>
      <c r="E173" s="68">
        <v>678.5</v>
      </c>
      <c r="F173" s="60">
        <v>2</v>
      </c>
      <c r="G173" s="227">
        <f t="shared" si="2"/>
        <v>1357</v>
      </c>
      <c r="H173" s="227"/>
      <c r="I173" s="227"/>
      <c r="J173" s="227"/>
      <c r="K173" s="226"/>
      <c r="L173" s="226"/>
      <c r="M173" s="226"/>
      <c r="N173" s="227"/>
      <c r="O173" s="228"/>
    </row>
    <row r="174" spans="1:15" s="7" customFormat="1">
      <c r="A174" s="59">
        <v>60</v>
      </c>
      <c r="B174" s="60" t="s">
        <v>164</v>
      </c>
      <c r="C174" s="61" t="s">
        <v>165</v>
      </c>
      <c r="D174" s="59" t="s">
        <v>9</v>
      </c>
      <c r="E174" s="68">
        <v>678.5</v>
      </c>
      <c r="F174" s="60">
        <v>6</v>
      </c>
      <c r="G174" s="227">
        <f t="shared" si="2"/>
        <v>4071</v>
      </c>
      <c r="H174" s="227"/>
      <c r="I174" s="227"/>
      <c r="J174" s="227"/>
      <c r="K174" s="226"/>
      <c r="L174" s="226"/>
      <c r="M174" s="226"/>
      <c r="N174" s="227"/>
      <c r="O174" s="228"/>
    </row>
    <row r="175" spans="1:15" s="7" customFormat="1">
      <c r="A175" s="59">
        <v>61</v>
      </c>
      <c r="B175" s="60" t="s">
        <v>166</v>
      </c>
      <c r="C175" s="61" t="s">
        <v>167</v>
      </c>
      <c r="D175" s="59" t="s">
        <v>9</v>
      </c>
      <c r="E175" s="68">
        <v>678.5</v>
      </c>
      <c r="F175" s="60">
        <v>3</v>
      </c>
      <c r="G175" s="227">
        <f t="shared" si="2"/>
        <v>2035.5</v>
      </c>
      <c r="H175" s="227"/>
      <c r="I175" s="227"/>
      <c r="J175" s="227"/>
      <c r="K175" s="226"/>
      <c r="L175" s="226"/>
      <c r="M175" s="226"/>
      <c r="N175" s="227"/>
      <c r="O175" s="228"/>
    </row>
    <row r="176" spans="1:15" s="7" customFormat="1">
      <c r="A176" s="59">
        <v>62</v>
      </c>
      <c r="B176" s="60" t="s">
        <v>168</v>
      </c>
      <c r="C176" s="61" t="s">
        <v>169</v>
      </c>
      <c r="D176" s="59" t="s">
        <v>9</v>
      </c>
      <c r="E176" s="68">
        <v>678.5</v>
      </c>
      <c r="F176" s="60">
        <v>3</v>
      </c>
      <c r="G176" s="227">
        <f t="shared" si="2"/>
        <v>2035.5</v>
      </c>
      <c r="H176" s="227"/>
      <c r="I176" s="227"/>
      <c r="J176" s="227"/>
      <c r="K176" s="226"/>
      <c r="L176" s="226"/>
      <c r="M176" s="226"/>
      <c r="N176" s="227"/>
      <c r="O176" s="228"/>
    </row>
    <row r="177" spans="1:15" s="7" customFormat="1">
      <c r="A177" s="59">
        <v>63</v>
      </c>
      <c r="B177" s="60" t="s">
        <v>170</v>
      </c>
      <c r="C177" s="61" t="s">
        <v>171</v>
      </c>
      <c r="D177" s="59" t="s">
        <v>9</v>
      </c>
      <c r="E177" s="68">
        <v>678.5</v>
      </c>
      <c r="F177" s="60">
        <v>1</v>
      </c>
      <c r="G177" s="227">
        <f t="shared" si="2"/>
        <v>678.5</v>
      </c>
      <c r="H177" s="227"/>
      <c r="I177" s="227"/>
      <c r="J177" s="227"/>
      <c r="K177" s="226"/>
      <c r="L177" s="226"/>
      <c r="M177" s="226"/>
      <c r="N177" s="227"/>
      <c r="O177" s="228"/>
    </row>
    <row r="178" spans="1:15" s="7" customFormat="1">
      <c r="A178" s="59">
        <v>64</v>
      </c>
      <c r="B178" s="60" t="s">
        <v>170</v>
      </c>
      <c r="C178" s="61" t="s">
        <v>172</v>
      </c>
      <c r="D178" s="59" t="s">
        <v>9</v>
      </c>
      <c r="E178" s="68">
        <v>678.5</v>
      </c>
      <c r="F178" s="60">
        <v>7</v>
      </c>
      <c r="G178" s="227">
        <f t="shared" si="2"/>
        <v>4749.5</v>
      </c>
      <c r="H178" s="227"/>
      <c r="I178" s="227"/>
      <c r="J178" s="227"/>
      <c r="K178" s="226"/>
      <c r="L178" s="226"/>
      <c r="M178" s="226"/>
      <c r="N178" s="227"/>
      <c r="O178" s="228"/>
    </row>
    <row r="179" spans="1:15" s="7" customFormat="1">
      <c r="A179" s="59">
        <v>65</v>
      </c>
      <c r="B179" s="60" t="s">
        <v>170</v>
      </c>
      <c r="C179" s="61" t="s">
        <v>173</v>
      </c>
      <c r="D179" s="59" t="s">
        <v>9</v>
      </c>
      <c r="E179" s="68">
        <v>678.5</v>
      </c>
      <c r="F179" s="60">
        <v>2</v>
      </c>
      <c r="G179" s="227">
        <f t="shared" ref="G179:G242" si="3">E179*F179</f>
        <v>1357</v>
      </c>
      <c r="H179" s="227"/>
      <c r="I179" s="227"/>
      <c r="J179" s="227"/>
      <c r="K179" s="226"/>
      <c r="L179" s="226"/>
      <c r="M179" s="226"/>
      <c r="N179" s="227"/>
      <c r="O179" s="228"/>
    </row>
    <row r="180" spans="1:15" s="7" customFormat="1">
      <c r="A180" s="59">
        <v>66</v>
      </c>
      <c r="B180" s="60" t="s">
        <v>170</v>
      </c>
      <c r="C180" s="61" t="s">
        <v>174</v>
      </c>
      <c r="D180" s="59" t="s">
        <v>9</v>
      </c>
      <c r="E180" s="68">
        <v>678.5</v>
      </c>
      <c r="F180" s="60">
        <v>4</v>
      </c>
      <c r="G180" s="227">
        <f t="shared" si="3"/>
        <v>2714</v>
      </c>
      <c r="H180" s="227"/>
      <c r="I180" s="227"/>
      <c r="J180" s="227"/>
      <c r="K180" s="226"/>
      <c r="L180" s="226"/>
      <c r="M180" s="226"/>
      <c r="N180" s="227"/>
      <c r="O180" s="228"/>
    </row>
    <row r="181" spans="1:15" s="7" customFormat="1">
      <c r="A181" s="59">
        <v>67</v>
      </c>
      <c r="B181" s="60" t="s">
        <v>586</v>
      </c>
      <c r="C181" s="61" t="s">
        <v>587</v>
      </c>
      <c r="D181" s="59" t="s">
        <v>32</v>
      </c>
      <c r="E181" s="68">
        <v>5888.2</v>
      </c>
      <c r="F181" s="60">
        <v>3</v>
      </c>
      <c r="G181" s="227">
        <f t="shared" si="3"/>
        <v>17664.599999999999</v>
      </c>
      <c r="H181" s="227"/>
      <c r="I181" s="227"/>
      <c r="J181" s="227"/>
      <c r="K181" s="226"/>
      <c r="L181" s="226"/>
      <c r="M181" s="226"/>
      <c r="N181" s="227"/>
      <c r="O181" s="228"/>
    </row>
    <row r="182" spans="1:15" s="7" customFormat="1">
      <c r="A182" s="59">
        <v>68</v>
      </c>
      <c r="B182" s="60" t="s">
        <v>181</v>
      </c>
      <c r="C182" s="61" t="s">
        <v>182</v>
      </c>
      <c r="D182" s="59" t="s">
        <v>32</v>
      </c>
      <c r="E182" s="68">
        <v>50000</v>
      </c>
      <c r="F182" s="60">
        <v>6</v>
      </c>
      <c r="G182" s="227">
        <f t="shared" si="3"/>
        <v>300000</v>
      </c>
      <c r="H182" s="227"/>
      <c r="I182" s="227"/>
      <c r="J182" s="227"/>
      <c r="K182" s="226"/>
      <c r="L182" s="226"/>
      <c r="M182" s="226"/>
      <c r="N182" s="227"/>
      <c r="O182" s="228"/>
    </row>
    <row r="183" spans="1:15" s="7" customFormat="1">
      <c r="A183" s="59">
        <v>69</v>
      </c>
      <c r="B183" s="60" t="s">
        <v>26</v>
      </c>
      <c r="C183" s="61" t="s">
        <v>183</v>
      </c>
      <c r="D183" s="59" t="s">
        <v>32</v>
      </c>
      <c r="E183" s="68">
        <v>800</v>
      </c>
      <c r="F183" s="60">
        <v>7</v>
      </c>
      <c r="G183" s="227">
        <f t="shared" si="3"/>
        <v>5600</v>
      </c>
      <c r="H183" s="227"/>
      <c r="I183" s="227"/>
      <c r="J183" s="227"/>
      <c r="K183" s="226"/>
      <c r="L183" s="226"/>
      <c r="M183" s="226"/>
      <c r="N183" s="227"/>
      <c r="O183" s="228"/>
    </row>
    <row r="184" spans="1:15" s="7" customFormat="1">
      <c r="A184" s="59">
        <v>70</v>
      </c>
      <c r="B184" s="60" t="s">
        <v>184</v>
      </c>
      <c r="C184" s="61" t="s">
        <v>185</v>
      </c>
      <c r="D184" s="59" t="s">
        <v>32</v>
      </c>
      <c r="E184" s="68">
        <v>800</v>
      </c>
      <c r="F184" s="60">
        <v>23</v>
      </c>
      <c r="G184" s="227">
        <f t="shared" si="3"/>
        <v>18400</v>
      </c>
      <c r="H184" s="227"/>
      <c r="I184" s="227"/>
      <c r="J184" s="227"/>
      <c r="K184" s="226"/>
      <c r="L184" s="226"/>
      <c r="M184" s="226"/>
      <c r="N184" s="227"/>
      <c r="O184" s="228"/>
    </row>
    <row r="185" spans="1:15" s="7" customFormat="1">
      <c r="A185" s="59">
        <v>71</v>
      </c>
      <c r="B185" s="60" t="s">
        <v>186</v>
      </c>
      <c r="C185" s="61" t="s">
        <v>187</v>
      </c>
      <c r="D185" s="59" t="s">
        <v>32</v>
      </c>
      <c r="E185" s="68">
        <v>13564.099999999999</v>
      </c>
      <c r="F185" s="60">
        <v>1</v>
      </c>
      <c r="G185" s="227">
        <f t="shared" si="3"/>
        <v>13564.099999999999</v>
      </c>
      <c r="H185" s="227"/>
      <c r="I185" s="227"/>
      <c r="J185" s="227"/>
      <c r="K185" s="226"/>
      <c r="L185" s="226"/>
      <c r="M185" s="226"/>
      <c r="N185" s="227"/>
      <c r="O185" s="228"/>
    </row>
    <row r="186" spans="1:15" s="7" customFormat="1">
      <c r="A186" s="59">
        <v>72</v>
      </c>
      <c r="B186" s="60" t="s">
        <v>29</v>
      </c>
      <c r="C186" s="61" t="s">
        <v>188</v>
      </c>
      <c r="D186" s="59" t="s">
        <v>144</v>
      </c>
      <c r="E186" s="68">
        <v>6844</v>
      </c>
      <c r="F186" s="60">
        <v>2</v>
      </c>
      <c r="G186" s="227">
        <f t="shared" si="3"/>
        <v>13688</v>
      </c>
      <c r="H186" s="227"/>
      <c r="I186" s="227"/>
      <c r="J186" s="227"/>
      <c r="K186" s="226"/>
      <c r="L186" s="226"/>
      <c r="M186" s="226"/>
      <c r="N186" s="227"/>
      <c r="O186" s="228"/>
    </row>
    <row r="187" spans="1:15" s="7" customFormat="1">
      <c r="A187" s="59">
        <v>73</v>
      </c>
      <c r="B187" s="60" t="s">
        <v>29</v>
      </c>
      <c r="C187" s="61" t="s">
        <v>189</v>
      </c>
      <c r="D187" s="59" t="s">
        <v>144</v>
      </c>
      <c r="E187" s="68">
        <v>9711.4</v>
      </c>
      <c r="F187" s="60">
        <v>4</v>
      </c>
      <c r="G187" s="227">
        <f t="shared" si="3"/>
        <v>38845.599999999999</v>
      </c>
      <c r="H187" s="227"/>
      <c r="I187" s="227"/>
      <c r="J187" s="227"/>
      <c r="K187" s="226"/>
      <c r="L187" s="226"/>
      <c r="M187" s="226"/>
      <c r="N187" s="227"/>
      <c r="O187" s="228"/>
    </row>
    <row r="188" spans="1:15" s="7" customFormat="1">
      <c r="A188" s="59">
        <v>74</v>
      </c>
      <c r="B188" s="60" t="s">
        <v>29</v>
      </c>
      <c r="C188" s="61" t="s">
        <v>190</v>
      </c>
      <c r="D188" s="59" t="s">
        <v>10</v>
      </c>
      <c r="E188" s="68">
        <v>9735</v>
      </c>
      <c r="F188" s="60">
        <v>4</v>
      </c>
      <c r="G188" s="227">
        <f t="shared" si="3"/>
        <v>38940</v>
      </c>
      <c r="H188" s="227"/>
      <c r="I188" s="227"/>
      <c r="J188" s="227"/>
      <c r="K188" s="226"/>
      <c r="L188" s="226"/>
      <c r="M188" s="226"/>
      <c r="N188" s="227"/>
      <c r="O188" s="228"/>
    </row>
    <row r="189" spans="1:15" s="7" customFormat="1">
      <c r="A189" s="59">
        <v>75</v>
      </c>
      <c r="B189" s="60" t="s">
        <v>191</v>
      </c>
      <c r="C189" s="61" t="s">
        <v>192</v>
      </c>
      <c r="D189" s="59" t="s">
        <v>9</v>
      </c>
      <c r="E189" s="68">
        <v>9676</v>
      </c>
      <c r="F189" s="60">
        <v>1</v>
      </c>
      <c r="G189" s="227">
        <f t="shared" si="3"/>
        <v>9676</v>
      </c>
      <c r="H189" s="227"/>
      <c r="I189" s="227"/>
      <c r="J189" s="227"/>
      <c r="K189" s="226"/>
      <c r="L189" s="226"/>
      <c r="M189" s="226"/>
      <c r="N189" s="227"/>
      <c r="O189" s="228"/>
    </row>
    <row r="190" spans="1:15" s="7" customFormat="1">
      <c r="A190" s="59">
        <v>76</v>
      </c>
      <c r="B190" s="60" t="s">
        <v>191</v>
      </c>
      <c r="C190" s="61" t="s">
        <v>193</v>
      </c>
      <c r="D190" s="59" t="s">
        <v>10</v>
      </c>
      <c r="E190" s="68">
        <f>12800*1.18</f>
        <v>15104</v>
      </c>
      <c r="F190" s="60">
        <v>3</v>
      </c>
      <c r="G190" s="227">
        <f t="shared" si="3"/>
        <v>45312</v>
      </c>
      <c r="H190" s="227"/>
      <c r="I190" s="227"/>
      <c r="J190" s="227"/>
      <c r="K190" s="226"/>
      <c r="L190" s="226"/>
      <c r="M190" s="226"/>
      <c r="N190" s="227"/>
      <c r="O190" s="228"/>
    </row>
    <row r="191" spans="1:15" s="7" customFormat="1">
      <c r="A191" s="59">
        <v>77</v>
      </c>
      <c r="B191" s="60" t="s">
        <v>194</v>
      </c>
      <c r="C191" s="61" t="s">
        <v>195</v>
      </c>
      <c r="D191" s="59" t="s">
        <v>9</v>
      </c>
      <c r="E191" s="68">
        <v>9676</v>
      </c>
      <c r="F191" s="60">
        <v>1</v>
      </c>
      <c r="G191" s="227">
        <f t="shared" si="3"/>
        <v>9676</v>
      </c>
      <c r="H191" s="227"/>
      <c r="I191" s="227"/>
      <c r="J191" s="227"/>
      <c r="K191" s="226"/>
      <c r="L191" s="226"/>
      <c r="M191" s="226"/>
      <c r="N191" s="227"/>
      <c r="O191" s="228"/>
    </row>
    <row r="192" spans="1:15" s="7" customFormat="1">
      <c r="A192" s="59">
        <v>78</v>
      </c>
      <c r="B192" s="60" t="s">
        <v>194</v>
      </c>
      <c r="C192" s="61" t="s">
        <v>196</v>
      </c>
      <c r="D192" s="59" t="s">
        <v>10</v>
      </c>
      <c r="E192" s="68">
        <f>12800*1.18</f>
        <v>15104</v>
      </c>
      <c r="F192" s="60">
        <v>3</v>
      </c>
      <c r="G192" s="227">
        <f t="shared" si="3"/>
        <v>45312</v>
      </c>
      <c r="H192" s="227"/>
      <c r="I192" s="227"/>
      <c r="J192" s="227"/>
      <c r="K192" s="226"/>
      <c r="L192" s="226"/>
      <c r="M192" s="226"/>
      <c r="N192" s="227"/>
      <c r="O192" s="228"/>
    </row>
    <row r="193" spans="1:15" s="7" customFormat="1">
      <c r="A193" s="59">
        <v>79</v>
      </c>
      <c r="B193" s="60" t="s">
        <v>194</v>
      </c>
      <c r="C193" s="61" t="s">
        <v>197</v>
      </c>
      <c r="D193" s="59" t="s">
        <v>10</v>
      </c>
      <c r="E193" s="68">
        <f>10800*1.18</f>
        <v>12744</v>
      </c>
      <c r="F193" s="60">
        <v>3</v>
      </c>
      <c r="G193" s="227">
        <f t="shared" si="3"/>
        <v>38232</v>
      </c>
      <c r="H193" s="227"/>
      <c r="I193" s="227"/>
      <c r="J193" s="227"/>
      <c r="K193" s="226"/>
      <c r="L193" s="226"/>
      <c r="M193" s="226"/>
      <c r="N193" s="227"/>
      <c r="O193" s="228"/>
    </row>
    <row r="194" spans="1:15" s="7" customFormat="1">
      <c r="A194" s="59">
        <v>80</v>
      </c>
      <c r="B194" s="60" t="s">
        <v>198</v>
      </c>
      <c r="C194" s="61" t="s">
        <v>199</v>
      </c>
      <c r="D194" s="59" t="s">
        <v>10</v>
      </c>
      <c r="E194" s="68">
        <f>10000*1.18</f>
        <v>11800</v>
      </c>
      <c r="F194" s="60">
        <v>1</v>
      </c>
      <c r="G194" s="227">
        <f t="shared" si="3"/>
        <v>11800</v>
      </c>
      <c r="H194" s="227"/>
      <c r="I194" s="227"/>
      <c r="J194" s="227"/>
      <c r="K194" s="226"/>
      <c r="L194" s="226"/>
      <c r="M194" s="226"/>
      <c r="N194" s="227"/>
      <c r="O194" s="228"/>
    </row>
    <row r="195" spans="1:15" s="7" customFormat="1">
      <c r="A195" s="59">
        <v>81</v>
      </c>
      <c r="B195" s="60" t="s">
        <v>198</v>
      </c>
      <c r="C195" s="61" t="s">
        <v>779</v>
      </c>
      <c r="D195" s="59" t="s">
        <v>144</v>
      </c>
      <c r="E195" s="68">
        <v>6844</v>
      </c>
      <c r="F195" s="60">
        <v>5</v>
      </c>
      <c r="G195" s="227">
        <f t="shared" si="3"/>
        <v>34220</v>
      </c>
      <c r="H195" s="227"/>
      <c r="I195" s="227"/>
      <c r="J195" s="227"/>
      <c r="K195" s="226"/>
      <c r="L195" s="226"/>
      <c r="M195" s="226"/>
      <c r="N195" s="227"/>
      <c r="O195" s="228"/>
    </row>
    <row r="196" spans="1:15" s="7" customFormat="1">
      <c r="A196" s="59">
        <v>82</v>
      </c>
      <c r="B196" s="60" t="s">
        <v>200</v>
      </c>
      <c r="C196" s="61" t="s">
        <v>201</v>
      </c>
      <c r="D196" s="59" t="s">
        <v>10</v>
      </c>
      <c r="E196" s="68">
        <f>9800*1.18</f>
        <v>11564</v>
      </c>
      <c r="F196" s="60">
        <v>1</v>
      </c>
      <c r="G196" s="227">
        <f t="shared" si="3"/>
        <v>11564</v>
      </c>
      <c r="H196" s="227"/>
      <c r="I196" s="227"/>
      <c r="J196" s="227"/>
      <c r="K196" s="226"/>
      <c r="L196" s="226"/>
      <c r="M196" s="226"/>
      <c r="N196" s="227"/>
      <c r="O196" s="228"/>
    </row>
    <row r="197" spans="1:15" s="7" customFormat="1">
      <c r="A197" s="59">
        <v>83</v>
      </c>
      <c r="B197" s="60" t="s">
        <v>200</v>
      </c>
      <c r="C197" s="61" t="s">
        <v>780</v>
      </c>
      <c r="D197" s="59" t="s">
        <v>144</v>
      </c>
      <c r="E197" s="68">
        <v>6844</v>
      </c>
      <c r="F197" s="60">
        <v>2</v>
      </c>
      <c r="G197" s="227">
        <f t="shared" si="3"/>
        <v>13688</v>
      </c>
      <c r="H197" s="227"/>
      <c r="I197" s="227"/>
      <c r="J197" s="227"/>
      <c r="K197" s="226"/>
      <c r="L197" s="226"/>
      <c r="M197" s="226"/>
      <c r="N197" s="227"/>
      <c r="O197" s="228"/>
    </row>
    <row r="198" spans="1:15" s="7" customFormat="1">
      <c r="A198" s="59">
        <v>84</v>
      </c>
      <c r="B198" s="60" t="s">
        <v>202</v>
      </c>
      <c r="C198" s="61" t="s">
        <v>203</v>
      </c>
      <c r="D198" s="59" t="s">
        <v>10</v>
      </c>
      <c r="E198" s="68">
        <f>9850*1.18</f>
        <v>11623</v>
      </c>
      <c r="F198" s="60">
        <v>2</v>
      </c>
      <c r="G198" s="227">
        <f t="shared" si="3"/>
        <v>23246</v>
      </c>
      <c r="H198" s="227"/>
      <c r="I198" s="227"/>
      <c r="J198" s="227"/>
      <c r="K198" s="226"/>
      <c r="L198" s="226"/>
      <c r="M198" s="226"/>
      <c r="N198" s="227"/>
      <c r="O198" s="228"/>
    </row>
    <row r="199" spans="1:15" s="7" customFormat="1">
      <c r="A199" s="59">
        <v>85</v>
      </c>
      <c r="B199" s="60" t="s">
        <v>204</v>
      </c>
      <c r="C199" s="61" t="s">
        <v>205</v>
      </c>
      <c r="D199" s="59" t="s">
        <v>10</v>
      </c>
      <c r="E199" s="68">
        <f>9850*1.18</f>
        <v>11623</v>
      </c>
      <c r="F199" s="60">
        <v>2</v>
      </c>
      <c r="G199" s="227">
        <f t="shared" si="3"/>
        <v>23246</v>
      </c>
      <c r="H199" s="227"/>
      <c r="I199" s="227"/>
      <c r="J199" s="227"/>
      <c r="K199" s="226"/>
      <c r="L199" s="226"/>
      <c r="M199" s="226"/>
      <c r="N199" s="227"/>
      <c r="O199" s="228"/>
    </row>
    <row r="200" spans="1:15" s="7" customFormat="1">
      <c r="A200" s="59">
        <v>86</v>
      </c>
      <c r="B200" s="60" t="s">
        <v>206</v>
      </c>
      <c r="C200" s="61" t="s">
        <v>207</v>
      </c>
      <c r="D200" s="59" t="s">
        <v>8</v>
      </c>
      <c r="E200" s="68">
        <v>100000</v>
      </c>
      <c r="F200" s="60">
        <v>1</v>
      </c>
      <c r="G200" s="227">
        <f t="shared" si="3"/>
        <v>100000</v>
      </c>
      <c r="H200" s="227"/>
      <c r="I200" s="227"/>
      <c r="J200" s="227"/>
      <c r="K200" s="226"/>
      <c r="L200" s="226"/>
      <c r="M200" s="226"/>
      <c r="N200" s="227"/>
      <c r="O200" s="228"/>
    </row>
    <row r="201" spans="1:15" s="7" customFormat="1">
      <c r="A201" s="59">
        <v>87</v>
      </c>
      <c r="B201" s="60" t="s">
        <v>34</v>
      </c>
      <c r="C201" s="61" t="s">
        <v>208</v>
      </c>
      <c r="D201" s="59" t="s">
        <v>32</v>
      </c>
      <c r="E201" s="68">
        <v>49560</v>
      </c>
      <c r="F201" s="60">
        <v>1</v>
      </c>
      <c r="G201" s="227">
        <f t="shared" si="3"/>
        <v>49560</v>
      </c>
      <c r="H201" s="227"/>
      <c r="I201" s="227"/>
      <c r="J201" s="227"/>
      <c r="K201" s="226"/>
      <c r="L201" s="226"/>
      <c r="M201" s="226"/>
      <c r="N201" s="227"/>
      <c r="O201" s="228"/>
    </row>
    <row r="202" spans="1:15" s="7" customFormat="1">
      <c r="A202" s="59">
        <v>88</v>
      </c>
      <c r="B202" s="60" t="s">
        <v>63</v>
      </c>
      <c r="C202" s="61" t="s">
        <v>231</v>
      </c>
      <c r="D202" s="59" t="s">
        <v>53</v>
      </c>
      <c r="E202" s="68">
        <f>315*1.18</f>
        <v>371.7</v>
      </c>
      <c r="F202" s="60">
        <v>242</v>
      </c>
      <c r="G202" s="227">
        <f t="shared" si="3"/>
        <v>89951.4</v>
      </c>
      <c r="H202" s="227"/>
      <c r="I202" s="227"/>
      <c r="J202" s="227"/>
      <c r="K202" s="226"/>
      <c r="L202" s="226"/>
      <c r="M202" s="226"/>
      <c r="N202" s="227"/>
      <c r="O202" s="228"/>
    </row>
    <row r="203" spans="1:15" s="7" customFormat="1">
      <c r="A203" s="59">
        <v>89</v>
      </c>
      <c r="B203" s="60" t="s">
        <v>63</v>
      </c>
      <c r="C203" s="61" t="s">
        <v>230</v>
      </c>
      <c r="D203" s="59" t="s">
        <v>32</v>
      </c>
      <c r="E203" s="68">
        <f>250*1.18</f>
        <v>295</v>
      </c>
      <c r="F203" s="60">
        <v>30</v>
      </c>
      <c r="G203" s="227">
        <f t="shared" si="3"/>
        <v>8850</v>
      </c>
      <c r="H203" s="227"/>
      <c r="I203" s="227"/>
      <c r="J203" s="227"/>
      <c r="K203" s="226"/>
      <c r="L203" s="226"/>
      <c r="M203" s="226"/>
      <c r="N203" s="227"/>
      <c r="O203" s="228"/>
    </row>
    <row r="204" spans="1:15" s="7" customFormat="1">
      <c r="A204" s="59">
        <v>90</v>
      </c>
      <c r="B204" s="60" t="s">
        <v>63</v>
      </c>
      <c r="C204" s="61" t="s">
        <v>229</v>
      </c>
      <c r="D204" s="59" t="s">
        <v>32</v>
      </c>
      <c r="E204" s="68">
        <f>4000*1.18</f>
        <v>4720</v>
      </c>
      <c r="F204" s="60">
        <v>6</v>
      </c>
      <c r="G204" s="227">
        <f t="shared" si="3"/>
        <v>28320</v>
      </c>
      <c r="H204" s="227"/>
      <c r="I204" s="227"/>
      <c r="J204" s="227"/>
      <c r="K204" s="226"/>
      <c r="L204" s="226"/>
      <c r="M204" s="226"/>
      <c r="N204" s="227"/>
      <c r="O204" s="228"/>
    </row>
    <row r="205" spans="1:15" s="7" customFormat="1">
      <c r="A205" s="59">
        <v>91</v>
      </c>
      <c r="B205" s="60" t="s">
        <v>63</v>
      </c>
      <c r="C205" s="61" t="s">
        <v>228</v>
      </c>
      <c r="D205" s="59" t="s">
        <v>32</v>
      </c>
      <c r="E205" s="68">
        <f>1500*1.18</f>
        <v>1770</v>
      </c>
      <c r="F205" s="60">
        <v>12</v>
      </c>
      <c r="G205" s="227">
        <f t="shared" si="3"/>
        <v>21240</v>
      </c>
      <c r="H205" s="227"/>
      <c r="I205" s="227"/>
      <c r="J205" s="227"/>
      <c r="K205" s="226"/>
      <c r="L205" s="226"/>
      <c r="M205" s="226"/>
      <c r="N205" s="227"/>
      <c r="O205" s="228"/>
    </row>
    <row r="206" spans="1:15" s="7" customFormat="1">
      <c r="A206" s="59">
        <v>92</v>
      </c>
      <c r="B206" s="60" t="s">
        <v>63</v>
      </c>
      <c r="C206" s="61" t="s">
        <v>227</v>
      </c>
      <c r="D206" s="59" t="s">
        <v>32</v>
      </c>
      <c r="E206" s="68">
        <f>1500*1.18</f>
        <v>1770</v>
      </c>
      <c r="F206" s="60">
        <v>9</v>
      </c>
      <c r="G206" s="227">
        <f t="shared" si="3"/>
        <v>15930</v>
      </c>
      <c r="H206" s="227"/>
      <c r="I206" s="227"/>
      <c r="J206" s="227"/>
      <c r="K206" s="226"/>
      <c r="L206" s="226"/>
      <c r="M206" s="226"/>
      <c r="N206" s="227"/>
      <c r="O206" s="228"/>
    </row>
    <row r="207" spans="1:15" s="7" customFormat="1">
      <c r="A207" s="59">
        <v>93</v>
      </c>
      <c r="B207" s="60" t="s">
        <v>63</v>
      </c>
      <c r="C207" s="61" t="s">
        <v>226</v>
      </c>
      <c r="D207" s="59" t="s">
        <v>32</v>
      </c>
      <c r="E207" s="68">
        <f>2400*1.18</f>
        <v>2832</v>
      </c>
      <c r="F207" s="60">
        <v>4</v>
      </c>
      <c r="G207" s="227">
        <f t="shared" si="3"/>
        <v>11328</v>
      </c>
      <c r="H207" s="227"/>
      <c r="I207" s="227"/>
      <c r="J207" s="227"/>
      <c r="K207" s="226"/>
      <c r="L207" s="226"/>
      <c r="M207" s="226"/>
      <c r="N207" s="227"/>
      <c r="O207" s="228"/>
    </row>
    <row r="208" spans="1:15" s="7" customFormat="1">
      <c r="A208" s="59">
        <v>94</v>
      </c>
      <c r="B208" s="60" t="s">
        <v>90</v>
      </c>
      <c r="C208" s="61" t="s">
        <v>225</v>
      </c>
      <c r="D208" s="59" t="s">
        <v>32</v>
      </c>
      <c r="E208" s="68">
        <f>1900*1.18</f>
        <v>2242</v>
      </c>
      <c r="F208" s="60">
        <v>4</v>
      </c>
      <c r="G208" s="227">
        <f t="shared" si="3"/>
        <v>8968</v>
      </c>
      <c r="H208" s="227"/>
      <c r="I208" s="227"/>
      <c r="J208" s="227"/>
      <c r="K208" s="226"/>
      <c r="L208" s="226"/>
      <c r="M208" s="226"/>
      <c r="N208" s="227"/>
      <c r="O208" s="228"/>
    </row>
    <row r="209" spans="1:15" s="7" customFormat="1">
      <c r="A209" s="59">
        <v>95</v>
      </c>
      <c r="B209" s="59" t="s">
        <v>338</v>
      </c>
      <c r="C209" s="61" t="s">
        <v>588</v>
      </c>
      <c r="D209" s="59" t="s">
        <v>32</v>
      </c>
      <c r="E209" s="177">
        <v>10000</v>
      </c>
      <c r="F209" s="60">
        <v>29</v>
      </c>
      <c r="G209" s="228">
        <f>E209*F209</f>
        <v>290000</v>
      </c>
      <c r="H209" s="227"/>
      <c r="I209" s="227"/>
      <c r="J209" s="227"/>
      <c r="K209" s="226"/>
      <c r="L209" s="226"/>
      <c r="M209" s="226"/>
      <c r="N209" s="227"/>
      <c r="O209" s="228"/>
    </row>
    <row r="210" spans="1:15" s="7" customFormat="1" ht="28.5">
      <c r="A210" s="59">
        <v>96</v>
      </c>
      <c r="B210" s="60" t="s">
        <v>334</v>
      </c>
      <c r="C210" s="61" t="s">
        <v>224</v>
      </c>
      <c r="D210" s="59" t="s">
        <v>32</v>
      </c>
      <c r="E210" s="68">
        <f>3350*1.18</f>
        <v>3953</v>
      </c>
      <c r="F210" s="60">
        <v>1</v>
      </c>
      <c r="G210" s="227">
        <f t="shared" si="3"/>
        <v>3953</v>
      </c>
      <c r="H210" s="227"/>
      <c r="I210" s="227"/>
      <c r="J210" s="227"/>
      <c r="K210" s="226"/>
      <c r="L210" s="226"/>
      <c r="M210" s="226"/>
      <c r="N210" s="227"/>
      <c r="O210" s="228"/>
    </row>
    <row r="211" spans="1:15" s="7" customFormat="1" ht="28.5">
      <c r="A211" s="59">
        <v>97</v>
      </c>
      <c r="B211" s="60" t="s">
        <v>334</v>
      </c>
      <c r="C211" s="61" t="s">
        <v>223</v>
      </c>
      <c r="D211" s="59" t="s">
        <v>32</v>
      </c>
      <c r="E211" s="68">
        <f>3400*1.18</f>
        <v>4012</v>
      </c>
      <c r="F211" s="60">
        <v>4</v>
      </c>
      <c r="G211" s="227">
        <f t="shared" si="3"/>
        <v>16048</v>
      </c>
      <c r="H211" s="227"/>
      <c r="I211" s="227"/>
      <c r="J211" s="227"/>
      <c r="K211" s="226"/>
      <c r="L211" s="226"/>
      <c r="M211" s="226"/>
      <c r="N211" s="227"/>
      <c r="O211" s="228"/>
    </row>
    <row r="212" spans="1:15" s="7" customFormat="1" ht="28.5">
      <c r="A212" s="59">
        <v>98</v>
      </c>
      <c r="B212" s="60" t="s">
        <v>334</v>
      </c>
      <c r="C212" s="61" t="s">
        <v>222</v>
      </c>
      <c r="D212" s="59" t="s">
        <v>32</v>
      </c>
      <c r="E212" s="68">
        <f>3400*1.18</f>
        <v>4012</v>
      </c>
      <c r="F212" s="60">
        <v>2</v>
      </c>
      <c r="G212" s="227">
        <f t="shared" si="3"/>
        <v>8024</v>
      </c>
      <c r="H212" s="227"/>
      <c r="I212" s="227"/>
      <c r="J212" s="227"/>
      <c r="K212" s="226"/>
      <c r="L212" s="226"/>
      <c r="M212" s="226"/>
      <c r="N212" s="227"/>
      <c r="O212" s="228"/>
    </row>
    <row r="213" spans="1:15" s="7" customFormat="1">
      <c r="A213" s="59">
        <v>99</v>
      </c>
      <c r="B213" s="60" t="s">
        <v>334</v>
      </c>
      <c r="C213" s="61" t="s">
        <v>221</v>
      </c>
      <c r="D213" s="59" t="s">
        <v>32</v>
      </c>
      <c r="E213" s="68">
        <f>3400*1.18</f>
        <v>4012</v>
      </c>
      <c r="F213" s="60">
        <v>1</v>
      </c>
      <c r="G213" s="227">
        <f t="shared" si="3"/>
        <v>4012</v>
      </c>
      <c r="H213" s="227"/>
      <c r="I213" s="227"/>
      <c r="J213" s="227"/>
      <c r="K213" s="226"/>
      <c r="L213" s="226"/>
      <c r="M213" s="226"/>
      <c r="N213" s="227"/>
      <c r="O213" s="228"/>
    </row>
    <row r="214" spans="1:15" s="7" customFormat="1">
      <c r="A214" s="59">
        <v>100</v>
      </c>
      <c r="B214" s="60" t="s">
        <v>334</v>
      </c>
      <c r="C214" s="61" t="s">
        <v>220</v>
      </c>
      <c r="D214" s="59" t="s">
        <v>32</v>
      </c>
      <c r="E214" s="68">
        <f>3450*1.18</f>
        <v>4071</v>
      </c>
      <c r="F214" s="60">
        <v>4</v>
      </c>
      <c r="G214" s="227">
        <f t="shared" si="3"/>
        <v>16284</v>
      </c>
      <c r="H214" s="227"/>
      <c r="I214" s="227"/>
      <c r="J214" s="227"/>
      <c r="K214" s="226"/>
      <c r="L214" s="226"/>
      <c r="M214" s="226"/>
      <c r="N214" s="227"/>
      <c r="O214" s="228"/>
    </row>
    <row r="215" spans="1:15" s="7" customFormat="1" ht="28.5">
      <c r="A215" s="59">
        <v>101</v>
      </c>
      <c r="B215" s="60" t="s">
        <v>334</v>
      </c>
      <c r="C215" s="61" t="s">
        <v>219</v>
      </c>
      <c r="D215" s="59" t="s">
        <v>32</v>
      </c>
      <c r="E215" s="68">
        <f>3460*1.18</f>
        <v>4082.7999999999997</v>
      </c>
      <c r="F215" s="60">
        <v>2</v>
      </c>
      <c r="G215" s="227">
        <f t="shared" si="3"/>
        <v>8165.5999999999995</v>
      </c>
      <c r="H215" s="227"/>
      <c r="I215" s="227"/>
      <c r="J215" s="227"/>
      <c r="K215" s="226"/>
      <c r="L215" s="226"/>
      <c r="M215" s="226"/>
      <c r="N215" s="227"/>
      <c r="O215" s="228"/>
    </row>
    <row r="216" spans="1:15" s="7" customFormat="1">
      <c r="A216" s="59">
        <v>102</v>
      </c>
      <c r="B216" s="60" t="s">
        <v>35</v>
      </c>
      <c r="C216" s="61" t="s">
        <v>36</v>
      </c>
      <c r="D216" s="59" t="s">
        <v>12</v>
      </c>
      <c r="E216" s="68">
        <v>202456.15</v>
      </c>
      <c r="F216" s="60">
        <v>1.9379999999999999</v>
      </c>
      <c r="G216" s="227">
        <f t="shared" si="3"/>
        <v>392360.01869999996</v>
      </c>
      <c r="H216" s="227"/>
      <c r="I216" s="227"/>
      <c r="J216" s="227"/>
      <c r="K216" s="226"/>
      <c r="L216" s="226"/>
      <c r="M216" s="226"/>
      <c r="N216" s="227"/>
      <c r="O216" s="228"/>
    </row>
    <row r="217" spans="1:15" s="7" customFormat="1">
      <c r="A217" s="59">
        <v>103</v>
      </c>
      <c r="B217" s="60" t="s">
        <v>37</v>
      </c>
      <c r="C217" s="61" t="s">
        <v>38</v>
      </c>
      <c r="D217" s="59" t="s">
        <v>8</v>
      </c>
      <c r="E217" s="68">
        <v>25000</v>
      </c>
      <c r="F217" s="60">
        <v>1</v>
      </c>
      <c r="G217" s="227">
        <f t="shared" si="3"/>
        <v>25000</v>
      </c>
      <c r="H217" s="227"/>
      <c r="I217" s="227"/>
      <c r="J217" s="227"/>
      <c r="K217" s="226"/>
      <c r="L217" s="226"/>
      <c r="M217" s="226"/>
      <c r="N217" s="227"/>
      <c r="O217" s="228"/>
    </row>
    <row r="218" spans="1:15" s="7" customFormat="1" ht="42.75">
      <c r="A218" s="59">
        <v>104</v>
      </c>
      <c r="B218" s="60" t="s">
        <v>55</v>
      </c>
      <c r="C218" s="61" t="s">
        <v>56</v>
      </c>
      <c r="D218" s="59" t="s">
        <v>24</v>
      </c>
      <c r="E218" s="68">
        <v>73828.899999999994</v>
      </c>
      <c r="F218" s="60">
        <v>1</v>
      </c>
      <c r="G218" s="227">
        <f t="shared" si="3"/>
        <v>73828.899999999994</v>
      </c>
      <c r="H218" s="227"/>
      <c r="I218" s="227"/>
      <c r="J218" s="227"/>
      <c r="K218" s="226"/>
      <c r="L218" s="226"/>
      <c r="M218" s="226"/>
      <c r="N218" s="227"/>
      <c r="O218" s="228"/>
    </row>
    <row r="219" spans="1:15" s="7" customFormat="1">
      <c r="A219" s="59">
        <v>105</v>
      </c>
      <c r="B219" s="60" t="s">
        <v>59</v>
      </c>
      <c r="C219" s="61" t="s">
        <v>60</v>
      </c>
      <c r="D219" s="59" t="s">
        <v>8</v>
      </c>
      <c r="E219" s="68">
        <v>17255.669999999998</v>
      </c>
      <c r="F219" s="60">
        <v>2</v>
      </c>
      <c r="G219" s="227">
        <f t="shared" si="3"/>
        <v>34511.339999999997</v>
      </c>
      <c r="H219" s="227"/>
      <c r="I219" s="227"/>
      <c r="J219" s="227"/>
      <c r="K219" s="226"/>
      <c r="L219" s="226"/>
      <c r="M219" s="226"/>
      <c r="N219" s="227"/>
      <c r="O219" s="228"/>
    </row>
    <row r="220" spans="1:15" s="7" customFormat="1" ht="28.5">
      <c r="A220" s="59">
        <v>106</v>
      </c>
      <c r="B220" s="60" t="s">
        <v>28</v>
      </c>
      <c r="C220" s="61" t="s">
        <v>110</v>
      </c>
      <c r="D220" s="59" t="s">
        <v>10</v>
      </c>
      <c r="E220" s="68">
        <v>20</v>
      </c>
      <c r="F220" s="60">
        <v>2</v>
      </c>
      <c r="G220" s="227">
        <f t="shared" si="3"/>
        <v>40</v>
      </c>
      <c r="H220" s="227"/>
      <c r="I220" s="227"/>
      <c r="J220" s="227"/>
      <c r="K220" s="226"/>
      <c r="L220" s="226"/>
      <c r="M220" s="226"/>
      <c r="N220" s="227"/>
      <c r="O220" s="228"/>
    </row>
    <row r="221" spans="1:15" s="7" customFormat="1" ht="71.25">
      <c r="A221" s="59">
        <v>107</v>
      </c>
      <c r="B221" s="60" t="s">
        <v>111</v>
      </c>
      <c r="C221" s="61" t="s">
        <v>112</v>
      </c>
      <c r="D221" s="59" t="s">
        <v>9</v>
      </c>
      <c r="E221" s="68">
        <v>8</v>
      </c>
      <c r="F221" s="60">
        <v>1</v>
      </c>
      <c r="G221" s="227">
        <f t="shared" si="3"/>
        <v>8</v>
      </c>
      <c r="H221" s="227"/>
      <c r="I221" s="227"/>
      <c r="J221" s="227"/>
      <c r="K221" s="226"/>
      <c r="L221" s="226"/>
      <c r="M221" s="226"/>
      <c r="N221" s="227"/>
      <c r="O221" s="228"/>
    </row>
    <row r="222" spans="1:15" s="7" customFormat="1">
      <c r="A222" s="59">
        <v>108</v>
      </c>
      <c r="B222" s="60" t="s">
        <v>68</v>
      </c>
      <c r="C222" s="61" t="s">
        <v>69</v>
      </c>
      <c r="D222" s="59" t="s">
        <v>70</v>
      </c>
      <c r="E222" s="68">
        <v>1000</v>
      </c>
      <c r="F222" s="60">
        <v>2</v>
      </c>
      <c r="G222" s="227">
        <f t="shared" si="3"/>
        <v>2000</v>
      </c>
      <c r="H222" s="227"/>
      <c r="I222" s="227"/>
      <c r="J222" s="227"/>
      <c r="K222" s="226"/>
      <c r="L222" s="226"/>
      <c r="M222" s="226"/>
      <c r="N222" s="227"/>
      <c r="O222" s="228"/>
    </row>
    <row r="223" spans="1:15" s="7" customFormat="1">
      <c r="A223" s="59">
        <v>109</v>
      </c>
      <c r="B223" s="60" t="s">
        <v>73</v>
      </c>
      <c r="C223" s="61" t="s">
        <v>74</v>
      </c>
      <c r="D223" s="59" t="s">
        <v>25</v>
      </c>
      <c r="E223" s="68">
        <v>500</v>
      </c>
      <c r="F223" s="60">
        <v>1</v>
      </c>
      <c r="G223" s="227">
        <f t="shared" si="3"/>
        <v>500</v>
      </c>
      <c r="H223" s="227"/>
      <c r="I223" s="227"/>
      <c r="J223" s="227"/>
      <c r="K223" s="226"/>
      <c r="L223" s="226"/>
      <c r="M223" s="226"/>
      <c r="N223" s="227"/>
      <c r="O223" s="228"/>
    </row>
    <row r="224" spans="1:15" s="7" customFormat="1">
      <c r="A224" s="59">
        <v>110</v>
      </c>
      <c r="B224" s="60" t="s">
        <v>79</v>
      </c>
      <c r="C224" s="61" t="s">
        <v>80</v>
      </c>
      <c r="D224" s="59" t="s">
        <v>25</v>
      </c>
      <c r="E224" s="68">
        <v>19212</v>
      </c>
      <c r="F224" s="60">
        <v>1</v>
      </c>
      <c r="G224" s="227">
        <f t="shared" si="3"/>
        <v>19212</v>
      </c>
      <c r="H224" s="227"/>
      <c r="I224" s="227"/>
      <c r="J224" s="227"/>
      <c r="K224" s="226"/>
      <c r="L224" s="226"/>
      <c r="M224" s="226"/>
      <c r="N224" s="227"/>
      <c r="O224" s="228"/>
    </row>
    <row r="225" spans="1:15" s="7" customFormat="1">
      <c r="A225" s="59">
        <v>111</v>
      </c>
      <c r="B225" s="60" t="s">
        <v>107</v>
      </c>
      <c r="C225" s="61" t="s">
        <v>123</v>
      </c>
      <c r="D225" s="59" t="s">
        <v>31</v>
      </c>
      <c r="E225" s="68">
        <v>2200</v>
      </c>
      <c r="F225" s="60">
        <v>60</v>
      </c>
      <c r="G225" s="227">
        <f t="shared" si="3"/>
        <v>132000</v>
      </c>
      <c r="H225" s="227"/>
      <c r="I225" s="227"/>
      <c r="J225" s="227"/>
      <c r="K225" s="226"/>
      <c r="L225" s="226"/>
      <c r="M225" s="226"/>
      <c r="N225" s="227"/>
      <c r="O225" s="228"/>
    </row>
    <row r="226" spans="1:15" s="7" customFormat="1" ht="28.5">
      <c r="A226" s="59">
        <v>112</v>
      </c>
      <c r="B226" s="60" t="s">
        <v>37</v>
      </c>
      <c r="C226" s="61" t="s">
        <v>39</v>
      </c>
      <c r="D226" s="59" t="s">
        <v>32</v>
      </c>
      <c r="E226" s="68">
        <v>50740</v>
      </c>
      <c r="F226" s="60">
        <v>1</v>
      </c>
      <c r="G226" s="227">
        <f t="shared" si="3"/>
        <v>50740</v>
      </c>
      <c r="H226" s="227"/>
      <c r="I226" s="227"/>
      <c r="J226" s="227"/>
      <c r="K226" s="226"/>
      <c r="L226" s="226"/>
      <c r="M226" s="226"/>
      <c r="N226" s="227"/>
      <c r="O226" s="228"/>
    </row>
    <row r="227" spans="1:15" s="7" customFormat="1">
      <c r="A227" s="59">
        <v>113</v>
      </c>
      <c r="B227" s="60" t="s">
        <v>37</v>
      </c>
      <c r="C227" s="61" t="s">
        <v>40</v>
      </c>
      <c r="D227" s="59" t="s">
        <v>32</v>
      </c>
      <c r="E227" s="68">
        <v>50740</v>
      </c>
      <c r="F227" s="60">
        <v>1</v>
      </c>
      <c r="G227" s="227">
        <f t="shared" si="3"/>
        <v>50740</v>
      </c>
      <c r="H227" s="227"/>
      <c r="I227" s="227"/>
      <c r="J227" s="227"/>
      <c r="K227" s="226"/>
      <c r="L227" s="226"/>
      <c r="M227" s="226"/>
      <c r="N227" s="227"/>
      <c r="O227" s="228"/>
    </row>
    <row r="228" spans="1:15" s="7" customFormat="1">
      <c r="A228" s="59">
        <v>114</v>
      </c>
      <c r="B228" s="60" t="s">
        <v>41</v>
      </c>
      <c r="C228" s="61" t="s">
        <v>42</v>
      </c>
      <c r="D228" s="59" t="s">
        <v>32</v>
      </c>
      <c r="E228" s="68">
        <v>326140.2</v>
      </c>
      <c r="F228" s="60">
        <v>1</v>
      </c>
      <c r="G228" s="227">
        <f t="shared" si="3"/>
        <v>326140.2</v>
      </c>
      <c r="H228" s="227"/>
      <c r="I228" s="227"/>
      <c r="J228" s="227"/>
      <c r="K228" s="226"/>
      <c r="L228" s="226"/>
      <c r="M228" s="226"/>
      <c r="N228" s="227"/>
      <c r="O228" s="228"/>
    </row>
    <row r="229" spans="1:15" s="7" customFormat="1">
      <c r="A229" s="59">
        <v>115</v>
      </c>
      <c r="B229" s="60" t="s">
        <v>57</v>
      </c>
      <c r="C229" s="61" t="s">
        <v>58</v>
      </c>
      <c r="D229" s="59" t="s">
        <v>32</v>
      </c>
      <c r="E229" s="68">
        <v>179286.22</v>
      </c>
      <c r="F229" s="60">
        <v>4</v>
      </c>
      <c r="G229" s="227">
        <f t="shared" si="3"/>
        <v>717144.88</v>
      </c>
      <c r="H229" s="227"/>
      <c r="I229" s="227"/>
      <c r="J229" s="227"/>
      <c r="K229" s="226"/>
      <c r="L229" s="226"/>
      <c r="M229" s="226"/>
      <c r="N229" s="227"/>
      <c r="O229" s="228"/>
    </row>
    <row r="230" spans="1:15" s="7" customFormat="1">
      <c r="A230" s="59">
        <v>116</v>
      </c>
      <c r="B230" s="60" t="s">
        <v>73</v>
      </c>
      <c r="C230" s="61" t="s">
        <v>75</v>
      </c>
      <c r="D230" s="59" t="s">
        <v>32</v>
      </c>
      <c r="E230" s="68">
        <v>684400</v>
      </c>
      <c r="F230" s="60">
        <v>3</v>
      </c>
      <c r="G230" s="227">
        <f t="shared" si="3"/>
        <v>2053200</v>
      </c>
      <c r="H230" s="227"/>
      <c r="I230" s="227"/>
      <c r="J230" s="227"/>
      <c r="K230" s="226"/>
      <c r="L230" s="226"/>
      <c r="M230" s="226"/>
      <c r="N230" s="227"/>
      <c r="O230" s="228"/>
    </row>
    <row r="231" spans="1:15" s="7" customFormat="1">
      <c r="A231" s="59">
        <v>117</v>
      </c>
      <c r="B231" s="60" t="s">
        <v>73</v>
      </c>
      <c r="C231" s="61" t="s">
        <v>75</v>
      </c>
      <c r="D231" s="59" t="s">
        <v>32</v>
      </c>
      <c r="E231" s="68">
        <v>621860</v>
      </c>
      <c r="F231" s="60">
        <v>2</v>
      </c>
      <c r="G231" s="227">
        <f t="shared" si="3"/>
        <v>1243720</v>
      </c>
      <c r="H231" s="227"/>
      <c r="I231" s="227"/>
      <c r="J231" s="227"/>
      <c r="K231" s="226"/>
      <c r="L231" s="226"/>
      <c r="M231" s="226"/>
      <c r="N231" s="227"/>
      <c r="O231" s="228"/>
    </row>
    <row r="232" spans="1:15" s="7" customFormat="1">
      <c r="A232" s="59">
        <v>118</v>
      </c>
      <c r="B232" s="60" t="s">
        <v>73</v>
      </c>
      <c r="C232" s="61" t="s">
        <v>76</v>
      </c>
      <c r="D232" s="59" t="s">
        <v>32</v>
      </c>
      <c r="E232" s="68">
        <v>938100</v>
      </c>
      <c r="F232" s="60">
        <v>2</v>
      </c>
      <c r="G232" s="227">
        <f t="shared" si="3"/>
        <v>1876200</v>
      </c>
      <c r="H232" s="227"/>
      <c r="I232" s="227"/>
      <c r="J232" s="227"/>
      <c r="K232" s="226"/>
      <c r="L232" s="226"/>
      <c r="M232" s="226"/>
      <c r="N232" s="227"/>
      <c r="O232" s="228"/>
    </row>
    <row r="233" spans="1:15" s="7" customFormat="1" ht="28.5">
      <c r="A233" s="59">
        <v>119</v>
      </c>
      <c r="B233" s="60" t="s">
        <v>117</v>
      </c>
      <c r="C233" s="61" t="s">
        <v>118</v>
      </c>
      <c r="D233" s="59" t="s">
        <v>31</v>
      </c>
      <c r="E233" s="68">
        <v>105.79</v>
      </c>
      <c r="F233" s="60">
        <v>580</v>
      </c>
      <c r="G233" s="227">
        <f t="shared" si="3"/>
        <v>61358.200000000004</v>
      </c>
      <c r="H233" s="227"/>
      <c r="I233" s="227"/>
      <c r="J233" s="227"/>
      <c r="K233" s="226"/>
      <c r="L233" s="226"/>
      <c r="M233" s="226"/>
      <c r="N233" s="227"/>
      <c r="O233" s="228"/>
    </row>
    <row r="234" spans="1:15" s="7" customFormat="1">
      <c r="A234" s="59">
        <v>120</v>
      </c>
      <c r="B234" s="60" t="s">
        <v>119</v>
      </c>
      <c r="C234" s="61" t="s">
        <v>120</v>
      </c>
      <c r="D234" s="59" t="s">
        <v>31</v>
      </c>
      <c r="E234" s="68">
        <v>65.938400000000001</v>
      </c>
      <c r="F234" s="60">
        <v>40</v>
      </c>
      <c r="G234" s="227">
        <f t="shared" si="3"/>
        <v>2637.5360000000001</v>
      </c>
      <c r="H234" s="227"/>
      <c r="I234" s="227"/>
      <c r="J234" s="227"/>
      <c r="K234" s="226"/>
      <c r="L234" s="226"/>
      <c r="M234" s="226"/>
      <c r="N234" s="227"/>
      <c r="O234" s="228"/>
    </row>
    <row r="235" spans="1:15" s="7" customFormat="1">
      <c r="A235" s="59">
        <v>121</v>
      </c>
      <c r="B235" s="60" t="s">
        <v>121</v>
      </c>
      <c r="C235" s="61" t="s">
        <v>122</v>
      </c>
      <c r="D235" s="59" t="s">
        <v>31</v>
      </c>
      <c r="E235" s="68">
        <v>385.37</v>
      </c>
      <c r="F235" s="60">
        <v>15</v>
      </c>
      <c r="G235" s="227">
        <f t="shared" si="3"/>
        <v>5780.55</v>
      </c>
      <c r="H235" s="227"/>
      <c r="I235" s="227"/>
      <c r="J235" s="227"/>
      <c r="K235" s="226"/>
      <c r="L235" s="226"/>
      <c r="M235" s="226"/>
      <c r="N235" s="227"/>
      <c r="O235" s="228"/>
    </row>
    <row r="236" spans="1:15" s="7" customFormat="1">
      <c r="A236" s="59">
        <v>122</v>
      </c>
      <c r="B236" s="60" t="s">
        <v>126</v>
      </c>
      <c r="C236" s="61" t="s">
        <v>218</v>
      </c>
      <c r="D236" s="59" t="s">
        <v>32</v>
      </c>
      <c r="E236" s="68">
        <v>82686.14</v>
      </c>
      <c r="F236" s="60">
        <v>3</v>
      </c>
      <c r="G236" s="227">
        <f t="shared" si="3"/>
        <v>248058.41999999998</v>
      </c>
      <c r="H236" s="227"/>
      <c r="I236" s="227"/>
      <c r="J236" s="227"/>
      <c r="K236" s="226"/>
      <c r="L236" s="226"/>
      <c r="M236" s="226"/>
      <c r="N236" s="227"/>
      <c r="O236" s="228"/>
    </row>
    <row r="237" spans="1:15" s="7" customFormat="1">
      <c r="A237" s="59">
        <v>123</v>
      </c>
      <c r="B237" s="60" t="s">
        <v>129</v>
      </c>
      <c r="C237" s="61" t="s">
        <v>217</v>
      </c>
      <c r="D237" s="59" t="s">
        <v>32</v>
      </c>
      <c r="E237" s="68">
        <v>82686.14</v>
      </c>
      <c r="F237" s="60">
        <v>5</v>
      </c>
      <c r="G237" s="227">
        <f t="shared" si="3"/>
        <v>413430.7</v>
      </c>
      <c r="H237" s="227"/>
      <c r="I237" s="227"/>
      <c r="J237" s="227"/>
      <c r="K237" s="226"/>
      <c r="L237" s="226"/>
      <c r="M237" s="226"/>
      <c r="N237" s="227"/>
      <c r="O237" s="228"/>
    </row>
    <row r="238" spans="1:15" s="7" customFormat="1">
      <c r="A238" s="59">
        <v>124</v>
      </c>
      <c r="B238" s="60" t="s">
        <v>132</v>
      </c>
      <c r="C238" s="61" t="s">
        <v>133</v>
      </c>
      <c r="D238" s="59" t="s">
        <v>32</v>
      </c>
      <c r="E238" s="68">
        <v>70018.899999999994</v>
      </c>
      <c r="F238" s="60">
        <v>6</v>
      </c>
      <c r="G238" s="227">
        <f t="shared" si="3"/>
        <v>420113.39999999997</v>
      </c>
      <c r="H238" s="227"/>
      <c r="I238" s="227"/>
      <c r="J238" s="227"/>
      <c r="K238" s="226"/>
      <c r="L238" s="226"/>
      <c r="M238" s="226"/>
      <c r="N238" s="227"/>
      <c r="O238" s="228"/>
    </row>
    <row r="239" spans="1:15" s="7" customFormat="1">
      <c r="A239" s="59">
        <v>125</v>
      </c>
      <c r="B239" s="60" t="s">
        <v>134</v>
      </c>
      <c r="C239" s="61" t="s">
        <v>135</v>
      </c>
      <c r="D239" s="59" t="s">
        <v>32</v>
      </c>
      <c r="E239" s="68">
        <v>16256.86</v>
      </c>
      <c r="F239" s="60">
        <v>1</v>
      </c>
      <c r="G239" s="227">
        <f t="shared" si="3"/>
        <v>16256.86</v>
      </c>
      <c r="H239" s="227"/>
      <c r="I239" s="227"/>
      <c r="J239" s="227"/>
      <c r="K239" s="226"/>
      <c r="L239" s="226"/>
      <c r="M239" s="226"/>
      <c r="N239" s="227"/>
      <c r="O239" s="228"/>
    </row>
    <row r="240" spans="1:15" s="7" customFormat="1" ht="57">
      <c r="A240" s="59">
        <v>126</v>
      </c>
      <c r="B240" s="60" t="s">
        <v>175</v>
      </c>
      <c r="C240" s="61" t="s">
        <v>176</v>
      </c>
      <c r="D240" s="59" t="s">
        <v>32</v>
      </c>
      <c r="E240" s="68">
        <v>29500</v>
      </c>
      <c r="F240" s="60">
        <v>1</v>
      </c>
      <c r="G240" s="227">
        <f t="shared" si="3"/>
        <v>29500</v>
      </c>
      <c r="H240" s="227"/>
      <c r="I240" s="227"/>
      <c r="J240" s="227"/>
      <c r="K240" s="226"/>
      <c r="L240" s="226"/>
      <c r="M240" s="226"/>
      <c r="N240" s="227"/>
      <c r="O240" s="228"/>
    </row>
    <row r="241" spans="1:15" s="7" customFormat="1" ht="57">
      <c r="A241" s="59">
        <v>127</v>
      </c>
      <c r="B241" s="60" t="s">
        <v>177</v>
      </c>
      <c r="C241" s="61" t="s">
        <v>178</v>
      </c>
      <c r="D241" s="59" t="s">
        <v>32</v>
      </c>
      <c r="E241" s="68">
        <v>100300</v>
      </c>
      <c r="F241" s="60">
        <v>3</v>
      </c>
      <c r="G241" s="227">
        <f t="shared" si="3"/>
        <v>300900</v>
      </c>
      <c r="H241" s="227"/>
      <c r="I241" s="227"/>
      <c r="J241" s="227"/>
      <c r="K241" s="226"/>
      <c r="L241" s="226"/>
      <c r="M241" s="226"/>
      <c r="N241" s="227"/>
      <c r="O241" s="228"/>
    </row>
    <row r="242" spans="1:15" s="7" customFormat="1" ht="28.5">
      <c r="A242" s="59">
        <v>128</v>
      </c>
      <c r="B242" s="60" t="s">
        <v>179</v>
      </c>
      <c r="C242" s="61" t="s">
        <v>180</v>
      </c>
      <c r="D242" s="59" t="s">
        <v>32</v>
      </c>
      <c r="E242" s="68">
        <v>2964603</v>
      </c>
      <c r="F242" s="60">
        <v>1</v>
      </c>
      <c r="G242" s="227">
        <f t="shared" si="3"/>
        <v>2964603</v>
      </c>
      <c r="H242" s="227"/>
      <c r="I242" s="227"/>
      <c r="J242" s="227"/>
      <c r="K242" s="226"/>
      <c r="L242" s="226"/>
      <c r="M242" s="226"/>
      <c r="N242" s="227"/>
      <c r="O242" s="228"/>
    </row>
    <row r="243" spans="1:15" s="7" customFormat="1">
      <c r="A243" s="59">
        <v>129</v>
      </c>
      <c r="B243" s="60" t="s">
        <v>334</v>
      </c>
      <c r="C243" s="61" t="s">
        <v>766</v>
      </c>
      <c r="D243" s="59" t="s">
        <v>10</v>
      </c>
      <c r="E243" s="68">
        <f>2600*1.18</f>
        <v>3068</v>
      </c>
      <c r="F243" s="60">
        <v>5</v>
      </c>
      <c r="G243" s="227">
        <f t="shared" ref="G243:G246" si="4">E243*F243</f>
        <v>15340</v>
      </c>
      <c r="H243" s="227"/>
      <c r="I243" s="227"/>
      <c r="J243" s="227"/>
      <c r="K243" s="226"/>
      <c r="L243" s="226"/>
      <c r="M243" s="226"/>
      <c r="N243" s="227"/>
      <c r="O243" s="228"/>
    </row>
    <row r="244" spans="1:15" s="7" customFormat="1">
      <c r="A244" s="59">
        <v>130</v>
      </c>
      <c r="B244" s="60" t="s">
        <v>334</v>
      </c>
      <c r="C244" s="61" t="s">
        <v>767</v>
      </c>
      <c r="D244" s="59" t="s">
        <v>10</v>
      </c>
      <c r="E244" s="68">
        <f>2600*1.18</f>
        <v>3068</v>
      </c>
      <c r="F244" s="60">
        <v>4</v>
      </c>
      <c r="G244" s="227">
        <f t="shared" si="4"/>
        <v>12272</v>
      </c>
      <c r="H244" s="227"/>
      <c r="I244" s="227"/>
      <c r="J244" s="227"/>
      <c r="K244" s="226"/>
      <c r="L244" s="226"/>
      <c r="M244" s="226"/>
      <c r="N244" s="227"/>
      <c r="O244" s="228"/>
    </row>
    <row r="245" spans="1:15" s="7" customFormat="1">
      <c r="A245" s="59">
        <v>131</v>
      </c>
      <c r="B245" s="60" t="s">
        <v>334</v>
      </c>
      <c r="C245" s="61" t="s">
        <v>768</v>
      </c>
      <c r="D245" s="59" t="s">
        <v>10</v>
      </c>
      <c r="E245" s="177">
        <f>2900*1.18</f>
        <v>3422</v>
      </c>
      <c r="F245" s="60">
        <v>2</v>
      </c>
      <c r="G245" s="227">
        <f t="shared" si="4"/>
        <v>6844</v>
      </c>
      <c r="H245" s="227"/>
      <c r="I245" s="227"/>
      <c r="J245" s="227"/>
      <c r="K245" s="226"/>
      <c r="L245" s="226"/>
      <c r="M245" s="226"/>
      <c r="N245" s="227"/>
      <c r="O245" s="228"/>
    </row>
    <row r="246" spans="1:15" s="7" customFormat="1">
      <c r="A246" s="59">
        <v>132</v>
      </c>
      <c r="B246" s="60" t="s">
        <v>334</v>
      </c>
      <c r="C246" s="61" t="s">
        <v>769</v>
      </c>
      <c r="D246" s="59" t="s">
        <v>10</v>
      </c>
      <c r="E246" s="68">
        <f>2200*1.18</f>
        <v>2596</v>
      </c>
      <c r="F246" s="60">
        <v>4</v>
      </c>
      <c r="G246" s="227">
        <f t="shared" si="4"/>
        <v>10384</v>
      </c>
      <c r="H246" s="227"/>
      <c r="I246" s="227"/>
      <c r="J246" s="227"/>
      <c r="K246" s="226"/>
      <c r="L246" s="226"/>
      <c r="M246" s="226"/>
      <c r="N246" s="227"/>
      <c r="O246" s="228"/>
    </row>
    <row r="247" spans="1:15" s="7" customFormat="1">
      <c r="A247" s="59">
        <v>133</v>
      </c>
      <c r="B247" s="60" t="s">
        <v>209</v>
      </c>
      <c r="C247" s="61" t="s">
        <v>589</v>
      </c>
      <c r="D247" s="59" t="s">
        <v>214</v>
      </c>
      <c r="E247" s="68">
        <v>65</v>
      </c>
      <c r="F247" s="60"/>
      <c r="G247" s="227"/>
      <c r="H247" s="227">
        <v>0.5</v>
      </c>
      <c r="I247" s="227">
        <f t="shared" ref="I247:I248" si="5">E247*H247</f>
        <v>32.5</v>
      </c>
      <c r="J247" s="227"/>
      <c r="K247" s="226"/>
      <c r="L247" s="226"/>
      <c r="M247" s="226"/>
      <c r="N247" s="227"/>
      <c r="O247" s="228"/>
    </row>
    <row r="248" spans="1:15" s="7" customFormat="1">
      <c r="A248" s="59">
        <v>134</v>
      </c>
      <c r="B248" s="60" t="s">
        <v>33</v>
      </c>
      <c r="C248" s="61" t="s">
        <v>590</v>
      </c>
      <c r="D248" s="59" t="s">
        <v>214</v>
      </c>
      <c r="E248" s="68">
        <v>32</v>
      </c>
      <c r="F248" s="60"/>
      <c r="G248" s="227"/>
      <c r="H248" s="227">
        <v>80</v>
      </c>
      <c r="I248" s="227">
        <f t="shared" si="5"/>
        <v>2560</v>
      </c>
      <c r="J248" s="227"/>
      <c r="K248" s="226"/>
      <c r="L248" s="226"/>
      <c r="M248" s="226"/>
      <c r="N248" s="227"/>
      <c r="O248" s="228"/>
    </row>
    <row r="249" spans="1:15" s="7" customFormat="1">
      <c r="A249" s="59">
        <v>135</v>
      </c>
      <c r="B249" s="60" t="s">
        <v>30</v>
      </c>
      <c r="C249" s="61" t="s">
        <v>213</v>
      </c>
      <c r="D249" s="59" t="s">
        <v>24</v>
      </c>
      <c r="E249" s="68">
        <v>2100.1320000000001</v>
      </c>
      <c r="F249" s="60"/>
      <c r="G249" s="227"/>
      <c r="H249" s="227">
        <v>55</v>
      </c>
      <c r="I249" s="227">
        <f>E249*H249</f>
        <v>115507.26000000001</v>
      </c>
      <c r="J249" s="227"/>
      <c r="K249" s="226"/>
      <c r="L249" s="226"/>
      <c r="M249" s="226"/>
      <c r="N249" s="227">
        <v>51</v>
      </c>
      <c r="O249" s="228">
        <f>N249*E249</f>
        <v>107106.732</v>
      </c>
    </row>
    <row r="250" spans="1:15" s="7" customFormat="1" ht="28.5">
      <c r="A250" s="59">
        <v>136</v>
      </c>
      <c r="B250" s="60" t="s">
        <v>41</v>
      </c>
      <c r="C250" s="61" t="s">
        <v>210</v>
      </c>
      <c r="D250" s="59" t="s">
        <v>32</v>
      </c>
      <c r="E250" s="68">
        <v>25000</v>
      </c>
      <c r="F250" s="60"/>
      <c r="G250" s="227"/>
      <c r="H250" s="227"/>
      <c r="I250" s="227"/>
      <c r="J250" s="227"/>
      <c r="K250" s="226"/>
      <c r="L250" s="226"/>
      <c r="M250" s="226"/>
      <c r="N250" s="227">
        <v>1</v>
      </c>
      <c r="O250" s="228">
        <f t="shared" ref="O250:O252" si="6">N250*E250</f>
        <v>25000</v>
      </c>
    </row>
    <row r="251" spans="1:15" s="7" customFormat="1">
      <c r="A251" s="59">
        <v>137</v>
      </c>
      <c r="B251" s="60" t="s">
        <v>136</v>
      </c>
      <c r="C251" s="61" t="s">
        <v>211</v>
      </c>
      <c r="D251" s="59" t="s">
        <v>32</v>
      </c>
      <c r="E251" s="68">
        <v>1000</v>
      </c>
      <c r="F251" s="60"/>
      <c r="G251" s="227"/>
      <c r="H251" s="227"/>
      <c r="I251" s="227"/>
      <c r="J251" s="227"/>
      <c r="K251" s="226"/>
      <c r="L251" s="226"/>
      <c r="M251" s="226"/>
      <c r="N251" s="227">
        <v>2</v>
      </c>
      <c r="O251" s="228">
        <f t="shared" si="6"/>
        <v>2000</v>
      </c>
    </row>
    <row r="252" spans="1:15" s="7" customFormat="1">
      <c r="A252" s="59">
        <v>138</v>
      </c>
      <c r="B252" s="60" t="s">
        <v>30</v>
      </c>
      <c r="C252" s="61" t="s">
        <v>212</v>
      </c>
      <c r="D252" s="59" t="s">
        <v>24</v>
      </c>
      <c r="E252" s="68">
        <v>2400.1320000000001</v>
      </c>
      <c r="F252" s="60"/>
      <c r="G252" s="227"/>
      <c r="H252" s="227"/>
      <c r="I252" s="227"/>
      <c r="J252" s="227"/>
      <c r="K252" s="226"/>
      <c r="L252" s="226"/>
      <c r="M252" s="226"/>
      <c r="N252" s="227">
        <v>223</v>
      </c>
      <c r="O252" s="228">
        <f t="shared" si="6"/>
        <v>535229.43599999999</v>
      </c>
    </row>
    <row r="253" spans="1:15" s="9" customFormat="1" ht="15">
      <c r="A253" s="2"/>
      <c r="B253" s="2"/>
      <c r="C253" s="8" t="s">
        <v>374</v>
      </c>
      <c r="D253" s="2"/>
      <c r="E253" s="40"/>
      <c r="F253" s="36"/>
      <c r="G253" s="8">
        <f>SUM(G115:G252)</f>
        <v>14939786.062199999</v>
      </c>
      <c r="H253" s="8"/>
      <c r="I253" s="8"/>
      <c r="J253" s="8"/>
      <c r="K253" s="8"/>
      <c r="L253" s="8"/>
      <c r="M253" s="8"/>
      <c r="N253" s="8"/>
      <c r="O253" s="72">
        <f t="shared" ref="O253" si="7">SUM(O115:O252)</f>
        <v>669336.16800000006</v>
      </c>
    </row>
    <row r="254" spans="1:15" s="9" customFormat="1" ht="24.75" customHeight="1">
      <c r="A254" s="429" t="s">
        <v>795</v>
      </c>
      <c r="B254" s="430"/>
      <c r="C254" s="431"/>
      <c r="D254" s="10"/>
      <c r="E254" s="39"/>
      <c r="F254" s="38"/>
      <c r="G254" s="44"/>
      <c r="H254" s="45"/>
      <c r="I254" s="45"/>
      <c r="J254" s="45"/>
      <c r="K254" s="45"/>
      <c r="L254" s="45"/>
      <c r="M254" s="45"/>
      <c r="N254" s="45"/>
      <c r="O254" s="45"/>
    </row>
    <row r="255" spans="1:15" s="11" customFormat="1">
      <c r="A255" s="73" t="s">
        <v>382</v>
      </c>
      <c r="B255" s="74" t="s">
        <v>383</v>
      </c>
      <c r="C255" s="75" t="s">
        <v>384</v>
      </c>
      <c r="D255" s="60" t="s">
        <v>7</v>
      </c>
      <c r="E255" s="76">
        <v>70074</v>
      </c>
      <c r="F255" s="70">
        <v>1.3260000000000001</v>
      </c>
      <c r="G255" s="230">
        <f t="shared" ref="G255:G318" si="8">E255*F255</f>
        <v>92918.124000000011</v>
      </c>
      <c r="H255" s="231" t="s">
        <v>385</v>
      </c>
      <c r="I255" s="231" t="s">
        <v>385</v>
      </c>
      <c r="J255" s="231" t="s">
        <v>385</v>
      </c>
      <c r="K255" s="231" t="s">
        <v>385</v>
      </c>
      <c r="L255" s="231"/>
      <c r="M255" s="231" t="s">
        <v>385</v>
      </c>
      <c r="N255" s="231" t="s">
        <v>385</v>
      </c>
      <c r="O255" s="226" t="s">
        <v>385</v>
      </c>
    </row>
    <row r="256" spans="1:15" s="11" customFormat="1">
      <c r="A256" s="73" t="s">
        <v>386</v>
      </c>
      <c r="B256" s="78" t="s">
        <v>387</v>
      </c>
      <c r="C256" s="75" t="s">
        <v>388</v>
      </c>
      <c r="D256" s="60" t="s">
        <v>7</v>
      </c>
      <c r="E256" s="76">
        <v>70074</v>
      </c>
      <c r="F256" s="70">
        <v>1.3420000000000001</v>
      </c>
      <c r="G256" s="230">
        <f t="shared" si="8"/>
        <v>94039.308000000005</v>
      </c>
      <c r="H256" s="231" t="s">
        <v>385</v>
      </c>
      <c r="I256" s="231" t="s">
        <v>385</v>
      </c>
      <c r="J256" s="231" t="s">
        <v>385</v>
      </c>
      <c r="K256" s="231" t="s">
        <v>385</v>
      </c>
      <c r="L256" s="231"/>
      <c r="M256" s="231" t="s">
        <v>385</v>
      </c>
      <c r="N256" s="231" t="s">
        <v>385</v>
      </c>
      <c r="O256" s="226" t="s">
        <v>385</v>
      </c>
    </row>
    <row r="257" spans="1:15" s="11" customFormat="1" ht="28.5">
      <c r="A257" s="73" t="s">
        <v>389</v>
      </c>
      <c r="B257" s="73" t="s">
        <v>390</v>
      </c>
      <c r="C257" s="79" t="s">
        <v>391</v>
      </c>
      <c r="D257" s="60" t="s">
        <v>392</v>
      </c>
      <c r="E257" s="76">
        <v>2601.25</v>
      </c>
      <c r="F257" s="70">
        <f>19-1</f>
        <v>18</v>
      </c>
      <c r="G257" s="230">
        <f t="shared" si="8"/>
        <v>46822.5</v>
      </c>
      <c r="H257" s="231" t="s">
        <v>385</v>
      </c>
      <c r="I257" s="231" t="s">
        <v>385</v>
      </c>
      <c r="J257" s="231" t="s">
        <v>385</v>
      </c>
      <c r="K257" s="231" t="s">
        <v>385</v>
      </c>
      <c r="L257" s="231"/>
      <c r="M257" s="231" t="s">
        <v>385</v>
      </c>
      <c r="N257" s="231" t="s">
        <v>385</v>
      </c>
      <c r="O257" s="226" t="s">
        <v>385</v>
      </c>
    </row>
    <row r="258" spans="1:15" s="11" customFormat="1">
      <c r="A258" s="73" t="s">
        <v>393</v>
      </c>
      <c r="B258" s="80" t="s">
        <v>394</v>
      </c>
      <c r="C258" s="79" t="s">
        <v>395</v>
      </c>
      <c r="D258" s="60" t="s">
        <v>10</v>
      </c>
      <c r="E258" s="76">
        <v>1156.33</v>
      </c>
      <c r="F258" s="70">
        <v>36</v>
      </c>
      <c r="G258" s="230">
        <f t="shared" si="8"/>
        <v>41627.879999999997</v>
      </c>
      <c r="H258" s="231" t="s">
        <v>385</v>
      </c>
      <c r="I258" s="231" t="s">
        <v>385</v>
      </c>
      <c r="J258" s="231" t="s">
        <v>385</v>
      </c>
      <c r="K258" s="231" t="s">
        <v>385</v>
      </c>
      <c r="L258" s="231"/>
      <c r="M258" s="231" t="s">
        <v>385</v>
      </c>
      <c r="N258" s="231" t="s">
        <v>385</v>
      </c>
      <c r="O258" s="226" t="s">
        <v>385</v>
      </c>
    </row>
    <row r="259" spans="1:15" s="11" customFormat="1">
      <c r="A259" s="73" t="s">
        <v>396</v>
      </c>
      <c r="B259" s="80" t="s">
        <v>334</v>
      </c>
      <c r="C259" s="79" t="s">
        <v>397</v>
      </c>
      <c r="D259" s="60" t="s">
        <v>10</v>
      </c>
      <c r="E259" s="76">
        <v>1517</v>
      </c>
      <c r="F259" s="70">
        <v>24</v>
      </c>
      <c r="G259" s="230">
        <f t="shared" si="8"/>
        <v>36408</v>
      </c>
      <c r="H259" s="231" t="s">
        <v>385</v>
      </c>
      <c r="I259" s="231" t="s">
        <v>385</v>
      </c>
      <c r="J259" s="231" t="s">
        <v>385</v>
      </c>
      <c r="K259" s="231" t="s">
        <v>385</v>
      </c>
      <c r="L259" s="231"/>
      <c r="M259" s="231" t="s">
        <v>385</v>
      </c>
      <c r="N259" s="231" t="s">
        <v>385</v>
      </c>
      <c r="O259" s="226" t="s">
        <v>385</v>
      </c>
    </row>
    <row r="260" spans="1:15" s="11" customFormat="1">
      <c r="A260" s="73" t="s">
        <v>398</v>
      </c>
      <c r="B260" s="80" t="s">
        <v>399</v>
      </c>
      <c r="C260" s="79" t="s">
        <v>400</v>
      </c>
      <c r="D260" s="60" t="s">
        <v>10</v>
      </c>
      <c r="E260" s="76">
        <v>564.59</v>
      </c>
      <c r="F260" s="70">
        <v>55</v>
      </c>
      <c r="G260" s="230">
        <f t="shared" si="8"/>
        <v>31052.45</v>
      </c>
      <c r="H260" s="231" t="s">
        <v>385</v>
      </c>
      <c r="I260" s="231" t="s">
        <v>385</v>
      </c>
      <c r="J260" s="231" t="s">
        <v>385</v>
      </c>
      <c r="K260" s="231" t="s">
        <v>385</v>
      </c>
      <c r="L260" s="231"/>
      <c r="M260" s="231" t="s">
        <v>385</v>
      </c>
      <c r="N260" s="231" t="s">
        <v>385</v>
      </c>
      <c r="O260" s="226" t="s">
        <v>385</v>
      </c>
    </row>
    <row r="261" spans="1:15" s="11" customFormat="1">
      <c r="A261" s="73" t="s">
        <v>401</v>
      </c>
      <c r="B261" s="80" t="s">
        <v>399</v>
      </c>
      <c r="C261" s="79" t="s">
        <v>402</v>
      </c>
      <c r="D261" s="60" t="s">
        <v>10</v>
      </c>
      <c r="E261" s="81">
        <v>542.42999999999995</v>
      </c>
      <c r="F261" s="70">
        <v>8</v>
      </c>
      <c r="G261" s="230">
        <f t="shared" si="8"/>
        <v>4339.4399999999996</v>
      </c>
      <c r="H261" s="231" t="s">
        <v>385</v>
      </c>
      <c r="I261" s="231" t="s">
        <v>385</v>
      </c>
      <c r="J261" s="231" t="s">
        <v>385</v>
      </c>
      <c r="K261" s="231" t="s">
        <v>385</v>
      </c>
      <c r="L261" s="231"/>
      <c r="M261" s="231" t="s">
        <v>385</v>
      </c>
      <c r="N261" s="231" t="s">
        <v>385</v>
      </c>
      <c r="O261" s="226" t="s">
        <v>385</v>
      </c>
    </row>
    <row r="262" spans="1:15" s="11" customFormat="1">
      <c r="A262" s="73" t="s">
        <v>403</v>
      </c>
      <c r="B262" s="73" t="s">
        <v>390</v>
      </c>
      <c r="C262" s="79" t="s">
        <v>404</v>
      </c>
      <c r="D262" s="60" t="s">
        <v>10</v>
      </c>
      <c r="E262" s="76">
        <v>1248.5999999999999</v>
      </c>
      <c r="F262" s="70">
        <v>128</v>
      </c>
      <c r="G262" s="230">
        <f t="shared" si="8"/>
        <v>159820.79999999999</v>
      </c>
      <c r="H262" s="231" t="s">
        <v>385</v>
      </c>
      <c r="I262" s="231" t="s">
        <v>385</v>
      </c>
      <c r="J262" s="231" t="s">
        <v>385</v>
      </c>
      <c r="K262" s="231" t="s">
        <v>385</v>
      </c>
      <c r="L262" s="231"/>
      <c r="M262" s="231" t="s">
        <v>385</v>
      </c>
      <c r="N262" s="231" t="s">
        <v>385</v>
      </c>
      <c r="O262" s="226" t="s">
        <v>385</v>
      </c>
    </row>
    <row r="263" spans="1:15" s="11" customFormat="1">
      <c r="A263" s="73" t="s">
        <v>405</v>
      </c>
      <c r="B263" s="80" t="s">
        <v>406</v>
      </c>
      <c r="C263" s="79" t="s">
        <v>407</v>
      </c>
      <c r="D263" s="60" t="s">
        <v>10</v>
      </c>
      <c r="E263" s="76">
        <v>670.68</v>
      </c>
      <c r="F263" s="70">
        <v>9</v>
      </c>
      <c r="G263" s="230">
        <f t="shared" si="8"/>
        <v>6036.12</v>
      </c>
      <c r="H263" s="231" t="s">
        <v>385</v>
      </c>
      <c r="I263" s="231" t="s">
        <v>385</v>
      </c>
      <c r="J263" s="231" t="s">
        <v>385</v>
      </c>
      <c r="K263" s="231" t="s">
        <v>385</v>
      </c>
      <c r="L263" s="231"/>
      <c r="M263" s="231" t="s">
        <v>385</v>
      </c>
      <c r="N263" s="231" t="s">
        <v>385</v>
      </c>
      <c r="O263" s="226" t="s">
        <v>385</v>
      </c>
    </row>
    <row r="264" spans="1:15" s="11" customFormat="1">
      <c r="A264" s="73" t="s">
        <v>408</v>
      </c>
      <c r="B264" s="82" t="s">
        <v>409</v>
      </c>
      <c r="C264" s="83" t="s">
        <v>410</v>
      </c>
      <c r="D264" s="60" t="s">
        <v>10</v>
      </c>
      <c r="E264" s="76">
        <v>945.9</v>
      </c>
      <c r="F264" s="70">
        <v>180</v>
      </c>
      <c r="G264" s="230">
        <f t="shared" si="8"/>
        <v>170262</v>
      </c>
      <c r="H264" s="231" t="s">
        <v>385</v>
      </c>
      <c r="I264" s="231" t="s">
        <v>385</v>
      </c>
      <c r="J264" s="231" t="s">
        <v>385</v>
      </c>
      <c r="K264" s="231" t="s">
        <v>385</v>
      </c>
      <c r="L264" s="231"/>
      <c r="M264" s="231" t="s">
        <v>385</v>
      </c>
      <c r="N264" s="231" t="s">
        <v>385</v>
      </c>
      <c r="O264" s="226" t="s">
        <v>385</v>
      </c>
    </row>
    <row r="265" spans="1:15" s="11" customFormat="1">
      <c r="A265" s="73" t="s">
        <v>411</v>
      </c>
      <c r="B265" s="73" t="s">
        <v>390</v>
      </c>
      <c r="C265" s="79" t="s">
        <v>412</v>
      </c>
      <c r="D265" s="60" t="s">
        <v>9</v>
      </c>
      <c r="E265" s="81">
        <v>500</v>
      </c>
      <c r="F265" s="81">
        <v>31</v>
      </c>
      <c r="G265" s="230">
        <f t="shared" si="8"/>
        <v>15500</v>
      </c>
      <c r="H265" s="232">
        <v>11</v>
      </c>
      <c r="I265" s="233">
        <f>H265*E265</f>
        <v>5500</v>
      </c>
      <c r="J265" s="231" t="s">
        <v>385</v>
      </c>
      <c r="K265" s="231" t="s">
        <v>385</v>
      </c>
      <c r="L265" s="231"/>
      <c r="M265" s="231" t="s">
        <v>385</v>
      </c>
      <c r="N265" s="231" t="s">
        <v>385</v>
      </c>
      <c r="O265" s="226" t="s">
        <v>385</v>
      </c>
    </row>
    <row r="266" spans="1:15" s="11" customFormat="1">
      <c r="A266" s="73" t="s">
        <v>413</v>
      </c>
      <c r="B266" s="14" t="s">
        <v>236</v>
      </c>
      <c r="C266" s="79" t="s">
        <v>414</v>
      </c>
      <c r="D266" s="60" t="s">
        <v>12</v>
      </c>
      <c r="E266" s="84">
        <v>265500</v>
      </c>
      <c r="F266" s="70">
        <f>0.53-0.02</f>
        <v>0.51</v>
      </c>
      <c r="G266" s="230">
        <f t="shared" si="8"/>
        <v>135405</v>
      </c>
      <c r="H266" s="231" t="s">
        <v>385</v>
      </c>
      <c r="I266" s="231" t="s">
        <v>385</v>
      </c>
      <c r="J266" s="231" t="s">
        <v>385</v>
      </c>
      <c r="K266" s="231" t="s">
        <v>385</v>
      </c>
      <c r="L266" s="231"/>
      <c r="M266" s="231" t="s">
        <v>385</v>
      </c>
      <c r="N266" s="231" t="s">
        <v>385</v>
      </c>
      <c r="O266" s="226" t="s">
        <v>385</v>
      </c>
    </row>
    <row r="267" spans="1:15" s="11" customFormat="1" ht="28.5">
      <c r="A267" s="73" t="s">
        <v>415</v>
      </c>
      <c r="B267" s="73" t="s">
        <v>390</v>
      </c>
      <c r="C267" s="85" t="s">
        <v>416</v>
      </c>
      <c r="D267" s="86" t="s">
        <v>9</v>
      </c>
      <c r="E267" s="87">
        <v>50</v>
      </c>
      <c r="F267" s="70">
        <v>6</v>
      </c>
      <c r="G267" s="230">
        <f t="shared" si="8"/>
        <v>300</v>
      </c>
      <c r="H267" s="231" t="s">
        <v>385</v>
      </c>
      <c r="I267" s="231" t="s">
        <v>385</v>
      </c>
      <c r="J267" s="231" t="s">
        <v>385</v>
      </c>
      <c r="K267" s="231" t="s">
        <v>385</v>
      </c>
      <c r="L267" s="231"/>
      <c r="M267" s="231" t="s">
        <v>385</v>
      </c>
      <c r="N267" s="231" t="s">
        <v>385</v>
      </c>
      <c r="O267" s="226" t="s">
        <v>385</v>
      </c>
    </row>
    <row r="268" spans="1:15" s="11" customFormat="1">
      <c r="A268" s="73" t="s">
        <v>417</v>
      </c>
      <c r="B268" s="74" t="s">
        <v>336</v>
      </c>
      <c r="C268" s="79" t="s">
        <v>418</v>
      </c>
      <c r="D268" s="60" t="s">
        <v>10</v>
      </c>
      <c r="E268" s="81">
        <v>400</v>
      </c>
      <c r="F268" s="70">
        <f>88-2-3-4-2</f>
        <v>77</v>
      </c>
      <c r="G268" s="230">
        <f t="shared" si="8"/>
        <v>30800</v>
      </c>
      <c r="H268" s="231" t="s">
        <v>385</v>
      </c>
      <c r="I268" s="231" t="s">
        <v>385</v>
      </c>
      <c r="J268" s="231" t="s">
        <v>385</v>
      </c>
      <c r="K268" s="231" t="s">
        <v>385</v>
      </c>
      <c r="L268" s="231"/>
      <c r="M268" s="231" t="s">
        <v>385</v>
      </c>
      <c r="N268" s="231" t="s">
        <v>385</v>
      </c>
      <c r="O268" s="226" t="s">
        <v>385</v>
      </c>
    </row>
    <row r="269" spans="1:15" s="11" customFormat="1">
      <c r="A269" s="73" t="s">
        <v>419</v>
      </c>
      <c r="B269" s="74" t="s">
        <v>378</v>
      </c>
      <c r="C269" s="79" t="s">
        <v>420</v>
      </c>
      <c r="D269" s="60" t="s">
        <v>10</v>
      </c>
      <c r="E269" s="88">
        <v>946.92</v>
      </c>
      <c r="F269" s="89">
        <f>4-2</f>
        <v>2</v>
      </c>
      <c r="G269" s="230">
        <f t="shared" si="8"/>
        <v>1893.84</v>
      </c>
      <c r="H269" s="231" t="s">
        <v>385</v>
      </c>
      <c r="I269" s="231" t="s">
        <v>385</v>
      </c>
      <c r="J269" s="231" t="s">
        <v>385</v>
      </c>
      <c r="K269" s="231" t="s">
        <v>385</v>
      </c>
      <c r="L269" s="231"/>
      <c r="M269" s="231" t="s">
        <v>385</v>
      </c>
      <c r="N269" s="231" t="s">
        <v>385</v>
      </c>
      <c r="O269" s="226" t="s">
        <v>385</v>
      </c>
    </row>
    <row r="270" spans="1:15" s="11" customFormat="1">
      <c r="A270" s="73" t="s">
        <v>421</v>
      </c>
      <c r="B270" s="73" t="s">
        <v>390</v>
      </c>
      <c r="C270" s="79" t="s">
        <v>422</v>
      </c>
      <c r="D270" s="60" t="s">
        <v>10</v>
      </c>
      <c r="E270" s="81">
        <v>500</v>
      </c>
      <c r="F270" s="70">
        <v>6</v>
      </c>
      <c r="G270" s="230">
        <f t="shared" si="8"/>
        <v>3000</v>
      </c>
      <c r="H270" s="231" t="s">
        <v>385</v>
      </c>
      <c r="I270" s="231" t="s">
        <v>385</v>
      </c>
      <c r="J270" s="231" t="s">
        <v>385</v>
      </c>
      <c r="K270" s="231" t="s">
        <v>385</v>
      </c>
      <c r="L270" s="231"/>
      <c r="M270" s="231" t="s">
        <v>385</v>
      </c>
      <c r="N270" s="231" t="s">
        <v>385</v>
      </c>
      <c r="O270" s="226" t="s">
        <v>385</v>
      </c>
    </row>
    <row r="271" spans="1:15" s="11" customFormat="1">
      <c r="A271" s="73" t="s">
        <v>423</v>
      </c>
      <c r="B271" s="73" t="s">
        <v>390</v>
      </c>
      <c r="C271" s="79" t="s">
        <v>424</v>
      </c>
      <c r="D271" s="60" t="s">
        <v>10</v>
      </c>
      <c r="E271" s="81">
        <v>500</v>
      </c>
      <c r="F271" s="70">
        <f>9-1</f>
        <v>8</v>
      </c>
      <c r="G271" s="230">
        <f t="shared" si="8"/>
        <v>4000</v>
      </c>
      <c r="H271" s="231" t="s">
        <v>385</v>
      </c>
      <c r="I271" s="231" t="s">
        <v>385</v>
      </c>
      <c r="J271" s="231" t="s">
        <v>385</v>
      </c>
      <c r="K271" s="231" t="s">
        <v>385</v>
      </c>
      <c r="L271" s="231"/>
      <c r="M271" s="231" t="s">
        <v>385</v>
      </c>
      <c r="N271" s="231" t="s">
        <v>385</v>
      </c>
      <c r="O271" s="226" t="s">
        <v>385</v>
      </c>
    </row>
    <row r="272" spans="1:15" s="11" customFormat="1" ht="28.5">
      <c r="A272" s="73" t="s">
        <v>425</v>
      </c>
      <c r="B272" s="73" t="s">
        <v>390</v>
      </c>
      <c r="C272" s="79" t="s">
        <v>426</v>
      </c>
      <c r="D272" s="60" t="s">
        <v>10</v>
      </c>
      <c r="E272" s="81">
        <v>500</v>
      </c>
      <c r="F272" s="70">
        <v>3</v>
      </c>
      <c r="G272" s="230">
        <f t="shared" si="8"/>
        <v>1500</v>
      </c>
      <c r="H272" s="231" t="s">
        <v>385</v>
      </c>
      <c r="I272" s="231" t="s">
        <v>385</v>
      </c>
      <c r="J272" s="231" t="s">
        <v>385</v>
      </c>
      <c r="K272" s="231" t="s">
        <v>385</v>
      </c>
      <c r="L272" s="231"/>
      <c r="M272" s="231" t="s">
        <v>385</v>
      </c>
      <c r="N272" s="231" t="s">
        <v>385</v>
      </c>
      <c r="O272" s="226" t="s">
        <v>385</v>
      </c>
    </row>
    <row r="273" spans="1:15" s="11" customFormat="1" ht="28.5">
      <c r="A273" s="73" t="s">
        <v>427</v>
      </c>
      <c r="B273" s="73" t="s">
        <v>390</v>
      </c>
      <c r="C273" s="90" t="s">
        <v>428</v>
      </c>
      <c r="D273" s="91" t="s">
        <v>7</v>
      </c>
      <c r="E273" s="92">
        <v>112455</v>
      </c>
      <c r="F273" s="67">
        <v>1.591</v>
      </c>
      <c r="G273" s="230">
        <f t="shared" si="8"/>
        <v>178915.905</v>
      </c>
      <c r="H273" s="231" t="s">
        <v>385</v>
      </c>
      <c r="I273" s="231" t="s">
        <v>385</v>
      </c>
      <c r="J273" s="231" t="s">
        <v>385</v>
      </c>
      <c r="K273" s="231" t="s">
        <v>385</v>
      </c>
      <c r="L273" s="231"/>
      <c r="M273" s="231" t="s">
        <v>385</v>
      </c>
      <c r="N273" s="231" t="s">
        <v>385</v>
      </c>
      <c r="O273" s="226" t="s">
        <v>385</v>
      </c>
    </row>
    <row r="274" spans="1:15" s="11" customFormat="1">
      <c r="A274" s="73" t="s">
        <v>429</v>
      </c>
      <c r="B274" s="93" t="s">
        <v>379</v>
      </c>
      <c r="C274" s="94" t="s">
        <v>430</v>
      </c>
      <c r="D274" s="95" t="s">
        <v>9</v>
      </c>
      <c r="E274" s="96">
        <v>670.64</v>
      </c>
      <c r="F274" s="70">
        <f>22-2-2</f>
        <v>18</v>
      </c>
      <c r="G274" s="230">
        <f t="shared" si="8"/>
        <v>12071.52</v>
      </c>
      <c r="H274" s="231" t="s">
        <v>385</v>
      </c>
      <c r="I274" s="231" t="s">
        <v>385</v>
      </c>
      <c r="J274" s="231" t="s">
        <v>385</v>
      </c>
      <c r="K274" s="231" t="s">
        <v>385</v>
      </c>
      <c r="L274" s="231"/>
      <c r="M274" s="231" t="s">
        <v>385</v>
      </c>
      <c r="N274" s="231" t="s">
        <v>385</v>
      </c>
      <c r="O274" s="226" t="s">
        <v>385</v>
      </c>
    </row>
    <row r="275" spans="1:15" s="11" customFormat="1">
      <c r="A275" s="73" t="s">
        <v>431</v>
      </c>
      <c r="B275" s="73" t="s">
        <v>390</v>
      </c>
      <c r="C275" s="79" t="s">
        <v>433</v>
      </c>
      <c r="D275" s="60" t="s">
        <v>9</v>
      </c>
      <c r="E275" s="81">
        <v>200</v>
      </c>
      <c r="F275" s="81">
        <v>22</v>
      </c>
      <c r="G275" s="230">
        <f t="shared" si="8"/>
        <v>4400</v>
      </c>
      <c r="H275" s="234">
        <v>8</v>
      </c>
      <c r="I275" s="233">
        <f>H275*E275</f>
        <v>1600</v>
      </c>
      <c r="J275" s="231" t="s">
        <v>385</v>
      </c>
      <c r="K275" s="231" t="s">
        <v>385</v>
      </c>
      <c r="L275" s="231"/>
      <c r="M275" s="231" t="s">
        <v>385</v>
      </c>
      <c r="N275" s="231" t="s">
        <v>385</v>
      </c>
      <c r="O275" s="226" t="s">
        <v>385</v>
      </c>
    </row>
    <row r="276" spans="1:15" s="11" customFormat="1">
      <c r="A276" s="73" t="s">
        <v>432</v>
      </c>
      <c r="B276" s="73" t="s">
        <v>390</v>
      </c>
      <c r="C276" s="94" t="s">
        <v>435</v>
      </c>
      <c r="D276" s="95" t="s">
        <v>9</v>
      </c>
      <c r="E276" s="96">
        <v>200</v>
      </c>
      <c r="F276" s="96">
        <v>567</v>
      </c>
      <c r="G276" s="230">
        <f t="shared" si="8"/>
        <v>113400</v>
      </c>
      <c r="H276" s="234">
        <v>33</v>
      </c>
      <c r="I276" s="233">
        <f>H276*E276</f>
        <v>6600</v>
      </c>
      <c r="J276" s="231" t="s">
        <v>385</v>
      </c>
      <c r="K276" s="231" t="s">
        <v>385</v>
      </c>
      <c r="L276" s="231"/>
      <c r="M276" s="231" t="s">
        <v>385</v>
      </c>
      <c r="N276" s="231" t="s">
        <v>385</v>
      </c>
      <c r="O276" s="226" t="s">
        <v>385</v>
      </c>
    </row>
    <row r="277" spans="1:15" s="11" customFormat="1">
      <c r="A277" s="73" t="s">
        <v>434</v>
      </c>
      <c r="B277" s="73" t="s">
        <v>390</v>
      </c>
      <c r="C277" s="79" t="s">
        <v>437</v>
      </c>
      <c r="D277" s="60" t="s">
        <v>9</v>
      </c>
      <c r="E277" s="81">
        <v>3088.8</v>
      </c>
      <c r="F277" s="70">
        <v>2</v>
      </c>
      <c r="G277" s="230">
        <f t="shared" si="8"/>
        <v>6177.6</v>
      </c>
      <c r="H277" s="231" t="s">
        <v>385</v>
      </c>
      <c r="I277" s="231" t="s">
        <v>385</v>
      </c>
      <c r="J277" s="231" t="s">
        <v>385</v>
      </c>
      <c r="K277" s="231" t="s">
        <v>385</v>
      </c>
      <c r="L277" s="231"/>
      <c r="M277" s="231" t="s">
        <v>385</v>
      </c>
      <c r="N277" s="231" t="s">
        <v>385</v>
      </c>
      <c r="O277" s="226" t="s">
        <v>385</v>
      </c>
    </row>
    <row r="278" spans="1:15" s="11" customFormat="1" ht="28.5">
      <c r="A278" s="73" t="s">
        <v>436</v>
      </c>
      <c r="B278" s="73" t="s">
        <v>390</v>
      </c>
      <c r="C278" s="79" t="s">
        <v>439</v>
      </c>
      <c r="D278" s="60" t="s">
        <v>9</v>
      </c>
      <c r="E278" s="81">
        <v>65</v>
      </c>
      <c r="F278" s="70">
        <f>4+6</f>
        <v>10</v>
      </c>
      <c r="G278" s="230">
        <f t="shared" si="8"/>
        <v>650</v>
      </c>
      <c r="H278" s="231" t="s">
        <v>385</v>
      </c>
      <c r="I278" s="231" t="s">
        <v>385</v>
      </c>
      <c r="J278" s="231" t="s">
        <v>385</v>
      </c>
      <c r="K278" s="231" t="s">
        <v>385</v>
      </c>
      <c r="L278" s="231"/>
      <c r="M278" s="231" t="s">
        <v>385</v>
      </c>
      <c r="N278" s="231" t="s">
        <v>385</v>
      </c>
      <c r="O278" s="226" t="s">
        <v>385</v>
      </c>
    </row>
    <row r="279" spans="1:15" s="11" customFormat="1">
      <c r="A279" s="73" t="s">
        <v>438</v>
      </c>
      <c r="B279" s="74" t="s">
        <v>441</v>
      </c>
      <c r="C279" s="94" t="s">
        <v>442</v>
      </c>
      <c r="D279" s="95" t="s">
        <v>9</v>
      </c>
      <c r="E279" s="96">
        <v>4118.3999999999996</v>
      </c>
      <c r="F279" s="70">
        <f>20-3</f>
        <v>17</v>
      </c>
      <c r="G279" s="230">
        <f t="shared" si="8"/>
        <v>70012.799999999988</v>
      </c>
      <c r="H279" s="231" t="s">
        <v>385</v>
      </c>
      <c r="I279" s="231" t="s">
        <v>385</v>
      </c>
      <c r="J279" s="231" t="s">
        <v>385</v>
      </c>
      <c r="K279" s="231" t="s">
        <v>385</v>
      </c>
      <c r="L279" s="231"/>
      <c r="M279" s="231" t="s">
        <v>385</v>
      </c>
      <c r="N279" s="231" t="s">
        <v>385</v>
      </c>
      <c r="O279" s="226" t="s">
        <v>385</v>
      </c>
    </row>
    <row r="280" spans="1:15" s="11" customFormat="1">
      <c r="A280" s="73" t="s">
        <v>440</v>
      </c>
      <c r="B280" s="74" t="s">
        <v>444</v>
      </c>
      <c r="C280" s="94" t="s">
        <v>445</v>
      </c>
      <c r="D280" s="95" t="s">
        <v>9</v>
      </c>
      <c r="E280" s="96">
        <v>949.08</v>
      </c>
      <c r="F280" s="70">
        <v>9</v>
      </c>
      <c r="G280" s="230">
        <f t="shared" si="8"/>
        <v>8541.7200000000012</v>
      </c>
      <c r="H280" s="231" t="s">
        <v>385</v>
      </c>
      <c r="I280" s="231" t="s">
        <v>385</v>
      </c>
      <c r="J280" s="231" t="s">
        <v>385</v>
      </c>
      <c r="K280" s="231" t="s">
        <v>385</v>
      </c>
      <c r="L280" s="231"/>
      <c r="M280" s="231" t="s">
        <v>385</v>
      </c>
      <c r="N280" s="231" t="s">
        <v>385</v>
      </c>
      <c r="O280" s="226" t="s">
        <v>385</v>
      </c>
    </row>
    <row r="281" spans="1:15" s="11" customFormat="1" ht="28.5">
      <c r="A281" s="73" t="s">
        <v>443</v>
      </c>
      <c r="B281" s="73" t="s">
        <v>390</v>
      </c>
      <c r="C281" s="94" t="s">
        <v>447</v>
      </c>
      <c r="D281" s="95" t="s">
        <v>9</v>
      </c>
      <c r="E281" s="96">
        <v>250</v>
      </c>
      <c r="F281" s="70">
        <f>31+12+2-18</f>
        <v>27</v>
      </c>
      <c r="G281" s="230">
        <f t="shared" si="8"/>
        <v>6750</v>
      </c>
      <c r="H281" s="231" t="s">
        <v>385</v>
      </c>
      <c r="I281" s="231" t="s">
        <v>385</v>
      </c>
      <c r="J281" s="231" t="s">
        <v>385</v>
      </c>
      <c r="K281" s="231" t="s">
        <v>385</v>
      </c>
      <c r="L281" s="231"/>
      <c r="M281" s="231" t="s">
        <v>385</v>
      </c>
      <c r="N281" s="231" t="s">
        <v>385</v>
      </c>
      <c r="O281" s="226" t="s">
        <v>385</v>
      </c>
    </row>
    <row r="282" spans="1:15" s="11" customFormat="1" ht="28.5">
      <c r="A282" s="73" t="s">
        <v>446</v>
      </c>
      <c r="B282" s="73" t="s">
        <v>390</v>
      </c>
      <c r="C282" s="94" t="s">
        <v>451</v>
      </c>
      <c r="D282" s="95" t="s">
        <v>9</v>
      </c>
      <c r="E282" s="96">
        <v>50</v>
      </c>
      <c r="F282" s="70">
        <f>9-3</f>
        <v>6</v>
      </c>
      <c r="G282" s="230">
        <f t="shared" si="8"/>
        <v>300</v>
      </c>
      <c r="H282" s="231" t="s">
        <v>385</v>
      </c>
      <c r="I282" s="231" t="s">
        <v>385</v>
      </c>
      <c r="J282" s="231" t="s">
        <v>385</v>
      </c>
      <c r="K282" s="231" t="s">
        <v>385</v>
      </c>
      <c r="L282" s="231" t="s">
        <v>385</v>
      </c>
      <c r="M282" s="231" t="s">
        <v>385</v>
      </c>
      <c r="N282" s="231" t="s">
        <v>385</v>
      </c>
      <c r="O282" s="231" t="s">
        <v>385</v>
      </c>
    </row>
    <row r="283" spans="1:15" s="11" customFormat="1">
      <c r="A283" s="73" t="s">
        <v>448</v>
      </c>
      <c r="B283" s="93" t="s">
        <v>454</v>
      </c>
      <c r="C283" s="94" t="s">
        <v>455</v>
      </c>
      <c r="D283" s="95" t="s">
        <v>9</v>
      </c>
      <c r="E283" s="96">
        <v>499.8</v>
      </c>
      <c r="F283" s="70">
        <v>6</v>
      </c>
      <c r="G283" s="230">
        <f t="shared" si="8"/>
        <v>2998.8</v>
      </c>
      <c r="H283" s="231" t="s">
        <v>385</v>
      </c>
      <c r="I283" s="231" t="s">
        <v>385</v>
      </c>
      <c r="J283" s="231" t="s">
        <v>385</v>
      </c>
      <c r="K283" s="231" t="s">
        <v>385</v>
      </c>
      <c r="L283" s="231"/>
      <c r="M283" s="231" t="s">
        <v>385</v>
      </c>
      <c r="N283" s="231" t="s">
        <v>385</v>
      </c>
      <c r="O283" s="231" t="s">
        <v>385</v>
      </c>
    </row>
    <row r="284" spans="1:15" s="11" customFormat="1">
      <c r="A284" s="73" t="s">
        <v>449</v>
      </c>
      <c r="B284" s="74" t="s">
        <v>457</v>
      </c>
      <c r="C284" s="29" t="s">
        <v>458</v>
      </c>
      <c r="D284" s="95" t="s">
        <v>9</v>
      </c>
      <c r="E284" s="92">
        <v>1177.6400000000001</v>
      </c>
      <c r="F284" s="70">
        <f>5-1</f>
        <v>4</v>
      </c>
      <c r="G284" s="230">
        <f t="shared" si="8"/>
        <v>4710.5600000000004</v>
      </c>
      <c r="H284" s="231" t="s">
        <v>385</v>
      </c>
      <c r="I284" s="231" t="s">
        <v>385</v>
      </c>
      <c r="J284" s="231" t="s">
        <v>385</v>
      </c>
      <c r="K284" s="231" t="s">
        <v>385</v>
      </c>
      <c r="L284" s="231"/>
      <c r="M284" s="231" t="s">
        <v>385</v>
      </c>
      <c r="N284" s="231" t="s">
        <v>385</v>
      </c>
      <c r="O284" s="231" t="s">
        <v>385</v>
      </c>
    </row>
    <row r="285" spans="1:15" s="11" customFormat="1">
      <c r="A285" s="73" t="s">
        <v>450</v>
      </c>
      <c r="B285" s="74" t="s">
        <v>377</v>
      </c>
      <c r="C285" s="29" t="s">
        <v>460</v>
      </c>
      <c r="D285" s="95" t="s">
        <v>9</v>
      </c>
      <c r="E285" s="92">
        <v>1177.6400000000001</v>
      </c>
      <c r="F285" s="70">
        <v>5</v>
      </c>
      <c r="G285" s="230">
        <f t="shared" si="8"/>
        <v>5888.2000000000007</v>
      </c>
      <c r="H285" s="231" t="s">
        <v>385</v>
      </c>
      <c r="I285" s="231" t="s">
        <v>385</v>
      </c>
      <c r="J285" s="231" t="s">
        <v>385</v>
      </c>
      <c r="K285" s="231" t="s">
        <v>385</v>
      </c>
      <c r="L285" s="231"/>
      <c r="M285" s="231" t="s">
        <v>385</v>
      </c>
      <c r="N285" s="231" t="s">
        <v>385</v>
      </c>
      <c r="O285" s="231" t="s">
        <v>385</v>
      </c>
    </row>
    <row r="286" spans="1:15" s="11" customFormat="1">
      <c r="A286" s="73" t="s">
        <v>452</v>
      </c>
      <c r="B286" s="74" t="s">
        <v>376</v>
      </c>
      <c r="C286" s="20" t="s">
        <v>462</v>
      </c>
      <c r="D286" s="95" t="s">
        <v>9</v>
      </c>
      <c r="E286" s="92">
        <v>1175.23</v>
      </c>
      <c r="F286" s="70">
        <f>8-2-4</f>
        <v>2</v>
      </c>
      <c r="G286" s="230">
        <f t="shared" si="8"/>
        <v>2350.46</v>
      </c>
      <c r="H286" s="231" t="s">
        <v>385</v>
      </c>
      <c r="I286" s="231" t="s">
        <v>385</v>
      </c>
      <c r="J286" s="231" t="s">
        <v>385</v>
      </c>
      <c r="K286" s="231" t="s">
        <v>385</v>
      </c>
      <c r="L286" s="231"/>
      <c r="M286" s="231" t="s">
        <v>385</v>
      </c>
      <c r="N286" s="231" t="s">
        <v>385</v>
      </c>
      <c r="O286" s="231" t="s">
        <v>385</v>
      </c>
    </row>
    <row r="287" spans="1:15" s="11" customFormat="1">
      <c r="A287" s="73" t="s">
        <v>453</v>
      </c>
      <c r="B287" s="74" t="s">
        <v>464</v>
      </c>
      <c r="C287" s="42" t="s">
        <v>465</v>
      </c>
      <c r="D287" s="95" t="s">
        <v>9</v>
      </c>
      <c r="E287" s="92">
        <v>1180</v>
      </c>
      <c r="F287" s="70">
        <v>4</v>
      </c>
      <c r="G287" s="230">
        <f t="shared" si="8"/>
        <v>4720</v>
      </c>
      <c r="H287" s="231" t="s">
        <v>385</v>
      </c>
      <c r="I287" s="231" t="s">
        <v>385</v>
      </c>
      <c r="J287" s="231" t="s">
        <v>385</v>
      </c>
      <c r="K287" s="231" t="s">
        <v>385</v>
      </c>
      <c r="L287" s="231"/>
      <c r="M287" s="231" t="s">
        <v>385</v>
      </c>
      <c r="N287" s="231" t="s">
        <v>385</v>
      </c>
      <c r="O287" s="231" t="s">
        <v>385</v>
      </c>
    </row>
    <row r="288" spans="1:15" s="11" customFormat="1">
      <c r="A288" s="73" t="s">
        <v>456</v>
      </c>
      <c r="B288" s="74" t="s">
        <v>380</v>
      </c>
      <c r="C288" s="42" t="s">
        <v>467</v>
      </c>
      <c r="D288" s="95" t="s">
        <v>9</v>
      </c>
      <c r="E288" s="92">
        <v>733.96</v>
      </c>
      <c r="F288" s="70">
        <f>4-2</f>
        <v>2</v>
      </c>
      <c r="G288" s="230">
        <f t="shared" si="8"/>
        <v>1467.92</v>
      </c>
      <c r="H288" s="231" t="s">
        <v>385</v>
      </c>
      <c r="I288" s="231" t="s">
        <v>385</v>
      </c>
      <c r="J288" s="231" t="s">
        <v>385</v>
      </c>
      <c r="K288" s="231" t="s">
        <v>385</v>
      </c>
      <c r="L288" s="231"/>
      <c r="M288" s="231" t="s">
        <v>385</v>
      </c>
      <c r="N288" s="231" t="s">
        <v>385</v>
      </c>
      <c r="O288" s="231" t="s">
        <v>385</v>
      </c>
    </row>
    <row r="289" spans="1:15" s="11" customFormat="1">
      <c r="A289" s="73" t="s">
        <v>459</v>
      </c>
      <c r="B289" s="73" t="s">
        <v>469</v>
      </c>
      <c r="C289" s="97" t="s">
        <v>470</v>
      </c>
      <c r="D289" s="95" t="s">
        <v>8</v>
      </c>
      <c r="E289" s="92">
        <v>735.13</v>
      </c>
      <c r="F289" s="70">
        <v>6</v>
      </c>
      <c r="G289" s="230">
        <f t="shared" si="8"/>
        <v>4410.78</v>
      </c>
      <c r="H289" s="231" t="s">
        <v>385</v>
      </c>
      <c r="I289" s="231" t="s">
        <v>385</v>
      </c>
      <c r="J289" s="231" t="s">
        <v>385</v>
      </c>
      <c r="K289" s="231" t="s">
        <v>385</v>
      </c>
      <c r="L289" s="231"/>
      <c r="M289" s="231" t="s">
        <v>385</v>
      </c>
      <c r="N289" s="231" t="s">
        <v>385</v>
      </c>
      <c r="O289" s="231" t="s">
        <v>385</v>
      </c>
    </row>
    <row r="290" spans="1:15" s="11" customFormat="1">
      <c r="A290" s="73" t="s">
        <v>461</v>
      </c>
      <c r="B290" s="98" t="s">
        <v>472</v>
      </c>
      <c r="C290" s="97" t="s">
        <v>473</v>
      </c>
      <c r="D290" s="95" t="s">
        <v>8</v>
      </c>
      <c r="E290" s="92">
        <v>735.13</v>
      </c>
      <c r="F290" s="70">
        <f>8-4</f>
        <v>4</v>
      </c>
      <c r="G290" s="230">
        <f t="shared" si="8"/>
        <v>2940.52</v>
      </c>
      <c r="H290" s="231" t="s">
        <v>385</v>
      </c>
      <c r="I290" s="231" t="s">
        <v>385</v>
      </c>
      <c r="J290" s="231" t="s">
        <v>385</v>
      </c>
      <c r="K290" s="231" t="s">
        <v>385</v>
      </c>
      <c r="L290" s="231"/>
      <c r="M290" s="231" t="s">
        <v>385</v>
      </c>
      <c r="N290" s="231" t="s">
        <v>385</v>
      </c>
      <c r="O290" s="231" t="s">
        <v>385</v>
      </c>
    </row>
    <row r="291" spans="1:15" s="11" customFormat="1">
      <c r="A291" s="73" t="s">
        <v>463</v>
      </c>
      <c r="B291" s="98" t="s">
        <v>475</v>
      </c>
      <c r="C291" s="97" t="s">
        <v>476</v>
      </c>
      <c r="D291" s="95" t="s">
        <v>8</v>
      </c>
      <c r="E291" s="92">
        <v>1174.08</v>
      </c>
      <c r="F291" s="70">
        <v>4</v>
      </c>
      <c r="G291" s="230">
        <f t="shared" si="8"/>
        <v>4696.32</v>
      </c>
      <c r="H291" s="231" t="s">
        <v>385</v>
      </c>
      <c r="I291" s="231" t="s">
        <v>385</v>
      </c>
      <c r="J291" s="231" t="s">
        <v>385</v>
      </c>
      <c r="K291" s="231" t="s">
        <v>385</v>
      </c>
      <c r="L291" s="231"/>
      <c r="M291" s="231" t="s">
        <v>385</v>
      </c>
      <c r="N291" s="231" t="s">
        <v>385</v>
      </c>
      <c r="O291" s="231" t="s">
        <v>385</v>
      </c>
    </row>
    <row r="292" spans="1:15" s="11" customFormat="1">
      <c r="A292" s="73" t="s">
        <v>466</v>
      </c>
      <c r="B292" s="74" t="s">
        <v>478</v>
      </c>
      <c r="C292" s="97" t="s">
        <v>479</v>
      </c>
      <c r="D292" s="95" t="s">
        <v>8</v>
      </c>
      <c r="E292" s="92">
        <v>1455</v>
      </c>
      <c r="F292" s="70">
        <v>1</v>
      </c>
      <c r="G292" s="230">
        <f t="shared" si="8"/>
        <v>1455</v>
      </c>
      <c r="H292" s="231" t="s">
        <v>385</v>
      </c>
      <c r="I292" s="231" t="s">
        <v>385</v>
      </c>
      <c r="J292" s="231" t="s">
        <v>385</v>
      </c>
      <c r="K292" s="231" t="s">
        <v>385</v>
      </c>
      <c r="L292" s="231"/>
      <c r="M292" s="231" t="s">
        <v>385</v>
      </c>
      <c r="N292" s="231" t="s">
        <v>385</v>
      </c>
      <c r="O292" s="231" t="s">
        <v>385</v>
      </c>
    </row>
    <row r="293" spans="1:15" s="11" customFormat="1">
      <c r="A293" s="73" t="s">
        <v>468</v>
      </c>
      <c r="B293" s="74" t="s">
        <v>481</v>
      </c>
      <c r="C293" s="42" t="s">
        <v>482</v>
      </c>
      <c r="D293" s="60" t="s">
        <v>8</v>
      </c>
      <c r="E293" s="92">
        <v>5876</v>
      </c>
      <c r="F293" s="70">
        <v>1</v>
      </c>
      <c r="G293" s="230">
        <f t="shared" si="8"/>
        <v>5876</v>
      </c>
      <c r="H293" s="231" t="s">
        <v>385</v>
      </c>
      <c r="I293" s="231" t="s">
        <v>385</v>
      </c>
      <c r="J293" s="231" t="s">
        <v>385</v>
      </c>
      <c r="K293" s="231" t="s">
        <v>385</v>
      </c>
      <c r="L293" s="231"/>
      <c r="M293" s="231" t="s">
        <v>385</v>
      </c>
      <c r="N293" s="231" t="s">
        <v>385</v>
      </c>
      <c r="O293" s="231" t="s">
        <v>385</v>
      </c>
    </row>
    <row r="294" spans="1:15" s="11" customFormat="1">
      <c r="A294" s="73" t="s">
        <v>471</v>
      </c>
      <c r="B294" s="74" t="s">
        <v>484</v>
      </c>
      <c r="C294" s="42" t="s">
        <v>485</v>
      </c>
      <c r="D294" s="60" t="s">
        <v>8</v>
      </c>
      <c r="E294" s="92">
        <v>5853</v>
      </c>
      <c r="F294" s="70">
        <v>1</v>
      </c>
      <c r="G294" s="230">
        <f t="shared" si="8"/>
        <v>5853</v>
      </c>
      <c r="H294" s="231" t="s">
        <v>385</v>
      </c>
      <c r="I294" s="231" t="s">
        <v>385</v>
      </c>
      <c r="J294" s="231" t="s">
        <v>385</v>
      </c>
      <c r="K294" s="231" t="s">
        <v>385</v>
      </c>
      <c r="L294" s="231"/>
      <c r="M294" s="231" t="s">
        <v>385</v>
      </c>
      <c r="N294" s="231" t="s">
        <v>385</v>
      </c>
      <c r="O294" s="231" t="s">
        <v>385</v>
      </c>
    </row>
    <row r="295" spans="1:15" s="11" customFormat="1">
      <c r="A295" s="73" t="s">
        <v>474</v>
      </c>
      <c r="B295" s="74" t="s">
        <v>487</v>
      </c>
      <c r="C295" s="79" t="s">
        <v>488</v>
      </c>
      <c r="D295" s="60" t="s">
        <v>8</v>
      </c>
      <c r="E295" s="99">
        <v>5888</v>
      </c>
      <c r="F295" s="70">
        <v>1</v>
      </c>
      <c r="G295" s="230">
        <f t="shared" si="8"/>
        <v>5888</v>
      </c>
      <c r="H295" s="231" t="s">
        <v>385</v>
      </c>
      <c r="I295" s="231" t="s">
        <v>385</v>
      </c>
      <c r="J295" s="231" t="s">
        <v>385</v>
      </c>
      <c r="K295" s="231" t="s">
        <v>385</v>
      </c>
      <c r="L295" s="231"/>
      <c r="M295" s="231" t="s">
        <v>385</v>
      </c>
      <c r="N295" s="231" t="s">
        <v>385</v>
      </c>
      <c r="O295" s="231" t="s">
        <v>385</v>
      </c>
    </row>
    <row r="296" spans="1:15" s="11" customFormat="1">
      <c r="A296" s="73" t="s">
        <v>477</v>
      </c>
      <c r="B296" s="74" t="s">
        <v>490</v>
      </c>
      <c r="C296" s="100" t="s">
        <v>491</v>
      </c>
      <c r="D296" s="60" t="s">
        <v>8</v>
      </c>
      <c r="E296" s="101">
        <v>230.12</v>
      </c>
      <c r="F296" s="70">
        <v>3</v>
      </c>
      <c r="G296" s="230">
        <f t="shared" si="8"/>
        <v>690.36</v>
      </c>
      <c r="H296" s="231" t="s">
        <v>385</v>
      </c>
      <c r="I296" s="231" t="s">
        <v>385</v>
      </c>
      <c r="J296" s="231" t="s">
        <v>385</v>
      </c>
      <c r="K296" s="231" t="s">
        <v>385</v>
      </c>
      <c r="L296" s="231"/>
      <c r="M296" s="231" t="s">
        <v>385</v>
      </c>
      <c r="N296" s="231" t="s">
        <v>385</v>
      </c>
      <c r="O296" s="231" t="s">
        <v>385</v>
      </c>
    </row>
    <row r="297" spans="1:15" s="11" customFormat="1">
      <c r="A297" s="73" t="s">
        <v>480</v>
      </c>
      <c r="B297" s="74" t="s">
        <v>493</v>
      </c>
      <c r="C297" s="102" t="s">
        <v>494</v>
      </c>
      <c r="D297" s="60" t="s">
        <v>8</v>
      </c>
      <c r="E297" s="101">
        <v>5887</v>
      </c>
      <c r="F297" s="70">
        <v>1</v>
      </c>
      <c r="G297" s="230">
        <f t="shared" si="8"/>
        <v>5887</v>
      </c>
      <c r="H297" s="231" t="s">
        <v>385</v>
      </c>
      <c r="I297" s="231" t="s">
        <v>385</v>
      </c>
      <c r="J297" s="231" t="s">
        <v>385</v>
      </c>
      <c r="K297" s="231" t="s">
        <v>385</v>
      </c>
      <c r="L297" s="231"/>
      <c r="M297" s="231" t="s">
        <v>385</v>
      </c>
      <c r="N297" s="231" t="s">
        <v>385</v>
      </c>
      <c r="O297" s="231" t="s">
        <v>385</v>
      </c>
    </row>
    <row r="298" spans="1:15" s="11" customFormat="1">
      <c r="A298" s="73" t="s">
        <v>483</v>
      </c>
      <c r="B298" s="73" t="s">
        <v>390</v>
      </c>
      <c r="C298" s="103" t="s">
        <v>496</v>
      </c>
      <c r="D298" s="60" t="s">
        <v>8</v>
      </c>
      <c r="E298" s="101">
        <v>1944.66</v>
      </c>
      <c r="F298" s="70">
        <v>2</v>
      </c>
      <c r="G298" s="230">
        <f t="shared" si="8"/>
        <v>3889.32</v>
      </c>
      <c r="H298" s="231" t="s">
        <v>385</v>
      </c>
      <c r="I298" s="231" t="s">
        <v>385</v>
      </c>
      <c r="J298" s="231" t="s">
        <v>385</v>
      </c>
      <c r="K298" s="231" t="s">
        <v>385</v>
      </c>
      <c r="L298" s="231"/>
      <c r="M298" s="231" t="s">
        <v>385</v>
      </c>
      <c r="N298" s="231" t="s">
        <v>385</v>
      </c>
      <c r="O298" s="231" t="s">
        <v>385</v>
      </c>
    </row>
    <row r="299" spans="1:15" s="11" customFormat="1" ht="28.5">
      <c r="A299" s="73" t="s">
        <v>486</v>
      </c>
      <c r="B299" s="73" t="s">
        <v>497</v>
      </c>
      <c r="C299" s="75" t="s">
        <v>498</v>
      </c>
      <c r="D299" s="60" t="s">
        <v>370</v>
      </c>
      <c r="E299" s="101">
        <v>232.44</v>
      </c>
      <c r="F299" s="70">
        <f>8-3</f>
        <v>5</v>
      </c>
      <c r="G299" s="230">
        <f t="shared" si="8"/>
        <v>1162.2</v>
      </c>
      <c r="H299" s="231" t="s">
        <v>385</v>
      </c>
      <c r="I299" s="231" t="s">
        <v>385</v>
      </c>
      <c r="J299" s="231" t="s">
        <v>385</v>
      </c>
      <c r="K299" s="231" t="s">
        <v>385</v>
      </c>
      <c r="L299" s="231"/>
      <c r="M299" s="231" t="s">
        <v>385</v>
      </c>
      <c r="N299" s="231" t="s">
        <v>385</v>
      </c>
      <c r="O299" s="231" t="s">
        <v>385</v>
      </c>
    </row>
    <row r="300" spans="1:15" s="11" customFormat="1">
      <c r="A300" s="73" t="s">
        <v>489</v>
      </c>
      <c r="B300" s="104" t="s">
        <v>499</v>
      </c>
      <c r="C300" s="100" t="s">
        <v>500</v>
      </c>
      <c r="D300" s="60" t="s">
        <v>370</v>
      </c>
      <c r="E300" s="101">
        <v>102</v>
      </c>
      <c r="F300" s="105">
        <v>13</v>
      </c>
      <c r="G300" s="230">
        <f t="shared" si="8"/>
        <v>1326</v>
      </c>
      <c r="H300" s="231" t="s">
        <v>385</v>
      </c>
      <c r="I300" s="231" t="s">
        <v>385</v>
      </c>
      <c r="J300" s="231" t="s">
        <v>385</v>
      </c>
      <c r="K300" s="231" t="s">
        <v>385</v>
      </c>
      <c r="L300" s="231"/>
      <c r="M300" s="231" t="s">
        <v>385</v>
      </c>
      <c r="N300" s="231" t="s">
        <v>385</v>
      </c>
      <c r="O300" s="231" t="s">
        <v>385</v>
      </c>
    </row>
    <row r="301" spans="1:15" s="11" customFormat="1">
      <c r="A301" s="73" t="s">
        <v>492</v>
      </c>
      <c r="B301" s="14" t="s">
        <v>390</v>
      </c>
      <c r="C301" s="75" t="s">
        <v>501</v>
      </c>
      <c r="D301" s="60" t="s">
        <v>370</v>
      </c>
      <c r="E301" s="101">
        <v>40</v>
      </c>
      <c r="F301" s="105">
        <f>570-246</f>
        <v>324</v>
      </c>
      <c r="G301" s="230">
        <f t="shared" si="8"/>
        <v>12960</v>
      </c>
      <c r="H301" s="231" t="s">
        <v>385</v>
      </c>
      <c r="I301" s="231" t="s">
        <v>385</v>
      </c>
      <c r="J301" s="231" t="s">
        <v>385</v>
      </c>
      <c r="K301" s="231" t="s">
        <v>385</v>
      </c>
      <c r="L301" s="231"/>
      <c r="M301" s="231" t="s">
        <v>385</v>
      </c>
      <c r="N301" s="231" t="s">
        <v>385</v>
      </c>
      <c r="O301" s="231" t="s">
        <v>385</v>
      </c>
    </row>
    <row r="302" spans="1:15" s="11" customFormat="1" ht="42.75">
      <c r="A302" s="73" t="s">
        <v>495</v>
      </c>
      <c r="B302" s="73" t="s">
        <v>390</v>
      </c>
      <c r="C302" s="106" t="s">
        <v>502</v>
      </c>
      <c r="D302" s="107" t="s">
        <v>7</v>
      </c>
      <c r="E302" s="108">
        <v>120383</v>
      </c>
      <c r="F302" s="109">
        <f>1.426-1.1-0.178</f>
        <v>0.14799999999999985</v>
      </c>
      <c r="G302" s="230">
        <f t="shared" si="8"/>
        <v>17816.683999999983</v>
      </c>
      <c r="H302" s="231" t="s">
        <v>385</v>
      </c>
      <c r="I302" s="231" t="s">
        <v>385</v>
      </c>
      <c r="J302" s="231" t="s">
        <v>385</v>
      </c>
      <c r="K302" s="231" t="s">
        <v>385</v>
      </c>
      <c r="L302" s="231"/>
      <c r="M302" s="231" t="s">
        <v>385</v>
      </c>
      <c r="N302" s="231" t="s">
        <v>385</v>
      </c>
      <c r="O302" s="231" t="s">
        <v>385</v>
      </c>
    </row>
    <row r="303" spans="1:15" s="11" customFormat="1">
      <c r="A303" s="435">
        <v>49</v>
      </c>
      <c r="B303" s="437" t="s">
        <v>390</v>
      </c>
      <c r="C303" s="439" t="s">
        <v>503</v>
      </c>
      <c r="D303" s="107" t="s">
        <v>7</v>
      </c>
      <c r="E303" s="108">
        <v>120383</v>
      </c>
      <c r="F303" s="109">
        <v>3.7909999999999999</v>
      </c>
      <c r="G303" s="230">
        <f t="shared" si="8"/>
        <v>456371.95299999998</v>
      </c>
      <c r="H303" s="231" t="s">
        <v>385</v>
      </c>
      <c r="I303" s="231" t="s">
        <v>385</v>
      </c>
      <c r="J303" s="231" t="s">
        <v>385</v>
      </c>
      <c r="K303" s="231" t="s">
        <v>385</v>
      </c>
      <c r="L303" s="231"/>
      <c r="M303" s="231" t="s">
        <v>385</v>
      </c>
      <c r="N303" s="231" t="s">
        <v>385</v>
      </c>
      <c r="O303" s="231" t="s">
        <v>385</v>
      </c>
    </row>
    <row r="304" spans="1:15" s="11" customFormat="1">
      <c r="A304" s="436"/>
      <c r="B304" s="438"/>
      <c r="C304" s="440"/>
      <c r="D304" s="107" t="s">
        <v>7</v>
      </c>
      <c r="E304" s="108">
        <f>106611.18*1.18</f>
        <v>125801.19239999999</v>
      </c>
      <c r="F304" s="109">
        <f>3.249-1.6</f>
        <v>1.649</v>
      </c>
      <c r="G304" s="230">
        <f t="shared" si="8"/>
        <v>207446.16626759997</v>
      </c>
      <c r="H304" s="231" t="s">
        <v>385</v>
      </c>
      <c r="I304" s="231" t="s">
        <v>385</v>
      </c>
      <c r="J304" s="231" t="s">
        <v>385</v>
      </c>
      <c r="K304" s="231" t="s">
        <v>385</v>
      </c>
      <c r="L304" s="231"/>
      <c r="M304" s="231" t="s">
        <v>385</v>
      </c>
      <c r="N304" s="231" t="s">
        <v>385</v>
      </c>
      <c r="O304" s="231" t="s">
        <v>385</v>
      </c>
    </row>
    <row r="305" spans="1:15" s="11" customFormat="1">
      <c r="A305" s="441">
        <v>50</v>
      </c>
      <c r="B305" s="443" t="s">
        <v>390</v>
      </c>
      <c r="C305" s="439" t="s">
        <v>504</v>
      </c>
      <c r="D305" s="107" t="s">
        <v>7</v>
      </c>
      <c r="E305" s="108">
        <v>120383</v>
      </c>
      <c r="F305" s="109">
        <f>2.476-1.8</f>
        <v>0.67599999999999993</v>
      </c>
      <c r="G305" s="230">
        <f t="shared" si="8"/>
        <v>81378.907999999996</v>
      </c>
      <c r="H305" s="231" t="s">
        <v>385</v>
      </c>
      <c r="I305" s="231" t="s">
        <v>385</v>
      </c>
      <c r="J305" s="231" t="s">
        <v>385</v>
      </c>
      <c r="K305" s="231" t="s">
        <v>385</v>
      </c>
      <c r="L305" s="231"/>
      <c r="M305" s="231" t="s">
        <v>385</v>
      </c>
      <c r="N305" s="231" t="s">
        <v>385</v>
      </c>
      <c r="O305" s="231" t="s">
        <v>385</v>
      </c>
    </row>
    <row r="306" spans="1:15" s="11" customFormat="1">
      <c r="A306" s="442"/>
      <c r="B306" s="444"/>
      <c r="C306" s="445"/>
      <c r="D306" s="107" t="s">
        <v>7</v>
      </c>
      <c r="E306" s="108">
        <f>106611.18*1.18</f>
        <v>125801.19239999999</v>
      </c>
      <c r="F306" s="109">
        <f>5.948-0.23</f>
        <v>5.718</v>
      </c>
      <c r="G306" s="230">
        <f t="shared" si="8"/>
        <v>719331.21814319992</v>
      </c>
      <c r="H306" s="231" t="s">
        <v>385</v>
      </c>
      <c r="I306" s="231" t="s">
        <v>385</v>
      </c>
      <c r="J306" s="231" t="s">
        <v>385</v>
      </c>
      <c r="K306" s="231" t="s">
        <v>385</v>
      </c>
      <c r="L306" s="231"/>
      <c r="M306" s="231" t="s">
        <v>385</v>
      </c>
      <c r="N306" s="231" t="s">
        <v>385</v>
      </c>
      <c r="O306" s="231" t="s">
        <v>385</v>
      </c>
    </row>
    <row r="307" spans="1:15" s="11" customFormat="1" ht="28.5">
      <c r="A307" s="199">
        <v>51</v>
      </c>
      <c r="B307" s="104" t="s">
        <v>390</v>
      </c>
      <c r="C307" s="106" t="s">
        <v>505</v>
      </c>
      <c r="D307" s="107" t="s">
        <v>392</v>
      </c>
      <c r="E307" s="108">
        <f>10614.77*1.18</f>
        <v>12525.428599999999</v>
      </c>
      <c r="F307" s="109">
        <v>6</v>
      </c>
      <c r="G307" s="230">
        <f t="shared" si="8"/>
        <v>75152.571599999996</v>
      </c>
      <c r="H307" s="231" t="s">
        <v>385</v>
      </c>
      <c r="I307" s="231" t="s">
        <v>385</v>
      </c>
      <c r="J307" s="231" t="s">
        <v>385</v>
      </c>
      <c r="K307" s="231" t="s">
        <v>385</v>
      </c>
      <c r="L307" s="231"/>
      <c r="M307" s="231" t="s">
        <v>385</v>
      </c>
      <c r="N307" s="231" t="s">
        <v>385</v>
      </c>
      <c r="O307" s="231" t="s">
        <v>385</v>
      </c>
    </row>
    <row r="308" spans="1:15" s="11" customFormat="1">
      <c r="A308" s="199">
        <v>52</v>
      </c>
      <c r="B308" s="110" t="s">
        <v>394</v>
      </c>
      <c r="C308" s="106" t="s">
        <v>506</v>
      </c>
      <c r="D308" s="107" t="s">
        <v>9</v>
      </c>
      <c r="E308" s="108">
        <f>928.6*1.18</f>
        <v>1095.748</v>
      </c>
      <c r="F308" s="109">
        <f>24+75-24+5</f>
        <v>80</v>
      </c>
      <c r="G308" s="230">
        <f t="shared" si="8"/>
        <v>87659.839999999997</v>
      </c>
      <c r="H308" s="231" t="s">
        <v>385</v>
      </c>
      <c r="I308" s="231" t="s">
        <v>385</v>
      </c>
      <c r="J308" s="231" t="s">
        <v>385</v>
      </c>
      <c r="K308" s="231" t="s">
        <v>385</v>
      </c>
      <c r="L308" s="231"/>
      <c r="M308" s="231" t="s">
        <v>385</v>
      </c>
      <c r="N308" s="231" t="s">
        <v>385</v>
      </c>
      <c r="O308" s="231" t="s">
        <v>385</v>
      </c>
    </row>
    <row r="309" spans="1:15" s="11" customFormat="1">
      <c r="A309" s="199">
        <v>53</v>
      </c>
      <c r="B309" s="111" t="s">
        <v>507</v>
      </c>
      <c r="C309" s="106" t="s">
        <v>508</v>
      </c>
      <c r="D309" s="107" t="s">
        <v>9</v>
      </c>
      <c r="E309" s="108">
        <f>578.69*1.18</f>
        <v>682.85419999999999</v>
      </c>
      <c r="F309" s="109">
        <f>4+5-4</f>
        <v>5</v>
      </c>
      <c r="G309" s="230">
        <f t="shared" si="8"/>
        <v>3414.2709999999997</v>
      </c>
      <c r="H309" s="231" t="s">
        <v>385</v>
      </c>
      <c r="I309" s="231" t="s">
        <v>385</v>
      </c>
      <c r="J309" s="231" t="s">
        <v>385</v>
      </c>
      <c r="K309" s="231" t="s">
        <v>385</v>
      </c>
      <c r="L309" s="231"/>
      <c r="M309" s="231" t="s">
        <v>385</v>
      </c>
      <c r="N309" s="231" t="s">
        <v>385</v>
      </c>
      <c r="O309" s="231" t="s">
        <v>385</v>
      </c>
    </row>
    <row r="310" spans="1:15" s="11" customFormat="1">
      <c r="A310" s="199">
        <v>54</v>
      </c>
      <c r="B310" s="74" t="s">
        <v>334</v>
      </c>
      <c r="C310" s="106" t="s">
        <v>509</v>
      </c>
      <c r="D310" s="107" t="s">
        <v>9</v>
      </c>
      <c r="E310" s="108">
        <f>961.8*1.18</f>
        <v>1134.924</v>
      </c>
      <c r="F310" s="109">
        <f>303-12+2</f>
        <v>293</v>
      </c>
      <c r="G310" s="230">
        <f t="shared" si="8"/>
        <v>332532.73200000002</v>
      </c>
      <c r="H310" s="231" t="s">
        <v>385</v>
      </c>
      <c r="I310" s="231" t="s">
        <v>385</v>
      </c>
      <c r="J310" s="231" t="s">
        <v>385</v>
      </c>
      <c r="K310" s="231" t="s">
        <v>385</v>
      </c>
      <c r="L310" s="231" t="s">
        <v>385</v>
      </c>
      <c r="M310" s="231"/>
      <c r="N310" s="231" t="s">
        <v>385</v>
      </c>
      <c r="O310" s="231" t="s">
        <v>385</v>
      </c>
    </row>
    <row r="311" spans="1:15" s="11" customFormat="1">
      <c r="A311" s="199">
        <v>55</v>
      </c>
      <c r="B311" s="74" t="s">
        <v>399</v>
      </c>
      <c r="C311" s="106" t="s">
        <v>510</v>
      </c>
      <c r="D311" s="107" t="s">
        <v>9</v>
      </c>
      <c r="E311" s="108">
        <f>429.76*1.18</f>
        <v>507.11679999999996</v>
      </c>
      <c r="F311" s="109">
        <f>312-15+4</f>
        <v>301</v>
      </c>
      <c r="G311" s="230">
        <f t="shared" si="8"/>
        <v>152642.1568</v>
      </c>
      <c r="H311" s="231" t="s">
        <v>385</v>
      </c>
      <c r="I311" s="231" t="s">
        <v>385</v>
      </c>
      <c r="J311" s="231" t="s">
        <v>385</v>
      </c>
      <c r="K311" s="231" t="s">
        <v>385</v>
      </c>
      <c r="L311" s="231" t="s">
        <v>385</v>
      </c>
      <c r="M311" s="231"/>
      <c r="N311" s="231" t="s">
        <v>385</v>
      </c>
      <c r="O311" s="231" t="s">
        <v>385</v>
      </c>
    </row>
    <row r="312" spans="1:15" s="11" customFormat="1">
      <c r="A312" s="199">
        <v>56</v>
      </c>
      <c r="B312" s="74" t="s">
        <v>406</v>
      </c>
      <c r="C312" s="106" t="s">
        <v>511</v>
      </c>
      <c r="D312" s="107" t="s">
        <v>9</v>
      </c>
      <c r="E312" s="108">
        <f>1074.18*1.18</f>
        <v>1267.5324000000001</v>
      </c>
      <c r="F312" s="109">
        <f>195+522-390</f>
        <v>327</v>
      </c>
      <c r="G312" s="230">
        <f t="shared" si="8"/>
        <v>414483.09480000002</v>
      </c>
      <c r="H312" s="231" t="s">
        <v>385</v>
      </c>
      <c r="I312" s="231" t="s">
        <v>385</v>
      </c>
      <c r="J312" s="231" t="s">
        <v>385</v>
      </c>
      <c r="K312" s="231" t="s">
        <v>385</v>
      </c>
      <c r="L312" s="231" t="s">
        <v>385</v>
      </c>
      <c r="M312" s="231"/>
      <c r="N312" s="231" t="s">
        <v>385</v>
      </c>
      <c r="O312" s="231" t="s">
        <v>385</v>
      </c>
    </row>
    <row r="313" spans="1:15" s="11" customFormat="1">
      <c r="A313" s="199">
        <v>57</v>
      </c>
      <c r="B313" s="74" t="s">
        <v>409</v>
      </c>
      <c r="C313" s="106" t="s">
        <v>512</v>
      </c>
      <c r="D313" s="107" t="s">
        <v>9</v>
      </c>
      <c r="E313" s="108">
        <f>703.65*1.18</f>
        <v>830.3069999999999</v>
      </c>
      <c r="F313" s="109">
        <f>26+28-46</f>
        <v>8</v>
      </c>
      <c r="G313" s="230">
        <f t="shared" si="8"/>
        <v>6642.4559999999992</v>
      </c>
      <c r="H313" s="231" t="s">
        <v>385</v>
      </c>
      <c r="I313" s="231" t="s">
        <v>385</v>
      </c>
      <c r="J313" s="231" t="s">
        <v>385</v>
      </c>
      <c r="K313" s="231" t="s">
        <v>385</v>
      </c>
      <c r="L313" s="231"/>
      <c r="M313" s="231" t="s">
        <v>385</v>
      </c>
      <c r="N313" s="231" t="s">
        <v>385</v>
      </c>
      <c r="O313" s="231" t="s">
        <v>385</v>
      </c>
    </row>
    <row r="314" spans="1:15" s="11" customFormat="1">
      <c r="A314" s="199">
        <v>58</v>
      </c>
      <c r="B314" s="104" t="s">
        <v>513</v>
      </c>
      <c r="C314" s="106" t="s">
        <v>514</v>
      </c>
      <c r="D314" s="107" t="s">
        <v>9</v>
      </c>
      <c r="E314" s="108">
        <f>1227.37*1.18</f>
        <v>1448.2965999999999</v>
      </c>
      <c r="F314" s="109">
        <f>44+84</f>
        <v>128</v>
      </c>
      <c r="G314" s="230">
        <f t="shared" si="8"/>
        <v>185381.96479999999</v>
      </c>
      <c r="H314" s="231" t="s">
        <v>385</v>
      </c>
      <c r="I314" s="231" t="s">
        <v>385</v>
      </c>
      <c r="J314" s="231" t="s">
        <v>385</v>
      </c>
      <c r="K314" s="231" t="s">
        <v>385</v>
      </c>
      <c r="L314" s="231" t="s">
        <v>385</v>
      </c>
      <c r="M314" s="231"/>
      <c r="N314" s="231" t="s">
        <v>385</v>
      </c>
      <c r="O314" s="231" t="s">
        <v>385</v>
      </c>
    </row>
    <row r="315" spans="1:15" s="11" customFormat="1">
      <c r="A315" s="199">
        <v>59</v>
      </c>
      <c r="B315" s="112" t="s">
        <v>515</v>
      </c>
      <c r="C315" s="113" t="s">
        <v>516</v>
      </c>
      <c r="D315" s="52" t="s">
        <v>12</v>
      </c>
      <c r="E315" s="114">
        <v>55460</v>
      </c>
      <c r="F315" s="115">
        <f>2.2-0.2-0.24</f>
        <v>1.76</v>
      </c>
      <c r="G315" s="230">
        <f t="shared" si="8"/>
        <v>97609.600000000006</v>
      </c>
      <c r="H315" s="231" t="s">
        <v>385</v>
      </c>
      <c r="I315" s="231" t="s">
        <v>385</v>
      </c>
      <c r="J315" s="231" t="s">
        <v>385</v>
      </c>
      <c r="K315" s="231" t="s">
        <v>385</v>
      </c>
      <c r="L315" s="231"/>
      <c r="M315" s="231" t="s">
        <v>385</v>
      </c>
      <c r="N315" s="231" t="s">
        <v>385</v>
      </c>
      <c r="O315" s="231" t="s">
        <v>385</v>
      </c>
    </row>
    <row r="316" spans="1:15" s="11" customFormat="1">
      <c r="A316" s="199">
        <v>60</v>
      </c>
      <c r="B316" s="110" t="s">
        <v>457</v>
      </c>
      <c r="C316" s="116" t="s">
        <v>517</v>
      </c>
      <c r="D316" s="117" t="s">
        <v>9</v>
      </c>
      <c r="E316" s="114">
        <v>1652</v>
      </c>
      <c r="F316" s="115">
        <v>4</v>
      </c>
      <c r="G316" s="230">
        <f t="shared" si="8"/>
        <v>6608</v>
      </c>
      <c r="H316" s="231" t="s">
        <v>385</v>
      </c>
      <c r="I316" s="231" t="s">
        <v>385</v>
      </c>
      <c r="J316" s="231" t="s">
        <v>385</v>
      </c>
      <c r="K316" s="231" t="s">
        <v>385</v>
      </c>
      <c r="L316" s="231" t="s">
        <v>385</v>
      </c>
      <c r="M316" s="231"/>
      <c r="N316" s="231" t="s">
        <v>385</v>
      </c>
      <c r="O316" s="231" t="s">
        <v>385</v>
      </c>
    </row>
    <row r="317" spans="1:15" s="11" customFormat="1" ht="42.75">
      <c r="A317" s="199">
        <v>61</v>
      </c>
      <c r="B317" s="74" t="s">
        <v>390</v>
      </c>
      <c r="C317" s="116" t="s">
        <v>518</v>
      </c>
      <c r="D317" s="118" t="s">
        <v>9</v>
      </c>
      <c r="E317" s="114">
        <v>2000</v>
      </c>
      <c r="F317" s="115">
        <f>21+3</f>
        <v>24</v>
      </c>
      <c r="G317" s="230">
        <f t="shared" si="8"/>
        <v>48000</v>
      </c>
      <c r="H317" s="231" t="s">
        <v>385</v>
      </c>
      <c r="I317" s="231" t="s">
        <v>385</v>
      </c>
      <c r="J317" s="231" t="s">
        <v>385</v>
      </c>
      <c r="K317" s="231" t="s">
        <v>385</v>
      </c>
      <c r="L317" s="231" t="s">
        <v>385</v>
      </c>
      <c r="M317" s="231"/>
      <c r="N317" s="231" t="s">
        <v>385</v>
      </c>
      <c r="O317" s="231" t="s">
        <v>385</v>
      </c>
    </row>
    <row r="318" spans="1:15" s="11" customFormat="1">
      <c r="A318" s="199">
        <v>62</v>
      </c>
      <c r="B318" s="74" t="s">
        <v>390</v>
      </c>
      <c r="C318" s="116" t="s">
        <v>519</v>
      </c>
      <c r="D318" s="117" t="s">
        <v>9</v>
      </c>
      <c r="E318" s="114">
        <v>500</v>
      </c>
      <c r="F318" s="115">
        <f>6-3</f>
        <v>3</v>
      </c>
      <c r="G318" s="230">
        <f t="shared" si="8"/>
        <v>1500</v>
      </c>
      <c r="H318" s="231" t="s">
        <v>385</v>
      </c>
      <c r="I318" s="231" t="s">
        <v>385</v>
      </c>
      <c r="J318" s="231" t="s">
        <v>385</v>
      </c>
      <c r="K318" s="231" t="s">
        <v>385</v>
      </c>
      <c r="L318" s="231" t="s">
        <v>385</v>
      </c>
      <c r="M318" s="231"/>
      <c r="N318" s="231" t="s">
        <v>385</v>
      </c>
      <c r="O318" s="231" t="s">
        <v>385</v>
      </c>
    </row>
    <row r="319" spans="1:15" s="11" customFormat="1">
      <c r="A319" s="199">
        <v>63</v>
      </c>
      <c r="B319" s="119" t="s">
        <v>441</v>
      </c>
      <c r="C319" s="120" t="s">
        <v>520</v>
      </c>
      <c r="D319" s="118" t="s">
        <v>9</v>
      </c>
      <c r="E319" s="114">
        <v>9912</v>
      </c>
      <c r="F319" s="115">
        <f>26-24+2</f>
        <v>4</v>
      </c>
      <c r="G319" s="230">
        <f t="shared" ref="G319:G366" si="9">E319*F319</f>
        <v>39648</v>
      </c>
      <c r="H319" s="231" t="s">
        <v>385</v>
      </c>
      <c r="I319" s="231" t="s">
        <v>385</v>
      </c>
      <c r="J319" s="231" t="s">
        <v>385</v>
      </c>
      <c r="K319" s="231" t="s">
        <v>385</v>
      </c>
      <c r="L319" s="231" t="s">
        <v>385</v>
      </c>
      <c r="M319" s="231"/>
      <c r="N319" s="231" t="s">
        <v>385</v>
      </c>
      <c r="O319" s="231" t="s">
        <v>385</v>
      </c>
    </row>
    <row r="320" spans="1:15" s="11" customFormat="1">
      <c r="A320" s="199">
        <v>64</v>
      </c>
      <c r="B320" s="121" t="s">
        <v>521</v>
      </c>
      <c r="C320" s="100" t="s">
        <v>522</v>
      </c>
      <c r="D320" s="122" t="s">
        <v>370</v>
      </c>
      <c r="E320" s="114">
        <v>130</v>
      </c>
      <c r="F320" s="115">
        <v>50</v>
      </c>
      <c r="G320" s="230">
        <f t="shared" si="9"/>
        <v>6500</v>
      </c>
      <c r="H320" s="231" t="s">
        <v>385</v>
      </c>
      <c r="I320" s="231" t="s">
        <v>385</v>
      </c>
      <c r="J320" s="231" t="s">
        <v>385</v>
      </c>
      <c r="K320" s="231" t="s">
        <v>385</v>
      </c>
      <c r="L320" s="231" t="s">
        <v>385</v>
      </c>
      <c r="M320" s="231"/>
      <c r="N320" s="231" t="s">
        <v>385</v>
      </c>
      <c r="O320" s="231" t="s">
        <v>385</v>
      </c>
    </row>
    <row r="321" spans="1:15" s="11" customFormat="1">
      <c r="A321" s="199">
        <v>65</v>
      </c>
      <c r="B321" s="74" t="s">
        <v>390</v>
      </c>
      <c r="C321" s="100" t="s">
        <v>523</v>
      </c>
      <c r="D321" s="122" t="s">
        <v>370</v>
      </c>
      <c r="E321" s="114">
        <v>130</v>
      </c>
      <c r="F321" s="115">
        <f>56-6-30</f>
        <v>20</v>
      </c>
      <c r="G321" s="230">
        <f t="shared" si="9"/>
        <v>2600</v>
      </c>
      <c r="H321" s="231" t="s">
        <v>385</v>
      </c>
      <c r="I321" s="231" t="s">
        <v>385</v>
      </c>
      <c r="J321" s="231" t="s">
        <v>385</v>
      </c>
      <c r="K321" s="231" t="s">
        <v>385</v>
      </c>
      <c r="L321" s="231" t="s">
        <v>385</v>
      </c>
      <c r="M321" s="231"/>
      <c r="N321" s="231" t="s">
        <v>385</v>
      </c>
      <c r="O321" s="231" t="s">
        <v>385</v>
      </c>
    </row>
    <row r="322" spans="1:15" s="11" customFormat="1">
      <c r="A322" s="199">
        <v>66</v>
      </c>
      <c r="B322" s="74" t="s">
        <v>390</v>
      </c>
      <c r="C322" s="116" t="s">
        <v>524</v>
      </c>
      <c r="D322" s="52" t="s">
        <v>7</v>
      </c>
      <c r="E322" s="114">
        <v>120383</v>
      </c>
      <c r="F322" s="115">
        <v>0.4</v>
      </c>
      <c r="G322" s="230">
        <f t="shared" si="9"/>
        <v>48153.200000000004</v>
      </c>
      <c r="H322" s="231" t="s">
        <v>385</v>
      </c>
      <c r="I322" s="231" t="s">
        <v>385</v>
      </c>
      <c r="J322" s="231" t="s">
        <v>385</v>
      </c>
      <c r="K322" s="231" t="s">
        <v>385</v>
      </c>
      <c r="L322" s="231" t="s">
        <v>385</v>
      </c>
      <c r="M322" s="231"/>
      <c r="N322" s="231" t="s">
        <v>385</v>
      </c>
      <c r="O322" s="231" t="s">
        <v>385</v>
      </c>
    </row>
    <row r="323" spans="1:15" s="11" customFormat="1">
      <c r="A323" s="199">
        <v>67</v>
      </c>
      <c r="B323" s="104" t="s">
        <v>525</v>
      </c>
      <c r="C323" s="123" t="s">
        <v>526</v>
      </c>
      <c r="D323" s="122" t="s">
        <v>9</v>
      </c>
      <c r="E323" s="114">
        <v>1469.1</v>
      </c>
      <c r="F323" s="115">
        <f>20</f>
        <v>20</v>
      </c>
      <c r="G323" s="230">
        <f t="shared" si="9"/>
        <v>29382</v>
      </c>
      <c r="H323" s="231" t="s">
        <v>385</v>
      </c>
      <c r="I323" s="231" t="s">
        <v>385</v>
      </c>
      <c r="J323" s="231" t="s">
        <v>385</v>
      </c>
      <c r="K323" s="231" t="s">
        <v>385</v>
      </c>
      <c r="L323" s="231" t="s">
        <v>385</v>
      </c>
      <c r="M323" s="231"/>
      <c r="N323" s="231" t="s">
        <v>385</v>
      </c>
      <c r="O323" s="231" t="s">
        <v>385</v>
      </c>
    </row>
    <row r="324" spans="1:15" s="11" customFormat="1">
      <c r="A324" s="199">
        <v>68</v>
      </c>
      <c r="B324" s="70" t="s">
        <v>11</v>
      </c>
      <c r="C324" s="86" t="s">
        <v>527</v>
      </c>
      <c r="D324" s="86" t="s">
        <v>381</v>
      </c>
      <c r="E324" s="124">
        <v>108560</v>
      </c>
      <c r="F324" s="99">
        <f>0.6-0.2</f>
        <v>0.39999999999999997</v>
      </c>
      <c r="G324" s="230">
        <f t="shared" si="9"/>
        <v>43424</v>
      </c>
      <c r="H324" s="231" t="s">
        <v>385</v>
      </c>
      <c r="I324" s="231" t="s">
        <v>385</v>
      </c>
      <c r="J324" s="231" t="s">
        <v>385</v>
      </c>
      <c r="K324" s="231" t="s">
        <v>385</v>
      </c>
      <c r="L324" s="231" t="s">
        <v>385</v>
      </c>
      <c r="M324" s="231"/>
      <c r="N324" s="231" t="s">
        <v>385</v>
      </c>
      <c r="O324" s="231" t="s">
        <v>385</v>
      </c>
    </row>
    <row r="325" spans="1:15" s="11" customFormat="1">
      <c r="A325" s="199">
        <v>69</v>
      </c>
      <c r="B325" s="73" t="s">
        <v>390</v>
      </c>
      <c r="C325" s="86" t="s">
        <v>528</v>
      </c>
      <c r="D325" s="86" t="s">
        <v>8</v>
      </c>
      <c r="E325" s="124">
        <v>10620</v>
      </c>
      <c r="F325" s="99">
        <f>27-15</f>
        <v>12</v>
      </c>
      <c r="G325" s="230">
        <f t="shared" si="9"/>
        <v>127440</v>
      </c>
      <c r="H325" s="231" t="s">
        <v>385</v>
      </c>
      <c r="I325" s="231" t="s">
        <v>385</v>
      </c>
      <c r="J325" s="231" t="s">
        <v>385</v>
      </c>
      <c r="K325" s="231" t="s">
        <v>385</v>
      </c>
      <c r="L325" s="231" t="s">
        <v>385</v>
      </c>
      <c r="M325" s="231"/>
      <c r="N325" s="231" t="s">
        <v>385</v>
      </c>
      <c r="O325" s="231" t="s">
        <v>385</v>
      </c>
    </row>
    <row r="326" spans="1:15" s="11" customFormat="1" ht="28.5">
      <c r="A326" s="199">
        <v>70</v>
      </c>
      <c r="B326" s="73" t="s">
        <v>390</v>
      </c>
      <c r="C326" s="86" t="s">
        <v>529</v>
      </c>
      <c r="D326" s="86" t="s">
        <v>392</v>
      </c>
      <c r="E326" s="124">
        <v>23010</v>
      </c>
      <c r="F326" s="99">
        <f>9-6</f>
        <v>3</v>
      </c>
      <c r="G326" s="230">
        <f t="shared" si="9"/>
        <v>69030</v>
      </c>
      <c r="H326" s="231" t="s">
        <v>385</v>
      </c>
      <c r="I326" s="231" t="s">
        <v>385</v>
      </c>
      <c r="J326" s="231" t="s">
        <v>385</v>
      </c>
      <c r="K326" s="231" t="s">
        <v>385</v>
      </c>
      <c r="L326" s="231" t="s">
        <v>385</v>
      </c>
      <c r="M326" s="231"/>
      <c r="N326" s="231" t="s">
        <v>385</v>
      </c>
      <c r="O326" s="231" t="s">
        <v>385</v>
      </c>
    </row>
    <row r="327" spans="1:15" s="11" customFormat="1" ht="28.5">
      <c r="A327" s="199">
        <v>71</v>
      </c>
      <c r="B327" s="73" t="s">
        <v>390</v>
      </c>
      <c r="C327" s="86" t="s">
        <v>530</v>
      </c>
      <c r="D327" s="86" t="s">
        <v>392</v>
      </c>
      <c r="E327" s="124">
        <v>10030</v>
      </c>
      <c r="F327" s="99">
        <f>20-3</f>
        <v>17</v>
      </c>
      <c r="G327" s="230">
        <f t="shared" si="9"/>
        <v>170510</v>
      </c>
      <c r="H327" s="231" t="s">
        <v>385</v>
      </c>
      <c r="I327" s="231" t="s">
        <v>385</v>
      </c>
      <c r="J327" s="231" t="s">
        <v>385</v>
      </c>
      <c r="K327" s="231" t="s">
        <v>385</v>
      </c>
      <c r="L327" s="231" t="s">
        <v>385</v>
      </c>
      <c r="M327" s="231"/>
      <c r="N327" s="231" t="s">
        <v>385</v>
      </c>
      <c r="O327" s="231" t="s">
        <v>385</v>
      </c>
    </row>
    <row r="328" spans="1:15" s="11" customFormat="1">
      <c r="A328" s="199">
        <v>72</v>
      </c>
      <c r="B328" s="119" t="s">
        <v>377</v>
      </c>
      <c r="C328" s="86" t="s">
        <v>531</v>
      </c>
      <c r="D328" s="86" t="s">
        <v>8</v>
      </c>
      <c r="E328" s="124">
        <v>2655</v>
      </c>
      <c r="F328" s="99">
        <f>8-3</f>
        <v>5</v>
      </c>
      <c r="G328" s="230">
        <f t="shared" si="9"/>
        <v>13275</v>
      </c>
      <c r="H328" s="231" t="s">
        <v>385</v>
      </c>
      <c r="I328" s="231" t="s">
        <v>385</v>
      </c>
      <c r="J328" s="231" t="s">
        <v>385</v>
      </c>
      <c r="K328" s="231" t="s">
        <v>385</v>
      </c>
      <c r="L328" s="231" t="s">
        <v>385</v>
      </c>
      <c r="M328" s="231"/>
      <c r="N328" s="231" t="s">
        <v>385</v>
      </c>
      <c r="O328" s="231" t="s">
        <v>385</v>
      </c>
    </row>
    <row r="329" spans="1:15" s="11" customFormat="1" ht="28.5">
      <c r="A329" s="199">
        <v>73</v>
      </c>
      <c r="B329" s="119" t="s">
        <v>532</v>
      </c>
      <c r="C329" s="86" t="s">
        <v>533</v>
      </c>
      <c r="D329" s="86" t="s">
        <v>392</v>
      </c>
      <c r="E329" s="124">
        <v>2360</v>
      </c>
      <c r="F329" s="99">
        <v>10</v>
      </c>
      <c r="G329" s="230">
        <f t="shared" si="9"/>
        <v>23600</v>
      </c>
      <c r="H329" s="235" t="s">
        <v>385</v>
      </c>
      <c r="I329" s="231" t="s">
        <v>385</v>
      </c>
      <c r="J329" s="231" t="s">
        <v>385</v>
      </c>
      <c r="K329" s="231" t="s">
        <v>385</v>
      </c>
      <c r="L329" s="231" t="s">
        <v>385</v>
      </c>
      <c r="M329" s="231"/>
      <c r="N329" s="231" t="s">
        <v>385</v>
      </c>
      <c r="O329" s="231" t="s">
        <v>385</v>
      </c>
    </row>
    <row r="330" spans="1:15" s="11" customFormat="1">
      <c r="A330" s="199">
        <v>74</v>
      </c>
      <c r="B330" s="74" t="s">
        <v>394</v>
      </c>
      <c r="C330" s="86" t="s">
        <v>534</v>
      </c>
      <c r="D330" s="86" t="s">
        <v>392</v>
      </c>
      <c r="E330" s="124">
        <v>1858.5</v>
      </c>
      <c r="F330" s="99">
        <f>36-4-15-2</f>
        <v>15</v>
      </c>
      <c r="G330" s="230">
        <f t="shared" si="9"/>
        <v>27877.5</v>
      </c>
      <c r="H330" s="235" t="s">
        <v>385</v>
      </c>
      <c r="I330" s="231" t="s">
        <v>385</v>
      </c>
      <c r="J330" s="235" t="s">
        <v>385</v>
      </c>
      <c r="K330" s="231" t="s">
        <v>385</v>
      </c>
      <c r="L330" s="231"/>
      <c r="M330" s="231" t="s">
        <v>385</v>
      </c>
      <c r="N330" s="231" t="s">
        <v>385</v>
      </c>
      <c r="O330" s="231" t="s">
        <v>385</v>
      </c>
    </row>
    <row r="331" spans="1:15" s="11" customFormat="1" ht="28.5">
      <c r="A331" s="199">
        <v>75</v>
      </c>
      <c r="B331" s="119" t="s">
        <v>390</v>
      </c>
      <c r="C331" s="125" t="s">
        <v>535</v>
      </c>
      <c r="D331" s="86" t="s">
        <v>370</v>
      </c>
      <c r="E331" s="124">
        <v>180</v>
      </c>
      <c r="F331" s="77" t="s">
        <v>385</v>
      </c>
      <c r="G331" s="231" t="s">
        <v>385</v>
      </c>
      <c r="H331" s="231" t="s">
        <v>385</v>
      </c>
      <c r="I331" s="235" t="s">
        <v>385</v>
      </c>
      <c r="J331" s="235" t="s">
        <v>385</v>
      </c>
      <c r="K331" s="235" t="s">
        <v>385</v>
      </c>
      <c r="L331" s="235"/>
      <c r="M331" s="235" t="s">
        <v>385</v>
      </c>
      <c r="N331" s="236">
        <f>3283-148.275</f>
        <v>3134.7249999999999</v>
      </c>
      <c r="O331" s="237">
        <f>E331*N331</f>
        <v>564250.5</v>
      </c>
    </row>
    <row r="332" spans="1:15" s="11" customFormat="1">
      <c r="A332" s="199">
        <v>76</v>
      </c>
      <c r="B332" s="119" t="s">
        <v>536</v>
      </c>
      <c r="C332" s="86" t="s">
        <v>537</v>
      </c>
      <c r="D332" s="86" t="s">
        <v>9</v>
      </c>
      <c r="E332" s="126">
        <v>882</v>
      </c>
      <c r="F332" s="127">
        <f>35-6-4</f>
        <v>25</v>
      </c>
      <c r="G332" s="230">
        <f t="shared" si="9"/>
        <v>22050</v>
      </c>
      <c r="H332" s="231" t="s">
        <v>385</v>
      </c>
      <c r="I332" s="231" t="s">
        <v>385</v>
      </c>
      <c r="J332" s="231" t="s">
        <v>385</v>
      </c>
      <c r="K332" s="231" t="s">
        <v>385</v>
      </c>
      <c r="L332" s="231" t="s">
        <v>385</v>
      </c>
      <c r="M332" s="231"/>
      <c r="N332" s="231" t="s">
        <v>385</v>
      </c>
      <c r="O332" s="231" t="s">
        <v>385</v>
      </c>
    </row>
    <row r="333" spans="1:15" s="11" customFormat="1">
      <c r="A333" s="199">
        <v>77</v>
      </c>
      <c r="B333" s="70" t="s">
        <v>375</v>
      </c>
      <c r="C333" s="86" t="s">
        <v>538</v>
      </c>
      <c r="D333" s="86" t="s">
        <v>381</v>
      </c>
      <c r="E333" s="126">
        <v>274350</v>
      </c>
      <c r="F333" s="128">
        <v>2</v>
      </c>
      <c r="G333" s="230">
        <f t="shared" si="9"/>
        <v>548700</v>
      </c>
      <c r="H333" s="231" t="s">
        <v>385</v>
      </c>
      <c r="I333" s="231" t="s">
        <v>385</v>
      </c>
      <c r="J333" s="231" t="s">
        <v>385</v>
      </c>
      <c r="K333" s="231" t="s">
        <v>385</v>
      </c>
      <c r="L333" s="231" t="s">
        <v>385</v>
      </c>
      <c r="M333" s="231"/>
      <c r="N333" s="231" t="s">
        <v>385</v>
      </c>
      <c r="O333" s="231" t="s">
        <v>385</v>
      </c>
    </row>
    <row r="334" spans="1:15" s="11" customFormat="1">
      <c r="A334" s="199">
        <v>78</v>
      </c>
      <c r="B334" s="104" t="s">
        <v>539</v>
      </c>
      <c r="C334" s="103" t="s">
        <v>540</v>
      </c>
      <c r="D334" s="59" t="s">
        <v>9</v>
      </c>
      <c r="E334" s="59">
        <f>1890*18%+1890</f>
        <v>2230.1999999999998</v>
      </c>
      <c r="F334" s="101">
        <v>20</v>
      </c>
      <c r="G334" s="230">
        <f t="shared" si="9"/>
        <v>44604</v>
      </c>
      <c r="H334" s="231" t="s">
        <v>385</v>
      </c>
      <c r="I334" s="231" t="s">
        <v>385</v>
      </c>
      <c r="J334" s="231" t="s">
        <v>385</v>
      </c>
      <c r="K334" s="231" t="s">
        <v>385</v>
      </c>
      <c r="L334" s="231" t="s">
        <v>385</v>
      </c>
      <c r="M334" s="231"/>
      <c r="N334" s="231" t="s">
        <v>385</v>
      </c>
      <c r="O334" s="231" t="s">
        <v>385</v>
      </c>
    </row>
    <row r="335" spans="1:15" s="11" customFormat="1">
      <c r="A335" s="199">
        <v>79</v>
      </c>
      <c r="B335" s="119" t="s">
        <v>541</v>
      </c>
      <c r="C335" s="103" t="s">
        <v>542</v>
      </c>
      <c r="D335" s="59" t="s">
        <v>9</v>
      </c>
      <c r="E335" s="59">
        <f>1890*18%+1890</f>
        <v>2230.1999999999998</v>
      </c>
      <c r="F335" s="101">
        <v>10</v>
      </c>
      <c r="G335" s="230">
        <f t="shared" si="9"/>
        <v>22302</v>
      </c>
      <c r="H335" s="231" t="s">
        <v>385</v>
      </c>
      <c r="I335" s="231" t="s">
        <v>385</v>
      </c>
      <c r="J335" s="231" t="s">
        <v>385</v>
      </c>
      <c r="K335" s="231" t="s">
        <v>385</v>
      </c>
      <c r="L335" s="231" t="s">
        <v>385</v>
      </c>
      <c r="M335" s="231"/>
      <c r="N335" s="231" t="s">
        <v>385</v>
      </c>
      <c r="O335" s="231" t="s">
        <v>385</v>
      </c>
    </row>
    <row r="336" spans="1:15" s="11" customFormat="1">
      <c r="A336" s="199">
        <v>80</v>
      </c>
      <c r="B336" s="119" t="s">
        <v>543</v>
      </c>
      <c r="C336" s="103" t="s">
        <v>544</v>
      </c>
      <c r="D336" s="59" t="s">
        <v>9</v>
      </c>
      <c r="E336" s="129">
        <f>1890*18%+1890</f>
        <v>2230.1999999999998</v>
      </c>
      <c r="F336" s="101">
        <f>10-4</f>
        <v>6</v>
      </c>
      <c r="G336" s="230">
        <f t="shared" si="9"/>
        <v>13381.199999999999</v>
      </c>
      <c r="H336" s="231" t="s">
        <v>385</v>
      </c>
      <c r="I336" s="231" t="s">
        <v>385</v>
      </c>
      <c r="J336" s="231" t="s">
        <v>385</v>
      </c>
      <c r="K336" s="231" t="s">
        <v>385</v>
      </c>
      <c r="L336" s="231" t="s">
        <v>385</v>
      </c>
      <c r="M336" s="231"/>
      <c r="N336" s="231" t="s">
        <v>385</v>
      </c>
      <c r="O336" s="231" t="s">
        <v>385</v>
      </c>
    </row>
    <row r="337" spans="1:15" s="11" customFormat="1">
      <c r="A337" s="199">
        <v>81</v>
      </c>
      <c r="B337" s="98" t="s">
        <v>475</v>
      </c>
      <c r="C337" s="103" t="s">
        <v>545</v>
      </c>
      <c r="D337" s="59" t="s">
        <v>9</v>
      </c>
      <c r="E337" s="59">
        <f>1250*18%+1250</f>
        <v>1475</v>
      </c>
      <c r="F337" s="101">
        <f>20-3</f>
        <v>17</v>
      </c>
      <c r="G337" s="230">
        <f t="shared" si="9"/>
        <v>25075</v>
      </c>
      <c r="H337" s="231" t="s">
        <v>385</v>
      </c>
      <c r="I337" s="231" t="s">
        <v>385</v>
      </c>
      <c r="J337" s="231" t="s">
        <v>385</v>
      </c>
      <c r="K337" s="231" t="s">
        <v>385</v>
      </c>
      <c r="L337" s="231" t="s">
        <v>385</v>
      </c>
      <c r="M337" s="231"/>
      <c r="N337" s="231" t="s">
        <v>385</v>
      </c>
      <c r="O337" s="231" t="s">
        <v>385</v>
      </c>
    </row>
    <row r="338" spans="1:15" s="11" customFormat="1">
      <c r="A338" s="199">
        <v>82</v>
      </c>
      <c r="B338" s="74" t="s">
        <v>478</v>
      </c>
      <c r="C338" s="103" t="s">
        <v>546</v>
      </c>
      <c r="D338" s="59" t="s">
        <v>392</v>
      </c>
      <c r="E338" s="59">
        <f>1861*18%+1861</f>
        <v>2195.98</v>
      </c>
      <c r="F338" s="101">
        <v>10</v>
      </c>
      <c r="G338" s="230">
        <f t="shared" si="9"/>
        <v>21959.8</v>
      </c>
      <c r="H338" s="238"/>
      <c r="I338" s="235" t="s">
        <v>385</v>
      </c>
      <c r="J338" s="235"/>
      <c r="K338" s="235" t="s">
        <v>385</v>
      </c>
      <c r="L338" s="235"/>
      <c r="M338" s="235" t="s">
        <v>385</v>
      </c>
      <c r="N338" s="235"/>
      <c r="O338" s="237">
        <f>E338*N338</f>
        <v>0</v>
      </c>
    </row>
    <row r="339" spans="1:15" s="11" customFormat="1">
      <c r="A339" s="199">
        <v>83</v>
      </c>
      <c r="B339" s="74" t="s">
        <v>547</v>
      </c>
      <c r="C339" s="103" t="s">
        <v>548</v>
      </c>
      <c r="D339" s="59" t="s">
        <v>9</v>
      </c>
      <c r="E339" s="50">
        <f>6240.17*18%+6240.17</f>
        <v>7363.4005999999999</v>
      </c>
      <c r="F339" s="101">
        <v>6</v>
      </c>
      <c r="G339" s="230">
        <f t="shared" si="9"/>
        <v>44180.403599999998</v>
      </c>
      <c r="H339" s="231" t="s">
        <v>385</v>
      </c>
      <c r="I339" s="231" t="s">
        <v>385</v>
      </c>
      <c r="J339" s="231" t="s">
        <v>385</v>
      </c>
      <c r="K339" s="231" t="s">
        <v>385</v>
      </c>
      <c r="L339" s="231" t="s">
        <v>385</v>
      </c>
      <c r="M339" s="231"/>
      <c r="N339" s="231" t="s">
        <v>385</v>
      </c>
      <c r="O339" s="231" t="s">
        <v>385</v>
      </c>
    </row>
    <row r="340" spans="1:15" s="11" customFormat="1">
      <c r="A340" s="199">
        <v>84</v>
      </c>
      <c r="B340" s="74" t="s">
        <v>549</v>
      </c>
      <c r="C340" s="103" t="s">
        <v>550</v>
      </c>
      <c r="D340" s="59" t="s">
        <v>392</v>
      </c>
      <c r="E340" s="59">
        <f>5200.06*18%+5200.06</f>
        <v>6136.0708000000004</v>
      </c>
      <c r="F340" s="101">
        <v>10</v>
      </c>
      <c r="G340" s="230">
        <f t="shared" si="9"/>
        <v>61360.708000000006</v>
      </c>
      <c r="H340" s="231" t="s">
        <v>385</v>
      </c>
      <c r="I340" s="231" t="s">
        <v>385</v>
      </c>
      <c r="J340" s="231" t="s">
        <v>385</v>
      </c>
      <c r="K340" s="231" t="s">
        <v>385</v>
      </c>
      <c r="L340" s="231" t="s">
        <v>385</v>
      </c>
      <c r="M340" s="231"/>
      <c r="N340" s="231" t="s">
        <v>385</v>
      </c>
      <c r="O340" s="231" t="s">
        <v>385</v>
      </c>
    </row>
    <row r="341" spans="1:15" s="11" customFormat="1" ht="28.5">
      <c r="A341" s="199">
        <v>85</v>
      </c>
      <c r="B341" s="74" t="s">
        <v>551</v>
      </c>
      <c r="C341" s="103" t="s">
        <v>552</v>
      </c>
      <c r="D341" s="59" t="s">
        <v>392</v>
      </c>
      <c r="E341" s="50">
        <f>10401.7*18%+10401.7</f>
        <v>12274.006000000001</v>
      </c>
      <c r="F341" s="101">
        <v>4</v>
      </c>
      <c r="G341" s="230">
        <f t="shared" si="9"/>
        <v>49096.024000000005</v>
      </c>
      <c r="H341" s="231" t="s">
        <v>385</v>
      </c>
      <c r="I341" s="231" t="s">
        <v>385</v>
      </c>
      <c r="J341" s="231" t="s">
        <v>385</v>
      </c>
      <c r="K341" s="231" t="s">
        <v>385</v>
      </c>
      <c r="L341" s="231" t="s">
        <v>385</v>
      </c>
      <c r="M341" s="231"/>
      <c r="N341" s="231" t="s">
        <v>385</v>
      </c>
      <c r="O341" s="231" t="s">
        <v>385</v>
      </c>
    </row>
    <row r="342" spans="1:15" s="11" customFormat="1">
      <c r="A342" s="199">
        <v>86</v>
      </c>
      <c r="B342" s="74" t="s">
        <v>553</v>
      </c>
      <c r="C342" s="103" t="s">
        <v>554</v>
      </c>
      <c r="D342" s="59" t="s">
        <v>392</v>
      </c>
      <c r="E342" s="59">
        <f>8000*18%+8000</f>
        <v>9440</v>
      </c>
      <c r="F342" s="101">
        <v>10</v>
      </c>
      <c r="G342" s="230">
        <f t="shared" si="9"/>
        <v>94400</v>
      </c>
      <c r="H342" s="231" t="s">
        <v>385</v>
      </c>
      <c r="I342" s="231" t="s">
        <v>385</v>
      </c>
      <c r="J342" s="231" t="s">
        <v>385</v>
      </c>
      <c r="K342" s="231" t="s">
        <v>385</v>
      </c>
      <c r="L342" s="231" t="s">
        <v>385</v>
      </c>
      <c r="M342" s="231"/>
      <c r="N342" s="231" t="s">
        <v>385</v>
      </c>
      <c r="O342" s="231" t="s">
        <v>385</v>
      </c>
    </row>
    <row r="343" spans="1:15" s="11" customFormat="1">
      <c r="A343" s="199">
        <v>87</v>
      </c>
      <c r="B343" s="119" t="s">
        <v>464</v>
      </c>
      <c r="C343" s="67" t="s">
        <v>555</v>
      </c>
      <c r="D343" s="59" t="s">
        <v>9</v>
      </c>
      <c r="E343" s="53">
        <v>1537.9648</v>
      </c>
      <c r="F343" s="101">
        <v>20</v>
      </c>
      <c r="G343" s="230">
        <f t="shared" si="9"/>
        <v>30759.295999999998</v>
      </c>
      <c r="H343" s="231" t="s">
        <v>385</v>
      </c>
      <c r="I343" s="231" t="s">
        <v>385</v>
      </c>
      <c r="J343" s="231" t="s">
        <v>385</v>
      </c>
      <c r="K343" s="231" t="s">
        <v>385</v>
      </c>
      <c r="L343" s="231" t="s">
        <v>385</v>
      </c>
      <c r="M343" s="231"/>
      <c r="N343" s="231" t="s">
        <v>385</v>
      </c>
      <c r="O343" s="231" t="s">
        <v>385</v>
      </c>
    </row>
    <row r="344" spans="1:15" s="11" customFormat="1">
      <c r="A344" s="199">
        <v>88</v>
      </c>
      <c r="B344" s="119" t="s">
        <v>556</v>
      </c>
      <c r="C344" s="67" t="s">
        <v>557</v>
      </c>
      <c r="D344" s="59" t="s">
        <v>9</v>
      </c>
      <c r="E344" s="59">
        <f>1634.14*18%+1634.14</f>
        <v>1928.2852</v>
      </c>
      <c r="F344" s="101">
        <v>20</v>
      </c>
      <c r="G344" s="230">
        <f t="shared" si="9"/>
        <v>38565.703999999998</v>
      </c>
      <c r="H344" s="231" t="s">
        <v>385</v>
      </c>
      <c r="I344" s="231" t="s">
        <v>385</v>
      </c>
      <c r="J344" s="231" t="s">
        <v>385</v>
      </c>
      <c r="K344" s="231" t="s">
        <v>385</v>
      </c>
      <c r="L344" s="231" t="s">
        <v>385</v>
      </c>
      <c r="M344" s="231"/>
      <c r="N344" s="231" t="s">
        <v>385</v>
      </c>
      <c r="O344" s="231" t="s">
        <v>385</v>
      </c>
    </row>
    <row r="345" spans="1:15" s="11" customFormat="1">
      <c r="A345" s="199">
        <v>89</v>
      </c>
      <c r="B345" s="119" t="s">
        <v>558</v>
      </c>
      <c r="C345" s="67" t="s">
        <v>559</v>
      </c>
      <c r="D345" s="59" t="s">
        <v>9</v>
      </c>
      <c r="E345" s="59">
        <f>1723.32*18%+1723.32</f>
        <v>2033.5175999999999</v>
      </c>
      <c r="F345" s="101">
        <f>60-3</f>
        <v>57</v>
      </c>
      <c r="G345" s="230">
        <f t="shared" si="9"/>
        <v>115910.50319999999</v>
      </c>
      <c r="H345" s="231" t="s">
        <v>385</v>
      </c>
      <c r="I345" s="231" t="s">
        <v>385</v>
      </c>
      <c r="J345" s="231" t="s">
        <v>385</v>
      </c>
      <c r="K345" s="231" t="s">
        <v>385</v>
      </c>
      <c r="L345" s="231"/>
      <c r="M345" s="231" t="s">
        <v>385</v>
      </c>
      <c r="N345" s="231" t="s">
        <v>385</v>
      </c>
      <c r="O345" s="231" t="s">
        <v>385</v>
      </c>
    </row>
    <row r="346" spans="1:15" s="11" customFormat="1">
      <c r="A346" s="199">
        <v>90</v>
      </c>
      <c r="B346" s="74" t="s">
        <v>454</v>
      </c>
      <c r="C346" s="67" t="s">
        <v>560</v>
      </c>
      <c r="D346" s="59" t="s">
        <v>9</v>
      </c>
      <c r="E346" s="59">
        <f>956.8*18%+956.8</f>
        <v>1129.0239999999999</v>
      </c>
      <c r="F346" s="101">
        <f>60-5</f>
        <v>55</v>
      </c>
      <c r="G346" s="230">
        <f t="shared" si="9"/>
        <v>62096.319999999992</v>
      </c>
      <c r="H346" s="231" t="s">
        <v>385</v>
      </c>
      <c r="I346" s="231" t="s">
        <v>385</v>
      </c>
      <c r="J346" s="231" t="s">
        <v>385</v>
      </c>
      <c r="K346" s="231" t="s">
        <v>385</v>
      </c>
      <c r="L346" s="231"/>
      <c r="M346" s="231" t="s">
        <v>385</v>
      </c>
      <c r="N346" s="231" t="s">
        <v>385</v>
      </c>
      <c r="O346" s="231" t="s">
        <v>385</v>
      </c>
    </row>
    <row r="347" spans="1:15" s="11" customFormat="1">
      <c r="A347" s="199">
        <v>91</v>
      </c>
      <c r="B347" s="119" t="s">
        <v>561</v>
      </c>
      <c r="C347" s="67" t="s">
        <v>562</v>
      </c>
      <c r="D347" s="59" t="s">
        <v>392</v>
      </c>
      <c r="E347" s="53">
        <v>1710.1976</v>
      </c>
      <c r="F347" s="101">
        <v>20</v>
      </c>
      <c r="G347" s="230">
        <f t="shared" si="9"/>
        <v>34203.951999999997</v>
      </c>
      <c r="H347" s="231" t="s">
        <v>385</v>
      </c>
      <c r="I347" s="235" t="s">
        <v>385</v>
      </c>
      <c r="J347" s="231" t="s">
        <v>385</v>
      </c>
      <c r="K347" s="235" t="s">
        <v>385</v>
      </c>
      <c r="L347" s="235"/>
      <c r="M347" s="235" t="s">
        <v>385</v>
      </c>
      <c r="N347" s="231" t="s">
        <v>385</v>
      </c>
      <c r="O347" s="231" t="s">
        <v>385</v>
      </c>
    </row>
    <row r="348" spans="1:15" s="11" customFormat="1" ht="28.5">
      <c r="A348" s="199">
        <v>92</v>
      </c>
      <c r="B348" s="104" t="s">
        <v>532</v>
      </c>
      <c r="C348" s="103" t="s">
        <v>563</v>
      </c>
      <c r="D348" s="59" t="s">
        <v>392</v>
      </c>
      <c r="E348" s="59">
        <f>9000*18%+9000</f>
        <v>10620</v>
      </c>
      <c r="F348" s="101">
        <f>6-2</f>
        <v>4</v>
      </c>
      <c r="G348" s="230">
        <f t="shared" si="9"/>
        <v>42480</v>
      </c>
      <c r="H348" s="235" t="s">
        <v>385</v>
      </c>
      <c r="I348" s="231" t="s">
        <v>385</v>
      </c>
      <c r="J348" s="235" t="s">
        <v>385</v>
      </c>
      <c r="K348" s="231" t="s">
        <v>385</v>
      </c>
      <c r="L348" s="231"/>
      <c r="M348" s="231" t="s">
        <v>385</v>
      </c>
      <c r="N348" s="235" t="s">
        <v>385</v>
      </c>
      <c r="O348" s="235" t="s">
        <v>385</v>
      </c>
    </row>
    <row r="349" spans="1:15" s="11" customFormat="1" ht="28.5">
      <c r="A349" s="199">
        <v>93</v>
      </c>
      <c r="B349" s="104" t="s">
        <v>564</v>
      </c>
      <c r="C349" s="103" t="s">
        <v>565</v>
      </c>
      <c r="D349" s="59" t="s">
        <v>392</v>
      </c>
      <c r="E349" s="59">
        <f>12000*18%+12000</f>
        <v>14160</v>
      </c>
      <c r="F349" s="101">
        <v>6</v>
      </c>
      <c r="G349" s="230">
        <f t="shared" si="9"/>
        <v>84960</v>
      </c>
      <c r="H349" s="231" t="s">
        <v>385</v>
      </c>
      <c r="I349" s="235" t="s">
        <v>385</v>
      </c>
      <c r="J349" s="231" t="s">
        <v>385</v>
      </c>
      <c r="K349" s="235" t="s">
        <v>385</v>
      </c>
      <c r="L349" s="235"/>
      <c r="M349" s="235" t="s">
        <v>385</v>
      </c>
      <c r="N349" s="231" t="s">
        <v>385</v>
      </c>
      <c r="O349" s="231" t="s">
        <v>385</v>
      </c>
    </row>
    <row r="350" spans="1:15" s="11" customFormat="1" ht="28.5">
      <c r="A350" s="199">
        <v>94</v>
      </c>
      <c r="B350" s="119" t="s">
        <v>441</v>
      </c>
      <c r="C350" s="103" t="s">
        <v>566</v>
      </c>
      <c r="D350" s="59" t="s">
        <v>392</v>
      </c>
      <c r="E350" s="59">
        <f>11366.4*18%+11366.4</f>
        <v>13412.351999999999</v>
      </c>
      <c r="F350" s="101">
        <v>6</v>
      </c>
      <c r="G350" s="230">
        <f t="shared" si="9"/>
        <v>80474.111999999994</v>
      </c>
      <c r="H350" s="235" t="s">
        <v>385</v>
      </c>
      <c r="I350" s="235" t="s">
        <v>385</v>
      </c>
      <c r="J350" s="235" t="s">
        <v>385</v>
      </c>
      <c r="K350" s="235" t="s">
        <v>385</v>
      </c>
      <c r="L350" s="235"/>
      <c r="M350" s="235" t="s">
        <v>385</v>
      </c>
      <c r="N350" s="235" t="s">
        <v>385</v>
      </c>
      <c r="O350" s="235" t="s">
        <v>385</v>
      </c>
    </row>
    <row r="351" spans="1:15" s="11" customFormat="1" ht="28.5">
      <c r="A351" s="199">
        <v>95</v>
      </c>
      <c r="B351" s="104" t="s">
        <v>567</v>
      </c>
      <c r="C351" s="103" t="s">
        <v>568</v>
      </c>
      <c r="D351" s="59" t="s">
        <v>392</v>
      </c>
      <c r="E351" s="129">
        <f>8524.63*18%+8524.63</f>
        <v>10059.063399999999</v>
      </c>
      <c r="F351" s="59">
        <v>6</v>
      </c>
      <c r="G351" s="239">
        <f t="shared" si="9"/>
        <v>60354.380399999995</v>
      </c>
      <c r="H351" s="235" t="s">
        <v>385</v>
      </c>
      <c r="I351" s="231" t="s">
        <v>385</v>
      </c>
      <c r="J351" s="235" t="s">
        <v>385</v>
      </c>
      <c r="K351" s="231" t="s">
        <v>385</v>
      </c>
      <c r="L351" s="231" t="s">
        <v>385</v>
      </c>
      <c r="M351" s="231" t="s">
        <v>385</v>
      </c>
      <c r="N351" s="235" t="s">
        <v>385</v>
      </c>
      <c r="O351" s="235" t="s">
        <v>385</v>
      </c>
    </row>
    <row r="352" spans="1:15" s="11" customFormat="1">
      <c r="A352" s="199">
        <v>96</v>
      </c>
      <c r="B352" s="73" t="s">
        <v>390</v>
      </c>
      <c r="C352" s="103" t="s">
        <v>569</v>
      </c>
      <c r="D352" s="59" t="s">
        <v>10</v>
      </c>
      <c r="E352" s="129">
        <v>5900</v>
      </c>
      <c r="F352" s="59">
        <v>5</v>
      </c>
      <c r="G352" s="239">
        <f t="shared" si="9"/>
        <v>29500</v>
      </c>
      <c r="H352" s="231" t="s">
        <v>385</v>
      </c>
      <c r="I352" s="231" t="s">
        <v>385</v>
      </c>
      <c r="J352" s="231" t="s">
        <v>385</v>
      </c>
      <c r="K352" s="231" t="s">
        <v>385</v>
      </c>
      <c r="L352" s="231" t="s">
        <v>385</v>
      </c>
      <c r="M352" s="231" t="s">
        <v>385</v>
      </c>
      <c r="N352" s="231" t="s">
        <v>385</v>
      </c>
      <c r="O352" s="231" t="s">
        <v>385</v>
      </c>
    </row>
    <row r="353" spans="1:15" s="11" customFormat="1" ht="42.75">
      <c r="A353" s="199">
        <v>97</v>
      </c>
      <c r="B353" s="73" t="s">
        <v>390</v>
      </c>
      <c r="C353" s="90" t="s">
        <v>570</v>
      </c>
      <c r="D353" s="14" t="s">
        <v>7</v>
      </c>
      <c r="E353" s="130">
        <v>106611.18</v>
      </c>
      <c r="F353" s="59">
        <v>29.035</v>
      </c>
      <c r="G353" s="239">
        <f t="shared" si="9"/>
        <v>3095455.6113</v>
      </c>
      <c r="H353" s="231" t="s">
        <v>385</v>
      </c>
      <c r="I353" s="231" t="s">
        <v>385</v>
      </c>
      <c r="J353" s="231" t="s">
        <v>385</v>
      </c>
      <c r="K353" s="231" t="s">
        <v>385</v>
      </c>
      <c r="L353" s="231" t="s">
        <v>385</v>
      </c>
      <c r="M353" s="231" t="s">
        <v>385</v>
      </c>
      <c r="N353" s="231" t="s">
        <v>385</v>
      </c>
      <c r="O353" s="231" t="s">
        <v>385</v>
      </c>
    </row>
    <row r="354" spans="1:15" s="11" customFormat="1" ht="42.75">
      <c r="A354" s="199">
        <v>98</v>
      </c>
      <c r="B354" s="73" t="s">
        <v>390</v>
      </c>
      <c r="C354" s="131" t="s">
        <v>571</v>
      </c>
      <c r="D354" s="14" t="s">
        <v>7</v>
      </c>
      <c r="E354" s="130">
        <v>106611.18</v>
      </c>
      <c r="F354" s="59">
        <v>26.234999999999999</v>
      </c>
      <c r="G354" s="239">
        <f t="shared" si="9"/>
        <v>2796944.3073</v>
      </c>
      <c r="H354" s="231" t="s">
        <v>385</v>
      </c>
      <c r="I354" s="235" t="s">
        <v>385</v>
      </c>
      <c r="J354" s="231" t="s">
        <v>385</v>
      </c>
      <c r="K354" s="235" t="s">
        <v>385</v>
      </c>
      <c r="L354" s="235"/>
      <c r="M354" s="235" t="s">
        <v>385</v>
      </c>
      <c r="N354" s="231" t="s">
        <v>385</v>
      </c>
      <c r="O354" s="231" t="s">
        <v>385</v>
      </c>
    </row>
    <row r="355" spans="1:15" s="11" customFormat="1" ht="57">
      <c r="A355" s="199">
        <v>99</v>
      </c>
      <c r="B355" s="73" t="s">
        <v>390</v>
      </c>
      <c r="C355" s="131" t="s">
        <v>572</v>
      </c>
      <c r="D355" s="14" t="s">
        <v>7</v>
      </c>
      <c r="E355" s="130">
        <v>106611.18</v>
      </c>
      <c r="F355" s="59">
        <v>14.98</v>
      </c>
      <c r="G355" s="239">
        <f t="shared" si="9"/>
        <v>1597035.4764</v>
      </c>
      <c r="H355" s="235" t="s">
        <v>385</v>
      </c>
      <c r="I355" s="235" t="s">
        <v>385</v>
      </c>
      <c r="J355" s="235" t="s">
        <v>385</v>
      </c>
      <c r="K355" s="235" t="s">
        <v>385</v>
      </c>
      <c r="L355" s="235"/>
      <c r="M355" s="235" t="s">
        <v>385</v>
      </c>
      <c r="N355" s="235" t="s">
        <v>385</v>
      </c>
      <c r="O355" s="235" t="s">
        <v>385</v>
      </c>
    </row>
    <row r="356" spans="1:15" s="11" customFormat="1">
      <c r="A356" s="199">
        <v>100</v>
      </c>
      <c r="B356" s="73" t="s">
        <v>390</v>
      </c>
      <c r="C356" s="6" t="s">
        <v>573</v>
      </c>
      <c r="D356" s="14" t="s">
        <v>574</v>
      </c>
      <c r="E356" s="130">
        <v>361393</v>
      </c>
      <c r="F356" s="132">
        <v>16.064</v>
      </c>
      <c r="G356" s="239">
        <f t="shared" si="9"/>
        <v>5805417.1519999998</v>
      </c>
      <c r="H356" s="235" t="s">
        <v>385</v>
      </c>
      <c r="I356" s="231" t="s">
        <v>385</v>
      </c>
      <c r="J356" s="235" t="s">
        <v>385</v>
      </c>
      <c r="K356" s="231" t="s">
        <v>385</v>
      </c>
      <c r="L356" s="231" t="s">
        <v>385</v>
      </c>
      <c r="M356" s="231" t="s">
        <v>385</v>
      </c>
      <c r="N356" s="235" t="s">
        <v>385</v>
      </c>
      <c r="O356" s="235" t="s">
        <v>385</v>
      </c>
    </row>
    <row r="357" spans="1:15" s="11" customFormat="1">
      <c r="A357" s="199">
        <v>101</v>
      </c>
      <c r="B357" s="112" t="s">
        <v>515</v>
      </c>
      <c r="C357" s="6" t="s">
        <v>575</v>
      </c>
      <c r="D357" s="14" t="s">
        <v>574</v>
      </c>
      <c r="E357" s="130">
        <v>45955</v>
      </c>
      <c r="F357" s="132">
        <v>1.867</v>
      </c>
      <c r="G357" s="239">
        <f t="shared" si="9"/>
        <v>85797.985000000001</v>
      </c>
      <c r="H357" s="231" t="s">
        <v>385</v>
      </c>
      <c r="I357" s="231" t="s">
        <v>385</v>
      </c>
      <c r="J357" s="231" t="s">
        <v>385</v>
      </c>
      <c r="K357" s="231" t="s">
        <v>385</v>
      </c>
      <c r="L357" s="231" t="s">
        <v>385</v>
      </c>
      <c r="M357" s="231" t="s">
        <v>385</v>
      </c>
      <c r="N357" s="231" t="s">
        <v>385</v>
      </c>
      <c r="O357" s="231" t="s">
        <v>385</v>
      </c>
    </row>
    <row r="358" spans="1:15" s="11" customFormat="1" ht="42.75">
      <c r="A358" s="199">
        <v>102</v>
      </c>
      <c r="B358" s="73" t="s">
        <v>390</v>
      </c>
      <c r="C358" s="6" t="s">
        <v>576</v>
      </c>
      <c r="D358" s="14" t="s">
        <v>392</v>
      </c>
      <c r="E358" s="130">
        <v>720</v>
      </c>
      <c r="F358" s="59">
        <v>48</v>
      </c>
      <c r="G358" s="239">
        <f t="shared" si="9"/>
        <v>34560</v>
      </c>
      <c r="H358" s="231" t="s">
        <v>385</v>
      </c>
      <c r="I358" s="231" t="s">
        <v>385</v>
      </c>
      <c r="J358" s="231" t="s">
        <v>385</v>
      </c>
      <c r="K358" s="231" t="s">
        <v>385</v>
      </c>
      <c r="L358" s="231" t="s">
        <v>385</v>
      </c>
      <c r="M358" s="231" t="s">
        <v>385</v>
      </c>
      <c r="N358" s="231" t="s">
        <v>385</v>
      </c>
      <c r="O358" s="231" t="s">
        <v>385</v>
      </c>
    </row>
    <row r="359" spans="1:15" s="11" customFormat="1">
      <c r="A359" s="199">
        <v>103</v>
      </c>
      <c r="B359" s="73" t="s">
        <v>390</v>
      </c>
      <c r="C359" s="6" t="s">
        <v>577</v>
      </c>
      <c r="D359" s="14" t="s">
        <v>392</v>
      </c>
      <c r="E359" s="130">
        <v>744</v>
      </c>
      <c r="F359" s="59">
        <v>3</v>
      </c>
      <c r="G359" s="239">
        <f t="shared" si="9"/>
        <v>2232</v>
      </c>
      <c r="H359" s="231" t="s">
        <v>385</v>
      </c>
      <c r="I359" s="231" t="s">
        <v>385</v>
      </c>
      <c r="J359" s="231" t="s">
        <v>385</v>
      </c>
      <c r="K359" s="231" t="s">
        <v>385</v>
      </c>
      <c r="L359" s="231" t="s">
        <v>385</v>
      </c>
      <c r="M359" s="231"/>
      <c r="N359" s="231" t="s">
        <v>385</v>
      </c>
      <c r="O359" s="231" t="s">
        <v>385</v>
      </c>
    </row>
    <row r="360" spans="1:15" s="11" customFormat="1">
      <c r="A360" s="199">
        <v>104</v>
      </c>
      <c r="B360" s="73" t="s">
        <v>390</v>
      </c>
      <c r="C360" s="6" t="s">
        <v>578</v>
      </c>
      <c r="D360" s="14" t="s">
        <v>9</v>
      </c>
      <c r="E360" s="130">
        <v>929</v>
      </c>
      <c r="F360" s="4">
        <v>200</v>
      </c>
      <c r="G360" s="239">
        <f t="shared" si="9"/>
        <v>185800</v>
      </c>
      <c r="H360" s="231" t="s">
        <v>385</v>
      </c>
      <c r="I360" s="231" t="s">
        <v>385</v>
      </c>
      <c r="J360" s="231" t="s">
        <v>385</v>
      </c>
      <c r="K360" s="231" t="s">
        <v>385</v>
      </c>
      <c r="L360" s="231" t="s">
        <v>385</v>
      </c>
      <c r="M360" s="231"/>
      <c r="N360" s="231" t="s">
        <v>385</v>
      </c>
      <c r="O360" s="231" t="s">
        <v>385</v>
      </c>
    </row>
    <row r="361" spans="1:15" s="11" customFormat="1" ht="28.5">
      <c r="A361" s="199">
        <v>105</v>
      </c>
      <c r="B361" s="73" t="s">
        <v>390</v>
      </c>
      <c r="C361" s="6" t="s">
        <v>579</v>
      </c>
      <c r="D361" s="14" t="s">
        <v>9</v>
      </c>
      <c r="E361" s="130">
        <v>579</v>
      </c>
      <c r="F361" s="59">
        <v>20</v>
      </c>
      <c r="G361" s="239">
        <f t="shared" si="9"/>
        <v>11580</v>
      </c>
      <c r="H361" s="231" t="s">
        <v>385</v>
      </c>
      <c r="I361" s="231" t="s">
        <v>385</v>
      </c>
      <c r="J361" s="231" t="s">
        <v>385</v>
      </c>
      <c r="K361" s="231" t="s">
        <v>385</v>
      </c>
      <c r="L361" s="231" t="s">
        <v>385</v>
      </c>
      <c r="M361" s="231"/>
      <c r="N361" s="231" t="s">
        <v>385</v>
      </c>
      <c r="O361" s="231" t="s">
        <v>385</v>
      </c>
    </row>
    <row r="362" spans="1:15" s="11" customFormat="1">
      <c r="A362" s="199">
        <v>106</v>
      </c>
      <c r="B362" s="73" t="s">
        <v>390</v>
      </c>
      <c r="C362" s="6" t="s">
        <v>580</v>
      </c>
      <c r="D362" s="14" t="s">
        <v>9</v>
      </c>
      <c r="E362" s="130">
        <v>894</v>
      </c>
      <c r="F362" s="59">
        <v>14</v>
      </c>
      <c r="G362" s="239">
        <f t="shared" si="9"/>
        <v>12516</v>
      </c>
      <c r="H362" s="231" t="s">
        <v>385</v>
      </c>
      <c r="I362" s="231" t="s">
        <v>385</v>
      </c>
      <c r="J362" s="231" t="s">
        <v>385</v>
      </c>
      <c r="K362" s="231" t="s">
        <v>385</v>
      </c>
      <c r="L362" s="231" t="s">
        <v>385</v>
      </c>
      <c r="M362" s="231"/>
      <c r="N362" s="231" t="s">
        <v>385</v>
      </c>
      <c r="O362" s="231" t="s">
        <v>385</v>
      </c>
    </row>
    <row r="363" spans="1:15" s="11" customFormat="1">
      <c r="A363" s="199">
        <v>107</v>
      </c>
      <c r="B363" s="74" t="s">
        <v>406</v>
      </c>
      <c r="C363" s="6" t="s">
        <v>581</v>
      </c>
      <c r="D363" s="14" t="s">
        <v>9</v>
      </c>
      <c r="E363" s="130">
        <v>1074</v>
      </c>
      <c r="F363" s="59">
        <v>1430</v>
      </c>
      <c r="G363" s="239">
        <f t="shared" si="9"/>
        <v>1535820</v>
      </c>
      <c r="H363" s="231" t="s">
        <v>385</v>
      </c>
      <c r="I363" s="231" t="s">
        <v>385</v>
      </c>
      <c r="J363" s="231" t="s">
        <v>385</v>
      </c>
      <c r="K363" s="231" t="s">
        <v>385</v>
      </c>
      <c r="L363" s="231" t="s">
        <v>385</v>
      </c>
      <c r="M363" s="231"/>
      <c r="N363" s="231" t="s">
        <v>385</v>
      </c>
      <c r="O363" s="231" t="s">
        <v>385</v>
      </c>
    </row>
    <row r="364" spans="1:15" s="11" customFormat="1">
      <c r="A364" s="199">
        <v>108</v>
      </c>
      <c r="B364" s="74" t="s">
        <v>409</v>
      </c>
      <c r="C364" s="6" t="s">
        <v>582</v>
      </c>
      <c r="D364" s="14" t="s">
        <v>9</v>
      </c>
      <c r="E364" s="130">
        <v>704</v>
      </c>
      <c r="F364" s="59">
        <v>192</v>
      </c>
      <c r="G364" s="239">
        <f t="shared" si="9"/>
        <v>135168</v>
      </c>
      <c r="H364" s="231" t="s">
        <v>385</v>
      </c>
      <c r="I364" s="231" t="s">
        <v>385</v>
      </c>
      <c r="J364" s="231" t="s">
        <v>385</v>
      </c>
      <c r="K364" s="231" t="s">
        <v>385</v>
      </c>
      <c r="L364" s="231" t="s">
        <v>385</v>
      </c>
      <c r="M364" s="231"/>
      <c r="N364" s="231" t="s">
        <v>385</v>
      </c>
      <c r="O364" s="231" t="s">
        <v>385</v>
      </c>
    </row>
    <row r="365" spans="1:15" s="11" customFormat="1" ht="28.5">
      <c r="A365" s="199">
        <v>109</v>
      </c>
      <c r="B365" s="73" t="s">
        <v>390</v>
      </c>
      <c r="C365" s="6" t="s">
        <v>583</v>
      </c>
      <c r="D365" s="14" t="s">
        <v>392</v>
      </c>
      <c r="E365" s="130">
        <v>9730</v>
      </c>
      <c r="F365" s="4">
        <v>2</v>
      </c>
      <c r="G365" s="239">
        <f t="shared" si="9"/>
        <v>19460</v>
      </c>
      <c r="H365" s="231" t="s">
        <v>385</v>
      </c>
      <c r="I365" s="231" t="s">
        <v>385</v>
      </c>
      <c r="J365" s="231" t="s">
        <v>385</v>
      </c>
      <c r="K365" s="231" t="s">
        <v>385</v>
      </c>
      <c r="L365" s="231" t="s">
        <v>385</v>
      </c>
      <c r="M365" s="231"/>
      <c r="N365" s="231" t="s">
        <v>385</v>
      </c>
      <c r="O365" s="231" t="s">
        <v>385</v>
      </c>
    </row>
    <row r="366" spans="1:15" s="11" customFormat="1" ht="28.5">
      <c r="A366" s="199">
        <v>110</v>
      </c>
      <c r="B366" s="73" t="s">
        <v>390</v>
      </c>
      <c r="C366" s="6" t="s">
        <v>584</v>
      </c>
      <c r="D366" s="14" t="s">
        <v>9</v>
      </c>
      <c r="E366" s="130">
        <v>1227</v>
      </c>
      <c r="F366" s="4">
        <v>235</v>
      </c>
      <c r="G366" s="239">
        <f t="shared" si="9"/>
        <v>288345</v>
      </c>
      <c r="H366" s="231" t="s">
        <v>385</v>
      </c>
      <c r="I366" s="231" t="s">
        <v>385</v>
      </c>
      <c r="J366" s="231" t="s">
        <v>385</v>
      </c>
      <c r="K366" s="231" t="s">
        <v>385</v>
      </c>
      <c r="L366" s="231" t="s">
        <v>385</v>
      </c>
      <c r="M366" s="231"/>
      <c r="N366" s="231" t="s">
        <v>385</v>
      </c>
      <c r="O366" s="231" t="s">
        <v>385</v>
      </c>
    </row>
    <row r="367" spans="1:15" s="12" customFormat="1" ht="15">
      <c r="A367" s="2"/>
      <c r="B367" s="198"/>
      <c r="C367" s="8" t="s">
        <v>374</v>
      </c>
      <c r="D367" s="2"/>
      <c r="E367" s="2"/>
      <c r="F367" s="2"/>
      <c r="G367" s="72">
        <f>SUM(G255:G366)</f>
        <v>21984071.698610798</v>
      </c>
      <c r="H367" s="2"/>
      <c r="I367" s="2"/>
      <c r="J367" s="2"/>
      <c r="K367" s="2"/>
      <c r="L367" s="2"/>
      <c r="M367" s="2"/>
      <c r="N367" s="2"/>
      <c r="O367" s="72">
        <f>SUM(O275:O366)</f>
        <v>564250.5</v>
      </c>
    </row>
    <row r="368" spans="1:15" s="12" customFormat="1" ht="15">
      <c r="A368" s="446" t="s">
        <v>796</v>
      </c>
      <c r="B368" s="447"/>
      <c r="C368" s="447"/>
      <c r="D368" s="448"/>
      <c r="E368" s="2"/>
      <c r="F368" s="2"/>
      <c r="G368" s="72"/>
      <c r="H368" s="2"/>
      <c r="I368" s="2"/>
      <c r="J368" s="2"/>
      <c r="K368" s="2"/>
      <c r="L368" s="2"/>
      <c r="M368" s="143"/>
      <c r="N368" s="143"/>
      <c r="O368" s="144"/>
    </row>
    <row r="369" spans="1:15" s="12" customFormat="1" ht="15">
      <c r="A369" s="4">
        <v>1</v>
      </c>
      <c r="B369" s="198"/>
      <c r="C369" s="6" t="s">
        <v>237</v>
      </c>
      <c r="D369" s="4" t="s">
        <v>12</v>
      </c>
      <c r="E369" s="4">
        <f>465000*1.18</f>
        <v>548700</v>
      </c>
      <c r="F369" s="4">
        <v>1.5</v>
      </c>
      <c r="G369" s="4">
        <f t="shared" ref="G369:G378" si="10">F369*E369</f>
        <v>823050</v>
      </c>
      <c r="H369" s="4"/>
      <c r="I369" s="4"/>
      <c r="J369" s="4"/>
      <c r="K369" s="4"/>
      <c r="L369" s="4"/>
      <c r="M369" s="143"/>
      <c r="N369" s="143"/>
      <c r="O369" s="144"/>
    </row>
    <row r="370" spans="1:15" s="12" customFormat="1" ht="15">
      <c r="A370" s="4">
        <v>2</v>
      </c>
      <c r="B370" s="198"/>
      <c r="C370" s="6" t="s">
        <v>770</v>
      </c>
      <c r="D370" s="4" t="s">
        <v>8</v>
      </c>
      <c r="E370" s="4">
        <f>9200*1.18</f>
        <v>10856</v>
      </c>
      <c r="F370" s="4">
        <v>15</v>
      </c>
      <c r="G370" s="4">
        <f t="shared" si="10"/>
        <v>162840</v>
      </c>
      <c r="H370" s="4"/>
      <c r="I370" s="4"/>
      <c r="J370" s="4"/>
      <c r="K370" s="4"/>
      <c r="L370" s="4"/>
      <c r="M370" s="143"/>
      <c r="N370" s="143"/>
      <c r="O370" s="144"/>
    </row>
    <row r="371" spans="1:15" s="12" customFormat="1" ht="15">
      <c r="A371" s="4">
        <v>3</v>
      </c>
      <c r="B371" s="198"/>
      <c r="C371" s="6" t="s">
        <v>771</v>
      </c>
      <c r="D371" s="4" t="s">
        <v>8</v>
      </c>
      <c r="E371" s="4">
        <f>9900*1.18</f>
        <v>11682</v>
      </c>
      <c r="F371" s="4">
        <v>9</v>
      </c>
      <c r="G371" s="4">
        <f t="shared" si="10"/>
        <v>105138</v>
      </c>
      <c r="H371" s="4"/>
      <c r="I371" s="4"/>
      <c r="J371" s="4"/>
      <c r="K371" s="4"/>
      <c r="L371" s="4"/>
      <c r="M371" s="143"/>
      <c r="N371" s="143"/>
      <c r="O371" s="144"/>
    </row>
    <row r="372" spans="1:15" s="12" customFormat="1" ht="28.5">
      <c r="A372" s="4">
        <v>4</v>
      </c>
      <c r="B372" s="198"/>
      <c r="C372" s="6" t="s">
        <v>772</v>
      </c>
      <c r="D372" s="4" t="s">
        <v>392</v>
      </c>
      <c r="E372" s="4">
        <f>19800*1.18</f>
        <v>23364</v>
      </c>
      <c r="F372" s="4">
        <v>9</v>
      </c>
      <c r="G372" s="4">
        <f t="shared" si="10"/>
        <v>210276</v>
      </c>
      <c r="H372" s="4"/>
      <c r="I372" s="4"/>
      <c r="J372" s="4"/>
      <c r="K372" s="4"/>
      <c r="L372" s="4"/>
      <c r="M372" s="143"/>
      <c r="N372" s="143"/>
      <c r="O372" s="144"/>
    </row>
    <row r="373" spans="1:15" s="12" customFormat="1" ht="28.5">
      <c r="A373" s="4">
        <v>5</v>
      </c>
      <c r="B373" s="198"/>
      <c r="C373" s="6" t="s">
        <v>773</v>
      </c>
      <c r="D373" s="4" t="s">
        <v>392</v>
      </c>
      <c r="E373" s="4">
        <f>8525*1.18</f>
        <v>10059.5</v>
      </c>
      <c r="F373" s="4">
        <v>3</v>
      </c>
      <c r="G373" s="4">
        <f t="shared" si="10"/>
        <v>30178.5</v>
      </c>
      <c r="H373" s="4"/>
      <c r="I373" s="4"/>
      <c r="J373" s="4"/>
      <c r="K373" s="4"/>
      <c r="L373" s="4"/>
      <c r="M373" s="143"/>
      <c r="N373" s="143"/>
      <c r="O373" s="144"/>
    </row>
    <row r="374" spans="1:15" s="12" customFormat="1" ht="15">
      <c r="A374" s="4">
        <v>6</v>
      </c>
      <c r="B374" s="198"/>
      <c r="C374" s="6" t="s">
        <v>774</v>
      </c>
      <c r="D374" s="4" t="s">
        <v>8</v>
      </c>
      <c r="E374" s="4">
        <f>1550*1.18</f>
        <v>1829</v>
      </c>
      <c r="F374" s="4">
        <v>24</v>
      </c>
      <c r="G374" s="4">
        <f t="shared" si="10"/>
        <v>43896</v>
      </c>
      <c r="H374" s="4"/>
      <c r="I374" s="4"/>
      <c r="J374" s="4"/>
      <c r="K374" s="4"/>
      <c r="L374" s="4"/>
      <c r="M374" s="143"/>
      <c r="N374" s="143"/>
      <c r="O374" s="144"/>
    </row>
    <row r="375" spans="1:15" s="12" customFormat="1" ht="15">
      <c r="A375" s="4">
        <v>7</v>
      </c>
      <c r="B375" s="198"/>
      <c r="C375" s="6" t="s">
        <v>775</v>
      </c>
      <c r="D375" s="4" t="s">
        <v>392</v>
      </c>
      <c r="E375" s="4">
        <f>2275*1.18</f>
        <v>2684.5</v>
      </c>
      <c r="F375" s="4">
        <v>4</v>
      </c>
      <c r="G375" s="4">
        <f t="shared" si="10"/>
        <v>10738</v>
      </c>
      <c r="H375" s="4"/>
      <c r="I375" s="4"/>
      <c r="J375" s="4"/>
      <c r="K375" s="4"/>
      <c r="L375" s="4"/>
      <c r="M375" s="143"/>
      <c r="N375" s="143"/>
      <c r="O375" s="144"/>
    </row>
    <row r="376" spans="1:15" s="12" customFormat="1" ht="15">
      <c r="A376" s="4">
        <v>8</v>
      </c>
      <c r="B376" s="198"/>
      <c r="C376" s="6" t="s">
        <v>776</v>
      </c>
      <c r="D376" s="4" t="s">
        <v>392</v>
      </c>
      <c r="E376" s="4">
        <f>1800*1.18</f>
        <v>2124</v>
      </c>
      <c r="F376" s="4">
        <v>2</v>
      </c>
      <c r="G376" s="4">
        <f t="shared" si="10"/>
        <v>4248</v>
      </c>
      <c r="H376" s="4"/>
      <c r="I376" s="4"/>
      <c r="J376" s="4"/>
      <c r="K376" s="4"/>
      <c r="L376" s="4"/>
      <c r="M376" s="143"/>
      <c r="N376" s="143"/>
      <c r="O376" s="144"/>
    </row>
    <row r="377" spans="1:15" s="12" customFormat="1" ht="15">
      <c r="A377" s="4">
        <v>9</v>
      </c>
      <c r="B377" s="198"/>
      <c r="C377" s="6" t="s">
        <v>777</v>
      </c>
      <c r="D377" s="4" t="s">
        <v>8</v>
      </c>
      <c r="E377" s="4">
        <f>1550*1.18</f>
        <v>1829</v>
      </c>
      <c r="F377" s="4">
        <v>10</v>
      </c>
      <c r="G377" s="4">
        <f t="shared" si="10"/>
        <v>18290</v>
      </c>
      <c r="H377" s="4"/>
      <c r="I377" s="4"/>
      <c r="J377" s="4"/>
      <c r="K377" s="4"/>
      <c r="L377" s="4"/>
      <c r="M377" s="143"/>
      <c r="N377" s="143"/>
      <c r="O377" s="144"/>
    </row>
    <row r="378" spans="1:15" s="12" customFormat="1" ht="15">
      <c r="A378" s="4">
        <v>10</v>
      </c>
      <c r="B378" s="198"/>
      <c r="C378" s="6" t="s">
        <v>778</v>
      </c>
      <c r="D378" s="4" t="s">
        <v>8</v>
      </c>
      <c r="E378" s="4">
        <f>1700*1.18</f>
        <v>2006</v>
      </c>
      <c r="F378" s="4">
        <v>6</v>
      </c>
      <c r="G378" s="4">
        <f t="shared" si="10"/>
        <v>12036</v>
      </c>
      <c r="H378" s="4"/>
      <c r="I378" s="4"/>
      <c r="J378" s="4"/>
      <c r="K378" s="4"/>
      <c r="L378" s="4"/>
      <c r="M378" s="143"/>
      <c r="N378" s="143"/>
      <c r="O378" s="144"/>
    </row>
    <row r="379" spans="1:15" s="12" customFormat="1" ht="15">
      <c r="A379" s="6"/>
      <c r="B379" s="6"/>
      <c r="C379" s="198" t="s">
        <v>374</v>
      </c>
      <c r="D379" s="4"/>
      <c r="E379" s="4"/>
      <c r="F379" s="4"/>
      <c r="G379" s="72">
        <f>SUM(G369:G378)</f>
        <v>1420690.5</v>
      </c>
      <c r="H379" s="4"/>
      <c r="I379" s="4"/>
      <c r="J379" s="4"/>
      <c r="K379" s="4"/>
      <c r="L379" s="4"/>
      <c r="M379" s="143"/>
      <c r="N379" s="143"/>
      <c r="O379" s="144"/>
    </row>
    <row r="380" spans="1:15" s="12" customFormat="1" ht="15">
      <c r="A380" s="432" t="s">
        <v>591</v>
      </c>
      <c r="B380" s="433"/>
      <c r="C380" s="433"/>
      <c r="D380" s="145"/>
      <c r="E380" s="145"/>
      <c r="F380" s="143"/>
      <c r="G380" s="145"/>
      <c r="H380" s="146"/>
      <c r="I380" s="145"/>
      <c r="J380" s="145"/>
      <c r="K380" s="143"/>
      <c r="L380" s="143"/>
      <c r="M380" s="143"/>
      <c r="N380" s="143"/>
      <c r="O380" s="143"/>
    </row>
    <row r="381" spans="1:15">
      <c r="A381" s="13">
        <v>1</v>
      </c>
      <c r="B381" s="14" t="s">
        <v>375</v>
      </c>
      <c r="C381" s="15" t="s">
        <v>592</v>
      </c>
      <c r="D381" s="4" t="s">
        <v>593</v>
      </c>
      <c r="E381" s="147">
        <v>30</v>
      </c>
      <c r="F381" s="148">
        <v>0</v>
      </c>
      <c r="G381" s="149">
        <f>E381*F381</f>
        <v>0</v>
      </c>
      <c r="H381" s="16"/>
      <c r="I381" s="16"/>
      <c r="J381" s="16"/>
      <c r="K381" s="14"/>
      <c r="L381" s="16"/>
      <c r="M381" s="14"/>
      <c r="N381" s="14"/>
      <c r="O381" s="150"/>
    </row>
    <row r="382" spans="1:15">
      <c r="A382" s="18">
        <v>2</v>
      </c>
      <c r="B382" s="14"/>
      <c r="C382" s="19" t="s">
        <v>594</v>
      </c>
      <c r="D382" s="180" t="s">
        <v>8</v>
      </c>
      <c r="E382" s="151">
        <v>20</v>
      </c>
      <c r="F382" s="152">
        <v>209</v>
      </c>
      <c r="G382" s="149">
        <f t="shared" ref="G382:G445" si="11">E382*F382</f>
        <v>4180</v>
      </c>
      <c r="H382" s="136"/>
      <c r="I382" s="136"/>
      <c r="J382" s="136"/>
      <c r="K382" s="137"/>
      <c r="L382" s="136"/>
      <c r="M382" s="137"/>
      <c r="N382" s="137"/>
      <c r="O382" s="153"/>
    </row>
    <row r="383" spans="1:15">
      <c r="A383" s="13">
        <v>3</v>
      </c>
      <c r="B383" s="14"/>
      <c r="C383" s="20" t="s">
        <v>595</v>
      </c>
      <c r="D383" s="181" t="s">
        <v>8</v>
      </c>
      <c r="E383" s="147">
        <v>50</v>
      </c>
      <c r="F383" s="152">
        <v>1</v>
      </c>
      <c r="G383" s="149">
        <f t="shared" si="11"/>
        <v>50</v>
      </c>
      <c r="H383" s="16"/>
      <c r="I383" s="21"/>
      <c r="J383" s="16"/>
      <c r="K383" s="22"/>
      <c r="L383" s="16"/>
      <c r="M383" s="22"/>
      <c r="N383" s="22"/>
      <c r="O383" s="154"/>
    </row>
    <row r="384" spans="1:15">
      <c r="A384" s="13">
        <v>4</v>
      </c>
      <c r="B384" s="14" t="s">
        <v>596</v>
      </c>
      <c r="C384" s="6" t="s">
        <v>597</v>
      </c>
      <c r="D384" s="14" t="s">
        <v>8</v>
      </c>
      <c r="E384" s="155">
        <v>200</v>
      </c>
      <c r="F384" s="156">
        <v>28</v>
      </c>
      <c r="G384" s="149">
        <f t="shared" si="11"/>
        <v>5600</v>
      </c>
      <c r="H384" s="136"/>
      <c r="I384" s="21"/>
      <c r="J384" s="136"/>
      <c r="K384" s="22"/>
      <c r="L384" s="136"/>
      <c r="M384" s="22"/>
      <c r="N384" s="22"/>
      <c r="O384" s="157"/>
    </row>
    <row r="385" spans="1:15" ht="14.25" customHeight="1">
      <c r="A385" s="18">
        <v>5</v>
      </c>
      <c r="B385" s="14" t="s">
        <v>598</v>
      </c>
      <c r="C385" s="20" t="s">
        <v>599</v>
      </c>
      <c r="D385" s="181" t="s">
        <v>8</v>
      </c>
      <c r="E385" s="147">
        <v>3178</v>
      </c>
      <c r="F385" s="152">
        <v>4</v>
      </c>
      <c r="G385" s="149">
        <f t="shared" si="11"/>
        <v>12712</v>
      </c>
      <c r="H385" s="16"/>
      <c r="I385" s="21"/>
      <c r="J385" s="16"/>
      <c r="K385" s="22"/>
      <c r="L385" s="16"/>
      <c r="M385" s="22"/>
      <c r="N385" s="22"/>
      <c r="O385" s="154"/>
    </row>
    <row r="386" spans="1:15">
      <c r="A386" s="13">
        <v>6</v>
      </c>
      <c r="B386" s="14" t="s">
        <v>376</v>
      </c>
      <c r="C386" s="20" t="s">
        <v>600</v>
      </c>
      <c r="D386" s="181" t="s">
        <v>8</v>
      </c>
      <c r="E386" s="147">
        <v>948</v>
      </c>
      <c r="F386" s="152">
        <v>4</v>
      </c>
      <c r="G386" s="149">
        <f t="shared" si="11"/>
        <v>3792</v>
      </c>
      <c r="H386" s="136"/>
      <c r="I386" s="21"/>
      <c r="J386" s="136"/>
      <c r="K386" s="22"/>
      <c r="L386" s="136"/>
      <c r="M386" s="22"/>
      <c r="N386" s="22"/>
      <c r="O386" s="154"/>
    </row>
    <row r="387" spans="1:15">
      <c r="A387" s="13">
        <v>7</v>
      </c>
      <c r="B387" s="14" t="s">
        <v>377</v>
      </c>
      <c r="C387" s="20" t="s">
        <v>601</v>
      </c>
      <c r="D387" s="181" t="s">
        <v>8</v>
      </c>
      <c r="E387" s="147">
        <v>948</v>
      </c>
      <c r="F387" s="152">
        <v>10</v>
      </c>
      <c r="G387" s="149">
        <f t="shared" si="11"/>
        <v>9480</v>
      </c>
      <c r="H387" s="16"/>
      <c r="I387" s="21"/>
      <c r="J387" s="16"/>
      <c r="K387" s="22"/>
      <c r="L387" s="16"/>
      <c r="M387" s="22"/>
      <c r="N387" s="22"/>
      <c r="O387" s="154"/>
    </row>
    <row r="388" spans="1:15">
      <c r="A388" s="18">
        <v>8</v>
      </c>
      <c r="B388" s="14" t="s">
        <v>378</v>
      </c>
      <c r="C388" s="20" t="s">
        <v>602</v>
      </c>
      <c r="D388" s="181" t="s">
        <v>8</v>
      </c>
      <c r="E388" s="147">
        <v>1237</v>
      </c>
      <c r="F388" s="152">
        <v>1</v>
      </c>
      <c r="G388" s="149">
        <f t="shared" si="11"/>
        <v>1237</v>
      </c>
      <c r="H388" s="136"/>
      <c r="I388" s="21"/>
      <c r="J388" s="136"/>
      <c r="K388" s="22"/>
      <c r="L388" s="136"/>
      <c r="M388" s="22"/>
      <c r="N388" s="22"/>
      <c r="O388" s="154"/>
    </row>
    <row r="389" spans="1:15">
      <c r="A389" s="13">
        <v>9</v>
      </c>
      <c r="B389" s="14" t="s">
        <v>603</v>
      </c>
      <c r="C389" s="20" t="s">
        <v>604</v>
      </c>
      <c r="D389" s="181" t="s">
        <v>8</v>
      </c>
      <c r="E389" s="147">
        <v>6299</v>
      </c>
      <c r="F389" s="152">
        <v>1</v>
      </c>
      <c r="G389" s="149">
        <f t="shared" si="11"/>
        <v>6299</v>
      </c>
      <c r="H389" s="16"/>
      <c r="I389" s="21"/>
      <c r="J389" s="16"/>
      <c r="K389" s="22"/>
      <c r="L389" s="16"/>
      <c r="M389" s="22"/>
      <c r="N389" s="22"/>
      <c r="O389" s="154"/>
    </row>
    <row r="390" spans="1:15">
      <c r="A390" s="13">
        <v>10</v>
      </c>
      <c r="B390" s="14" t="s">
        <v>605</v>
      </c>
      <c r="C390" s="20" t="s">
        <v>606</v>
      </c>
      <c r="D390" s="181" t="s">
        <v>8</v>
      </c>
      <c r="E390" s="147">
        <v>10782</v>
      </c>
      <c r="F390" s="152">
        <v>6</v>
      </c>
      <c r="G390" s="149">
        <f t="shared" si="11"/>
        <v>64692</v>
      </c>
      <c r="H390" s="136"/>
      <c r="I390" s="21"/>
      <c r="J390" s="136"/>
      <c r="K390" s="22"/>
      <c r="L390" s="136"/>
      <c r="M390" s="22"/>
      <c r="N390" s="22"/>
      <c r="O390" s="154"/>
    </row>
    <row r="391" spans="1:15">
      <c r="A391" s="18">
        <v>11</v>
      </c>
      <c r="B391" s="14"/>
      <c r="C391" s="20" t="s">
        <v>607</v>
      </c>
      <c r="D391" s="181" t="s">
        <v>8</v>
      </c>
      <c r="E391" s="147">
        <v>7264</v>
      </c>
      <c r="F391" s="152">
        <v>6</v>
      </c>
      <c r="G391" s="149">
        <f t="shared" si="11"/>
        <v>43584</v>
      </c>
      <c r="H391" s="16"/>
      <c r="I391" s="21"/>
      <c r="J391" s="16"/>
      <c r="K391" s="22"/>
      <c r="L391" s="16"/>
      <c r="M391" s="22"/>
      <c r="N391" s="22"/>
      <c r="O391" s="154"/>
    </row>
    <row r="392" spans="1:15">
      <c r="A392" s="13">
        <v>12</v>
      </c>
      <c r="B392" s="14" t="s">
        <v>608</v>
      </c>
      <c r="C392" s="20" t="s">
        <v>609</v>
      </c>
      <c r="D392" s="181" t="s">
        <v>8</v>
      </c>
      <c r="E392" s="147">
        <v>104</v>
      </c>
      <c r="F392" s="152">
        <v>70</v>
      </c>
      <c r="G392" s="149">
        <f t="shared" si="11"/>
        <v>7280</v>
      </c>
      <c r="H392" s="136"/>
      <c r="I392" s="21"/>
      <c r="J392" s="136"/>
      <c r="K392" s="22"/>
      <c r="L392" s="136"/>
      <c r="M392" s="22"/>
      <c r="N392" s="22"/>
      <c r="O392" s="154"/>
    </row>
    <row r="393" spans="1:15">
      <c r="A393" s="13">
        <v>13</v>
      </c>
      <c r="B393" s="14" t="s">
        <v>610</v>
      </c>
      <c r="C393" s="20" t="s">
        <v>611</v>
      </c>
      <c r="D393" s="181" t="s">
        <v>8</v>
      </c>
      <c r="E393" s="147">
        <v>169</v>
      </c>
      <c r="F393" s="152">
        <v>400</v>
      </c>
      <c r="G393" s="149">
        <f t="shared" si="11"/>
        <v>67600</v>
      </c>
      <c r="H393" s="16"/>
      <c r="I393" s="21"/>
      <c r="J393" s="16"/>
      <c r="K393" s="22"/>
      <c r="L393" s="16"/>
      <c r="M393" s="22"/>
      <c r="N393" s="22"/>
      <c r="O393" s="154"/>
    </row>
    <row r="394" spans="1:15">
      <c r="A394" s="18">
        <v>14</v>
      </c>
      <c r="B394" s="14" t="s">
        <v>55</v>
      </c>
      <c r="C394" s="20" t="s">
        <v>612</v>
      </c>
      <c r="D394" s="181" t="s">
        <v>8</v>
      </c>
      <c r="E394" s="147">
        <v>103650</v>
      </c>
      <c r="F394" s="152">
        <v>2</v>
      </c>
      <c r="G394" s="149">
        <f t="shared" si="11"/>
        <v>207300</v>
      </c>
      <c r="H394" s="136"/>
      <c r="I394" s="21"/>
      <c r="J394" s="136"/>
      <c r="K394" s="22"/>
      <c r="L394" s="136"/>
      <c r="M394" s="22"/>
      <c r="N394" s="22"/>
      <c r="O394" s="154"/>
    </row>
    <row r="395" spans="1:15">
      <c r="A395" s="13">
        <v>15</v>
      </c>
      <c r="B395" s="14" t="s">
        <v>613</v>
      </c>
      <c r="C395" s="20" t="s">
        <v>36</v>
      </c>
      <c r="D395" s="181" t="s">
        <v>614</v>
      </c>
      <c r="E395" s="147">
        <v>148680</v>
      </c>
      <c r="F395" s="158">
        <v>0.3</v>
      </c>
      <c r="G395" s="149">
        <f t="shared" si="11"/>
        <v>44604</v>
      </c>
      <c r="H395" s="16"/>
      <c r="I395" s="21"/>
      <c r="J395" s="16"/>
      <c r="K395" s="22"/>
      <c r="L395" s="16"/>
      <c r="M395" s="22"/>
      <c r="N395" s="22"/>
      <c r="O395" s="154"/>
    </row>
    <row r="396" spans="1:15">
      <c r="A396" s="13">
        <v>16</v>
      </c>
      <c r="B396" s="14" t="s">
        <v>615</v>
      </c>
      <c r="C396" s="20" t="s">
        <v>616</v>
      </c>
      <c r="D396" s="181" t="s">
        <v>8</v>
      </c>
      <c r="E396" s="147">
        <v>5000</v>
      </c>
      <c r="F396" s="159"/>
      <c r="G396" s="149">
        <f t="shared" si="11"/>
        <v>0</v>
      </c>
      <c r="H396" s="136"/>
      <c r="I396" s="21"/>
      <c r="J396" s="136"/>
      <c r="K396" s="22"/>
      <c r="L396" s="136"/>
      <c r="M396" s="22"/>
      <c r="N396" s="22"/>
      <c r="O396" s="154"/>
    </row>
    <row r="397" spans="1:15">
      <c r="A397" s="18">
        <v>17</v>
      </c>
      <c r="B397" s="14" t="s">
        <v>617</v>
      </c>
      <c r="C397" s="20" t="s">
        <v>618</v>
      </c>
      <c r="D397" s="181" t="s">
        <v>8</v>
      </c>
      <c r="E397" s="147">
        <v>9980</v>
      </c>
      <c r="F397" s="148">
        <v>2</v>
      </c>
      <c r="G397" s="149">
        <f t="shared" si="11"/>
        <v>19960</v>
      </c>
      <c r="H397" s="16"/>
      <c r="I397" s="21"/>
      <c r="J397" s="16"/>
      <c r="K397" s="22"/>
      <c r="L397" s="16"/>
      <c r="M397" s="22"/>
      <c r="N397" s="22"/>
      <c r="O397" s="154"/>
    </row>
    <row r="398" spans="1:15">
      <c r="A398" s="13">
        <v>18</v>
      </c>
      <c r="B398" s="14"/>
      <c r="C398" s="20" t="s">
        <v>619</v>
      </c>
      <c r="D398" s="181" t="s">
        <v>614</v>
      </c>
      <c r="E398" s="147">
        <v>20000</v>
      </c>
      <c r="F398" s="159">
        <v>3.1E-2</v>
      </c>
      <c r="G398" s="149">
        <f t="shared" si="11"/>
        <v>620</v>
      </c>
      <c r="H398" s="136"/>
      <c r="I398" s="21"/>
      <c r="J398" s="136"/>
      <c r="K398" s="22"/>
      <c r="L398" s="136"/>
      <c r="M398" s="22"/>
      <c r="N398" s="22"/>
      <c r="O398" s="154"/>
    </row>
    <row r="399" spans="1:15">
      <c r="A399" s="13">
        <v>19</v>
      </c>
      <c r="B399" s="14" t="s">
        <v>620</v>
      </c>
      <c r="C399" s="20" t="s">
        <v>621</v>
      </c>
      <c r="D399" s="181" t="s">
        <v>8</v>
      </c>
      <c r="E399" s="147">
        <v>566</v>
      </c>
      <c r="F399" s="152">
        <v>11</v>
      </c>
      <c r="G399" s="149">
        <f t="shared" si="11"/>
        <v>6226</v>
      </c>
      <c r="H399" s="16"/>
      <c r="I399" s="21"/>
      <c r="J399" s="16"/>
      <c r="K399" s="22"/>
      <c r="L399" s="16"/>
      <c r="M399" s="22"/>
      <c r="N399" s="22"/>
      <c r="O399" s="154"/>
    </row>
    <row r="400" spans="1:15" ht="14.25" customHeight="1">
      <c r="A400" s="18">
        <v>20</v>
      </c>
      <c r="B400" s="14"/>
      <c r="C400" s="20" t="s">
        <v>622</v>
      </c>
      <c r="D400" s="181" t="s">
        <v>8</v>
      </c>
      <c r="E400" s="147">
        <v>1873</v>
      </c>
      <c r="F400" s="152">
        <v>3</v>
      </c>
      <c r="G400" s="149">
        <f t="shared" si="11"/>
        <v>5619</v>
      </c>
      <c r="H400" s="136"/>
      <c r="I400" s="21"/>
      <c r="J400" s="136"/>
      <c r="K400" s="22"/>
      <c r="L400" s="136"/>
      <c r="M400" s="22"/>
      <c r="N400" s="22"/>
      <c r="O400" s="154"/>
    </row>
    <row r="401" spans="1:15" ht="14.25" customHeight="1">
      <c r="A401" s="13">
        <v>21</v>
      </c>
      <c r="B401" s="14"/>
      <c r="C401" s="20" t="s">
        <v>623</v>
      </c>
      <c r="D401" s="181" t="s">
        <v>8</v>
      </c>
      <c r="E401" s="147">
        <v>3604</v>
      </c>
      <c r="F401" s="152">
        <v>2</v>
      </c>
      <c r="G401" s="149">
        <f t="shared" si="11"/>
        <v>7208</v>
      </c>
      <c r="H401" s="16"/>
      <c r="I401" s="21"/>
      <c r="J401" s="16"/>
      <c r="K401" s="22"/>
      <c r="L401" s="16"/>
      <c r="M401" s="22"/>
      <c r="N401" s="22"/>
      <c r="O401" s="154"/>
    </row>
    <row r="402" spans="1:15">
      <c r="A402" s="13">
        <v>22</v>
      </c>
      <c r="B402" s="14" t="s">
        <v>624</v>
      </c>
      <c r="C402" s="20" t="s">
        <v>625</v>
      </c>
      <c r="D402" s="181" t="s">
        <v>626</v>
      </c>
      <c r="E402" s="147">
        <v>77</v>
      </c>
      <c r="F402" s="158">
        <v>34.950000000000003</v>
      </c>
      <c r="G402" s="149">
        <f t="shared" si="11"/>
        <v>2691.15</v>
      </c>
      <c r="H402" s="136"/>
      <c r="I402" s="21"/>
      <c r="J402" s="136"/>
      <c r="K402" s="22"/>
      <c r="L402" s="136"/>
      <c r="M402" s="22"/>
      <c r="N402" s="22"/>
      <c r="O402" s="154"/>
    </row>
    <row r="403" spans="1:15">
      <c r="A403" s="18">
        <v>23</v>
      </c>
      <c r="B403" s="14" t="s">
        <v>177</v>
      </c>
      <c r="C403" s="20" t="s">
        <v>627</v>
      </c>
      <c r="D403" s="181" t="s">
        <v>8</v>
      </c>
      <c r="E403" s="147">
        <v>1000</v>
      </c>
      <c r="F403" s="159"/>
      <c r="G403" s="149">
        <f t="shared" si="11"/>
        <v>0</v>
      </c>
      <c r="H403" s="16"/>
      <c r="I403" s="21"/>
      <c r="J403" s="16"/>
      <c r="K403" s="22"/>
      <c r="L403" s="16"/>
      <c r="M403" s="22"/>
      <c r="N403" s="4"/>
      <c r="O403" s="154"/>
    </row>
    <row r="404" spans="1:15">
      <c r="A404" s="13">
        <v>24</v>
      </c>
      <c r="B404" s="24" t="s">
        <v>134</v>
      </c>
      <c r="C404" s="20" t="s">
        <v>628</v>
      </c>
      <c r="D404" s="16" t="s">
        <v>8</v>
      </c>
      <c r="E404" s="147">
        <v>5561.5</v>
      </c>
      <c r="F404" s="147">
        <v>1</v>
      </c>
      <c r="G404" s="149">
        <f t="shared" si="11"/>
        <v>5561.5</v>
      </c>
      <c r="H404" s="136"/>
      <c r="I404" s="21"/>
      <c r="J404" s="136"/>
      <c r="K404" s="22"/>
      <c r="L404" s="136"/>
      <c r="M404" s="22"/>
      <c r="N404" s="22"/>
      <c r="O404" s="154"/>
    </row>
    <row r="405" spans="1:15">
      <c r="A405" s="13">
        <v>25</v>
      </c>
      <c r="B405" s="14" t="s">
        <v>629</v>
      </c>
      <c r="C405" s="20" t="s">
        <v>630</v>
      </c>
      <c r="D405" s="16" t="s">
        <v>8</v>
      </c>
      <c r="E405" s="147">
        <v>5561.5</v>
      </c>
      <c r="F405" s="147">
        <v>1</v>
      </c>
      <c r="G405" s="149">
        <f t="shared" si="11"/>
        <v>5561.5</v>
      </c>
      <c r="H405" s="16"/>
      <c r="I405" s="21"/>
      <c r="J405" s="16"/>
      <c r="K405" s="22"/>
      <c r="L405" s="16"/>
      <c r="M405" s="22"/>
      <c r="N405" s="22"/>
      <c r="O405" s="154"/>
    </row>
    <row r="406" spans="1:15">
      <c r="A406" s="18">
        <v>26</v>
      </c>
      <c r="B406" s="14" t="s">
        <v>379</v>
      </c>
      <c r="C406" s="20" t="s">
        <v>631</v>
      </c>
      <c r="D406" s="16" t="s">
        <v>8</v>
      </c>
      <c r="E406" s="160">
        <v>800.18</v>
      </c>
      <c r="F406" s="147">
        <v>5</v>
      </c>
      <c r="G406" s="149">
        <f t="shared" si="11"/>
        <v>4000.8999999999996</v>
      </c>
      <c r="H406" s="136"/>
      <c r="I406" s="21"/>
      <c r="J406" s="136"/>
      <c r="K406" s="22"/>
      <c r="L406" s="136"/>
      <c r="M406" s="22"/>
      <c r="N406" s="22"/>
      <c r="O406" s="154"/>
    </row>
    <row r="407" spans="1:15">
      <c r="A407" s="13">
        <v>27</v>
      </c>
      <c r="B407" s="14" t="s">
        <v>380</v>
      </c>
      <c r="C407" s="20" t="s">
        <v>632</v>
      </c>
      <c r="D407" s="16" t="s">
        <v>8</v>
      </c>
      <c r="E407" s="160">
        <v>805.85</v>
      </c>
      <c r="F407" s="147">
        <v>7</v>
      </c>
      <c r="G407" s="149">
        <f t="shared" si="11"/>
        <v>5640.95</v>
      </c>
      <c r="H407" s="16"/>
      <c r="I407" s="21"/>
      <c r="J407" s="16"/>
      <c r="K407" s="22"/>
      <c r="L407" s="16"/>
      <c r="M407" s="22"/>
      <c r="N407" s="22"/>
      <c r="O407" s="154"/>
    </row>
    <row r="408" spans="1:15">
      <c r="A408" s="13">
        <v>28</v>
      </c>
      <c r="B408" s="14" t="s">
        <v>633</v>
      </c>
      <c r="C408" s="20" t="s">
        <v>634</v>
      </c>
      <c r="D408" s="16" t="s">
        <v>8</v>
      </c>
      <c r="E408" s="147">
        <v>5448</v>
      </c>
      <c r="F408" s="147">
        <v>2</v>
      </c>
      <c r="G408" s="149">
        <f t="shared" si="11"/>
        <v>10896</v>
      </c>
      <c r="H408" s="136"/>
      <c r="I408" s="21"/>
      <c r="J408" s="136"/>
      <c r="K408" s="22"/>
      <c r="L408" s="136"/>
      <c r="M408" s="22"/>
      <c r="N408" s="22"/>
      <c r="O408" s="154"/>
    </row>
    <row r="409" spans="1:15">
      <c r="A409" s="18">
        <v>29</v>
      </c>
      <c r="B409" s="14" t="s">
        <v>633</v>
      </c>
      <c r="C409" s="20" t="s">
        <v>635</v>
      </c>
      <c r="D409" s="16" t="s">
        <v>8</v>
      </c>
      <c r="E409" s="147">
        <v>5448</v>
      </c>
      <c r="F409" s="147">
        <v>3</v>
      </c>
      <c r="G409" s="149">
        <f t="shared" si="11"/>
        <v>16344</v>
      </c>
      <c r="H409" s="16"/>
      <c r="I409" s="21"/>
      <c r="J409" s="16"/>
      <c r="K409" s="22"/>
      <c r="L409" s="16"/>
      <c r="M409" s="22"/>
      <c r="N409" s="22"/>
      <c r="O409" s="154"/>
    </row>
    <row r="410" spans="1:15">
      <c r="A410" s="13">
        <v>30</v>
      </c>
      <c r="B410" s="14" t="s">
        <v>140</v>
      </c>
      <c r="C410" s="20" t="s">
        <v>636</v>
      </c>
      <c r="D410" s="16" t="s">
        <v>8</v>
      </c>
      <c r="E410" s="147">
        <v>3745</v>
      </c>
      <c r="F410" s="147">
        <v>3</v>
      </c>
      <c r="G410" s="149">
        <f t="shared" si="11"/>
        <v>11235</v>
      </c>
      <c r="H410" s="136"/>
      <c r="I410" s="21"/>
      <c r="J410" s="136"/>
      <c r="K410" s="22"/>
      <c r="L410" s="136"/>
      <c r="M410" s="22"/>
      <c r="N410" s="22"/>
      <c r="O410" s="154"/>
    </row>
    <row r="411" spans="1:15">
      <c r="A411" s="13">
        <v>31</v>
      </c>
      <c r="B411" s="14"/>
      <c r="C411" s="20" t="s">
        <v>637</v>
      </c>
      <c r="D411" s="16" t="s">
        <v>8</v>
      </c>
      <c r="E411" s="147">
        <v>136.19999999999999</v>
      </c>
      <c r="F411" s="147">
        <v>16</v>
      </c>
      <c r="G411" s="149">
        <f t="shared" si="11"/>
        <v>2179.1999999999998</v>
      </c>
      <c r="H411" s="16"/>
      <c r="I411" s="21"/>
      <c r="J411" s="16"/>
      <c r="K411" s="22"/>
      <c r="L411" s="16"/>
      <c r="M411" s="22"/>
      <c r="N411" s="22"/>
      <c r="O411" s="154"/>
    </row>
    <row r="412" spans="1:15">
      <c r="A412" s="18">
        <v>32</v>
      </c>
      <c r="B412" s="14"/>
      <c r="C412" s="20" t="s">
        <v>638</v>
      </c>
      <c r="D412" s="16" t="s">
        <v>8</v>
      </c>
      <c r="E412" s="147">
        <v>102.15</v>
      </c>
      <c r="F412" s="147">
        <v>18</v>
      </c>
      <c r="G412" s="149">
        <f t="shared" si="11"/>
        <v>1838.7</v>
      </c>
      <c r="H412" s="136"/>
      <c r="I412" s="21"/>
      <c r="J412" s="136"/>
      <c r="K412" s="22"/>
      <c r="L412" s="136"/>
      <c r="M412" s="22"/>
      <c r="N412" s="22"/>
      <c r="O412" s="154"/>
    </row>
    <row r="413" spans="1:15">
      <c r="A413" s="13">
        <v>33</v>
      </c>
      <c r="B413" s="14" t="s">
        <v>639</v>
      </c>
      <c r="C413" s="20" t="s">
        <v>640</v>
      </c>
      <c r="D413" s="16" t="s">
        <v>641</v>
      </c>
      <c r="E413" s="160">
        <v>60</v>
      </c>
      <c r="F413" s="147">
        <v>300</v>
      </c>
      <c r="G413" s="149">
        <f t="shared" si="11"/>
        <v>18000</v>
      </c>
      <c r="H413" s="16"/>
      <c r="I413" s="21"/>
      <c r="J413" s="16"/>
      <c r="K413" s="22"/>
      <c r="L413" s="16"/>
      <c r="M413" s="22"/>
      <c r="N413" s="22"/>
      <c r="O413" s="154"/>
    </row>
    <row r="414" spans="1:15">
      <c r="A414" s="13">
        <v>34</v>
      </c>
      <c r="B414" s="14" t="s">
        <v>642</v>
      </c>
      <c r="C414" s="20" t="s">
        <v>643</v>
      </c>
      <c r="D414" s="16" t="s">
        <v>8</v>
      </c>
      <c r="E414" s="160">
        <v>400</v>
      </c>
      <c r="F414" s="147">
        <v>50</v>
      </c>
      <c r="G414" s="149">
        <f t="shared" si="11"/>
        <v>20000</v>
      </c>
      <c r="H414" s="136"/>
      <c r="I414" s="21"/>
      <c r="J414" s="136"/>
      <c r="K414" s="22"/>
      <c r="L414" s="136"/>
      <c r="M414" s="22"/>
      <c r="N414" s="22"/>
      <c r="O414" s="154"/>
    </row>
    <row r="415" spans="1:15">
      <c r="A415" s="18">
        <v>35</v>
      </c>
      <c r="B415" s="14" t="s">
        <v>379</v>
      </c>
      <c r="C415" s="20" t="s">
        <v>644</v>
      </c>
      <c r="D415" s="16" t="s">
        <v>8</v>
      </c>
      <c r="E415" s="160">
        <v>500</v>
      </c>
      <c r="F415" s="147">
        <v>16</v>
      </c>
      <c r="G415" s="149">
        <f t="shared" si="11"/>
        <v>8000</v>
      </c>
      <c r="H415" s="16"/>
      <c r="I415" s="21"/>
      <c r="J415" s="16"/>
      <c r="K415" s="22"/>
      <c r="L415" s="16"/>
      <c r="M415" s="22"/>
      <c r="N415" s="22"/>
      <c r="O415" s="154"/>
    </row>
    <row r="416" spans="1:15">
      <c r="A416" s="13">
        <v>36</v>
      </c>
      <c r="B416" s="14" t="s">
        <v>380</v>
      </c>
      <c r="C416" s="20" t="s">
        <v>645</v>
      </c>
      <c r="D416" s="16" t="s">
        <v>8</v>
      </c>
      <c r="E416" s="160">
        <v>500</v>
      </c>
      <c r="F416" s="147">
        <v>9</v>
      </c>
      <c r="G416" s="149">
        <f t="shared" si="11"/>
        <v>4500</v>
      </c>
      <c r="H416" s="136"/>
      <c r="I416" s="21"/>
      <c r="J416" s="136"/>
      <c r="K416" s="22"/>
      <c r="L416" s="136"/>
      <c r="M416" s="22"/>
      <c r="N416" s="22"/>
      <c r="O416" s="154"/>
    </row>
    <row r="417" spans="1:15">
      <c r="A417" s="13">
        <v>37</v>
      </c>
      <c r="B417" s="14" t="s">
        <v>646</v>
      </c>
      <c r="C417" s="25" t="s">
        <v>647</v>
      </c>
      <c r="D417" s="16" t="s">
        <v>32</v>
      </c>
      <c r="E417" s="161">
        <v>950.34</v>
      </c>
      <c r="F417" s="161">
        <v>1</v>
      </c>
      <c r="G417" s="149">
        <f t="shared" si="11"/>
        <v>950.34</v>
      </c>
      <c r="H417" s="16"/>
      <c r="I417" s="21"/>
      <c r="J417" s="16"/>
      <c r="K417" s="22"/>
      <c r="L417" s="16"/>
      <c r="M417" s="22"/>
      <c r="N417" s="22"/>
      <c r="O417" s="154"/>
    </row>
    <row r="418" spans="1:15" ht="28.5">
      <c r="A418" s="18">
        <v>38</v>
      </c>
      <c r="B418" s="14" t="s">
        <v>648</v>
      </c>
      <c r="C418" s="25" t="s">
        <v>649</v>
      </c>
      <c r="D418" s="16" t="s">
        <v>32</v>
      </c>
      <c r="E418" s="161">
        <v>10000</v>
      </c>
      <c r="F418" s="161"/>
      <c r="G418" s="149">
        <f t="shared" si="11"/>
        <v>0</v>
      </c>
      <c r="H418" s="136"/>
      <c r="I418" s="21"/>
      <c r="J418" s="136"/>
      <c r="K418" s="22"/>
      <c r="L418" s="138">
        <v>2</v>
      </c>
      <c r="M418" s="22">
        <f t="shared" ref="M418:M428" si="12">E418*L418</f>
        <v>20000</v>
      </c>
      <c r="N418" s="22">
        <v>0</v>
      </c>
      <c r="O418" s="154">
        <f t="shared" ref="O418:O433" si="13">E418*N418</f>
        <v>0</v>
      </c>
    </row>
    <row r="419" spans="1:15">
      <c r="A419" s="13">
        <v>39</v>
      </c>
      <c r="B419" s="14"/>
      <c r="C419" s="25" t="s">
        <v>650</v>
      </c>
      <c r="D419" s="16" t="s">
        <v>32</v>
      </c>
      <c r="E419" s="161">
        <v>290.3</v>
      </c>
      <c r="F419" s="161">
        <v>0</v>
      </c>
      <c r="G419" s="149">
        <f t="shared" si="11"/>
        <v>0</v>
      </c>
      <c r="H419" s="16"/>
      <c r="I419" s="21"/>
      <c r="J419" s="16"/>
      <c r="K419" s="22"/>
      <c r="L419" s="21"/>
      <c r="M419" s="22"/>
      <c r="N419" s="22"/>
      <c r="O419" s="154"/>
    </row>
    <row r="420" spans="1:15">
      <c r="A420" s="13">
        <v>40</v>
      </c>
      <c r="B420" s="14"/>
      <c r="C420" s="25" t="s">
        <v>651</v>
      </c>
      <c r="D420" s="16" t="s">
        <v>32</v>
      </c>
      <c r="E420" s="161">
        <v>363.4375</v>
      </c>
      <c r="F420" s="161">
        <v>12</v>
      </c>
      <c r="G420" s="149">
        <f t="shared" si="11"/>
        <v>4361.25</v>
      </c>
      <c r="H420" s="136"/>
      <c r="I420" s="21"/>
      <c r="J420" s="136"/>
      <c r="K420" s="22"/>
      <c r="L420" s="139"/>
      <c r="M420" s="22"/>
      <c r="N420" s="22"/>
      <c r="O420" s="154"/>
    </row>
    <row r="421" spans="1:15">
      <c r="A421" s="18">
        <v>41</v>
      </c>
      <c r="B421" s="14"/>
      <c r="C421" s="25" t="s">
        <v>652</v>
      </c>
      <c r="D421" s="16" t="s">
        <v>32</v>
      </c>
      <c r="E421" s="161">
        <v>12541</v>
      </c>
      <c r="F421" s="161">
        <v>1</v>
      </c>
      <c r="G421" s="149">
        <f t="shared" si="11"/>
        <v>12541</v>
      </c>
      <c r="H421" s="16"/>
      <c r="I421" s="21"/>
      <c r="J421" s="16"/>
      <c r="K421" s="22"/>
      <c r="L421" s="21"/>
      <c r="M421" s="22"/>
      <c r="N421" s="22"/>
      <c r="O421" s="154"/>
    </row>
    <row r="422" spans="1:15">
      <c r="A422" s="13">
        <v>42</v>
      </c>
      <c r="B422" s="14" t="s">
        <v>653</v>
      </c>
      <c r="C422" s="25" t="s">
        <v>752</v>
      </c>
      <c r="D422" s="14" t="s">
        <v>32</v>
      </c>
      <c r="E422" s="161">
        <v>50000</v>
      </c>
      <c r="F422" s="161">
        <v>1</v>
      </c>
      <c r="G422" s="149">
        <f t="shared" si="11"/>
        <v>50000</v>
      </c>
      <c r="H422" s="136"/>
      <c r="I422" s="21"/>
      <c r="J422" s="136"/>
      <c r="K422" s="22"/>
      <c r="L422" s="21"/>
      <c r="M422" s="22"/>
      <c r="N422" s="22"/>
      <c r="O422" s="154"/>
    </row>
    <row r="423" spans="1:15">
      <c r="A423" s="13">
        <v>43</v>
      </c>
      <c r="B423" s="14"/>
      <c r="C423" s="25" t="s">
        <v>654</v>
      </c>
      <c r="D423" s="14" t="s">
        <v>32</v>
      </c>
      <c r="E423" s="161">
        <v>580.6</v>
      </c>
      <c r="F423" s="161">
        <v>2</v>
      </c>
      <c r="G423" s="149">
        <f t="shared" si="11"/>
        <v>1161.2</v>
      </c>
      <c r="H423" s="16"/>
      <c r="I423" s="21"/>
      <c r="J423" s="16"/>
      <c r="K423" s="22"/>
      <c r="L423" s="21"/>
      <c r="M423" s="22"/>
      <c r="N423" s="22"/>
      <c r="O423" s="154"/>
    </row>
    <row r="424" spans="1:15">
      <c r="A424" s="18">
        <v>44</v>
      </c>
      <c r="B424" s="14"/>
      <c r="C424" s="25" t="s">
        <v>655</v>
      </c>
      <c r="D424" s="14" t="s">
        <v>32</v>
      </c>
      <c r="E424" s="161">
        <v>10000</v>
      </c>
      <c r="F424" s="161">
        <v>1</v>
      </c>
      <c r="G424" s="149">
        <f t="shared" si="11"/>
        <v>10000</v>
      </c>
      <c r="H424" s="136"/>
      <c r="I424" s="21"/>
      <c r="J424" s="136"/>
      <c r="K424" s="22"/>
      <c r="L424" s="21"/>
      <c r="M424" s="22"/>
      <c r="N424" s="22"/>
      <c r="O424" s="154"/>
    </row>
    <row r="425" spans="1:15">
      <c r="A425" s="13">
        <v>45</v>
      </c>
      <c r="B425" s="14" t="s">
        <v>656</v>
      </c>
      <c r="C425" s="25" t="s">
        <v>657</v>
      </c>
      <c r="D425" s="14" t="s">
        <v>32</v>
      </c>
      <c r="E425" s="161">
        <v>5000</v>
      </c>
      <c r="F425" s="162"/>
      <c r="G425" s="149">
        <f t="shared" si="11"/>
        <v>0</v>
      </c>
      <c r="H425" s="16"/>
      <c r="I425" s="21"/>
      <c r="J425" s="16"/>
      <c r="K425" s="22"/>
      <c r="L425" s="21">
        <v>1</v>
      </c>
      <c r="M425" s="22">
        <f t="shared" si="12"/>
        <v>5000</v>
      </c>
      <c r="N425" s="22">
        <v>0</v>
      </c>
      <c r="O425" s="154"/>
    </row>
    <row r="426" spans="1:15">
      <c r="A426" s="13">
        <v>46</v>
      </c>
      <c r="B426" s="14" t="s">
        <v>658</v>
      </c>
      <c r="C426" s="25" t="s">
        <v>659</v>
      </c>
      <c r="D426" s="14" t="s">
        <v>32</v>
      </c>
      <c r="E426" s="161">
        <v>5000</v>
      </c>
      <c r="F426" s="162"/>
      <c r="G426" s="149">
        <f t="shared" si="11"/>
        <v>0</v>
      </c>
      <c r="H426" s="136"/>
      <c r="I426" s="21"/>
      <c r="J426" s="136"/>
      <c r="K426" s="22"/>
      <c r="L426" s="21">
        <v>1</v>
      </c>
      <c r="M426" s="22">
        <f t="shared" si="12"/>
        <v>5000</v>
      </c>
      <c r="N426" s="22">
        <v>0</v>
      </c>
      <c r="O426" s="154"/>
    </row>
    <row r="427" spans="1:15">
      <c r="A427" s="18">
        <v>47</v>
      </c>
      <c r="B427" s="14" t="s">
        <v>660</v>
      </c>
      <c r="C427" s="25" t="s">
        <v>661</v>
      </c>
      <c r="D427" s="14" t="s">
        <v>32</v>
      </c>
      <c r="E427" s="161">
        <v>10000</v>
      </c>
      <c r="F427" s="162"/>
      <c r="G427" s="149">
        <f t="shared" si="11"/>
        <v>0</v>
      </c>
      <c r="H427" s="16"/>
      <c r="I427" s="21"/>
      <c r="J427" s="16"/>
      <c r="K427" s="22"/>
      <c r="L427" s="21">
        <v>1</v>
      </c>
      <c r="M427" s="22">
        <f t="shared" si="12"/>
        <v>10000</v>
      </c>
      <c r="N427" s="22">
        <v>0</v>
      </c>
      <c r="O427" s="154"/>
    </row>
    <row r="428" spans="1:15">
      <c r="A428" s="13">
        <v>48</v>
      </c>
      <c r="B428" s="14" t="s">
        <v>55</v>
      </c>
      <c r="C428" s="25" t="s">
        <v>662</v>
      </c>
      <c r="D428" s="14" t="s">
        <v>32</v>
      </c>
      <c r="E428" s="161">
        <v>10000</v>
      </c>
      <c r="F428" s="162"/>
      <c r="G428" s="149">
        <f t="shared" si="11"/>
        <v>0</v>
      </c>
      <c r="H428" s="136"/>
      <c r="I428" s="21"/>
      <c r="J428" s="136"/>
      <c r="K428" s="22"/>
      <c r="L428" s="21">
        <v>1</v>
      </c>
      <c r="M428" s="22">
        <f t="shared" si="12"/>
        <v>10000</v>
      </c>
      <c r="N428" s="22">
        <v>0</v>
      </c>
      <c r="O428" s="154"/>
    </row>
    <row r="429" spans="1:15">
      <c r="A429" s="13">
        <v>49</v>
      </c>
      <c r="B429" s="14"/>
      <c r="C429" s="25" t="s">
        <v>663</v>
      </c>
      <c r="D429" s="14" t="s">
        <v>32</v>
      </c>
      <c r="E429" s="161">
        <v>973.5</v>
      </c>
      <c r="F429" s="161">
        <v>6</v>
      </c>
      <c r="G429" s="149">
        <f t="shared" si="11"/>
        <v>5841</v>
      </c>
      <c r="H429" s="16"/>
      <c r="I429" s="21"/>
      <c r="J429" s="16"/>
      <c r="K429" s="22"/>
      <c r="L429" s="21"/>
      <c r="M429" s="22"/>
      <c r="N429" s="22"/>
      <c r="O429" s="154"/>
    </row>
    <row r="430" spans="1:15">
      <c r="A430" s="18">
        <v>50</v>
      </c>
      <c r="B430" s="14" t="s">
        <v>664</v>
      </c>
      <c r="C430" s="25" t="s">
        <v>665</v>
      </c>
      <c r="D430" s="14" t="s">
        <v>32</v>
      </c>
      <c r="E430" s="161">
        <v>12510.66</v>
      </c>
      <c r="F430" s="161">
        <v>1</v>
      </c>
      <c r="G430" s="149">
        <f t="shared" si="11"/>
        <v>12510.66</v>
      </c>
      <c r="H430" s="136"/>
      <c r="I430" s="21"/>
      <c r="J430" s="136"/>
      <c r="K430" s="22"/>
      <c r="L430" s="21"/>
      <c r="M430" s="22"/>
      <c r="N430" s="22"/>
      <c r="O430" s="154"/>
    </row>
    <row r="431" spans="1:15">
      <c r="A431" s="13">
        <v>51</v>
      </c>
      <c r="B431" s="14"/>
      <c r="C431" s="25" t="s">
        <v>666</v>
      </c>
      <c r="D431" s="14" t="s">
        <v>32</v>
      </c>
      <c r="E431" s="161">
        <v>38.94</v>
      </c>
      <c r="F431" s="161">
        <v>98</v>
      </c>
      <c r="G431" s="149">
        <f t="shared" si="11"/>
        <v>3816.12</v>
      </c>
      <c r="H431" s="16"/>
      <c r="I431" s="21"/>
      <c r="J431" s="16"/>
      <c r="K431" s="22"/>
      <c r="L431" s="21"/>
      <c r="M431" s="22"/>
      <c r="N431" s="22"/>
      <c r="O431" s="154"/>
    </row>
    <row r="432" spans="1:15">
      <c r="A432" s="13">
        <v>52</v>
      </c>
      <c r="B432" s="14"/>
      <c r="C432" s="25" t="s">
        <v>667</v>
      </c>
      <c r="D432" s="14" t="s">
        <v>32</v>
      </c>
      <c r="E432" s="161">
        <v>38.94</v>
      </c>
      <c r="F432" s="161">
        <v>55</v>
      </c>
      <c r="G432" s="149">
        <f t="shared" si="11"/>
        <v>2141.6999999999998</v>
      </c>
      <c r="H432" s="136"/>
      <c r="I432" s="21"/>
      <c r="J432" s="136"/>
      <c r="K432" s="22"/>
      <c r="L432" s="21"/>
      <c r="M432" s="22"/>
      <c r="N432" s="22"/>
      <c r="O432" s="154"/>
    </row>
    <row r="433" spans="1:15">
      <c r="A433" s="18">
        <v>53</v>
      </c>
      <c r="B433" s="14" t="s">
        <v>175</v>
      </c>
      <c r="C433" s="25" t="s">
        <v>668</v>
      </c>
      <c r="D433" s="14" t="s">
        <v>32</v>
      </c>
      <c r="E433" s="161">
        <v>200</v>
      </c>
      <c r="F433" s="162">
        <v>0</v>
      </c>
      <c r="G433" s="149">
        <f t="shared" si="11"/>
        <v>0</v>
      </c>
      <c r="H433" s="16"/>
      <c r="I433" s="21"/>
      <c r="J433" s="16"/>
      <c r="K433" s="22"/>
      <c r="L433" s="21"/>
      <c r="M433" s="22"/>
      <c r="N433" s="22">
        <v>3</v>
      </c>
      <c r="O433" s="154">
        <f t="shared" si="13"/>
        <v>600</v>
      </c>
    </row>
    <row r="434" spans="1:15">
      <c r="A434" s="13">
        <v>54</v>
      </c>
      <c r="B434" s="14" t="s">
        <v>130</v>
      </c>
      <c r="C434" s="25" t="s">
        <v>669</v>
      </c>
      <c r="D434" s="14" t="s">
        <v>32</v>
      </c>
      <c r="E434" s="161">
        <v>1000</v>
      </c>
      <c r="F434" s="162"/>
      <c r="G434" s="149">
        <f t="shared" si="11"/>
        <v>0</v>
      </c>
      <c r="H434" s="136"/>
      <c r="I434" s="21"/>
      <c r="J434" s="136"/>
      <c r="K434" s="22"/>
      <c r="L434" s="21"/>
      <c r="M434" s="22"/>
      <c r="N434" s="140"/>
      <c r="O434" s="154"/>
    </row>
    <row r="435" spans="1:15">
      <c r="A435" s="13">
        <v>55</v>
      </c>
      <c r="B435" s="14"/>
      <c r="C435" s="25" t="s">
        <v>670</v>
      </c>
      <c r="D435" s="14" t="s">
        <v>370</v>
      </c>
      <c r="E435" s="161">
        <v>1740</v>
      </c>
      <c r="F435" s="163">
        <v>0.51200000000000001</v>
      </c>
      <c r="G435" s="149">
        <f t="shared" si="11"/>
        <v>890.88</v>
      </c>
      <c r="H435" s="16"/>
      <c r="I435" s="21"/>
      <c r="J435" s="16"/>
      <c r="K435" s="22"/>
      <c r="L435" s="21"/>
      <c r="M435" s="22"/>
      <c r="N435" s="22"/>
      <c r="O435" s="154"/>
    </row>
    <row r="436" spans="1:15">
      <c r="A436" s="18">
        <v>56</v>
      </c>
      <c r="B436" s="14"/>
      <c r="C436" s="25" t="s">
        <v>671</v>
      </c>
      <c r="D436" s="14" t="s">
        <v>32</v>
      </c>
      <c r="E436" s="161">
        <v>50000</v>
      </c>
      <c r="F436" s="163">
        <v>1</v>
      </c>
      <c r="G436" s="149">
        <f t="shared" si="11"/>
        <v>50000</v>
      </c>
      <c r="H436" s="136"/>
      <c r="I436" s="21"/>
      <c r="J436" s="136"/>
      <c r="K436" s="22"/>
      <c r="L436" s="21"/>
      <c r="M436" s="22"/>
      <c r="N436" s="22"/>
      <c r="O436" s="154"/>
    </row>
    <row r="437" spans="1:15">
      <c r="A437" s="13">
        <v>57</v>
      </c>
      <c r="B437" s="14" t="s">
        <v>129</v>
      </c>
      <c r="C437" s="25" t="s">
        <v>672</v>
      </c>
      <c r="D437" s="14" t="s">
        <v>32</v>
      </c>
      <c r="E437" s="161">
        <v>2000</v>
      </c>
      <c r="F437" s="163">
        <v>1</v>
      </c>
      <c r="G437" s="149">
        <f t="shared" si="11"/>
        <v>2000</v>
      </c>
      <c r="H437" s="16"/>
      <c r="I437" s="21"/>
      <c r="J437" s="16"/>
      <c r="K437" s="22"/>
      <c r="L437" s="21"/>
      <c r="M437" s="22"/>
      <c r="N437" s="22"/>
      <c r="O437" s="154"/>
    </row>
    <row r="438" spans="1:15">
      <c r="A438" s="13">
        <v>58</v>
      </c>
      <c r="B438" s="14" t="s">
        <v>673</v>
      </c>
      <c r="C438" s="25" t="s">
        <v>674</v>
      </c>
      <c r="D438" s="16" t="s">
        <v>381</v>
      </c>
      <c r="E438" s="161">
        <v>266090</v>
      </c>
      <c r="F438" s="163">
        <v>0.04</v>
      </c>
      <c r="G438" s="149">
        <f t="shared" si="11"/>
        <v>10643.6</v>
      </c>
      <c r="H438" s="136"/>
      <c r="I438" s="21"/>
      <c r="J438" s="136"/>
      <c r="K438" s="22"/>
      <c r="L438" s="21"/>
      <c r="M438" s="22"/>
      <c r="N438" s="22"/>
      <c r="O438" s="154"/>
    </row>
    <row r="439" spans="1:15" ht="14.25" customHeight="1">
      <c r="A439" s="18">
        <v>59</v>
      </c>
      <c r="B439" s="14" t="s">
        <v>615</v>
      </c>
      <c r="C439" s="25" t="s">
        <v>675</v>
      </c>
      <c r="D439" s="14" t="s">
        <v>32</v>
      </c>
      <c r="E439" s="161">
        <v>1000</v>
      </c>
      <c r="F439" s="163"/>
      <c r="G439" s="149">
        <f t="shared" si="11"/>
        <v>0</v>
      </c>
      <c r="H439" s="16"/>
      <c r="I439" s="21"/>
      <c r="J439" s="16"/>
      <c r="K439" s="22"/>
      <c r="L439" s="21"/>
      <c r="M439" s="22"/>
      <c r="N439" s="26"/>
      <c r="O439" s="154"/>
    </row>
    <row r="440" spans="1:15">
      <c r="A440" s="13">
        <v>60</v>
      </c>
      <c r="B440" s="14" t="s">
        <v>676</v>
      </c>
      <c r="C440" s="25" t="s">
        <v>677</v>
      </c>
      <c r="D440" s="14" t="s">
        <v>32</v>
      </c>
      <c r="E440" s="161">
        <v>5310</v>
      </c>
      <c r="F440" s="164">
        <v>2</v>
      </c>
      <c r="G440" s="149">
        <f t="shared" si="11"/>
        <v>10620</v>
      </c>
      <c r="H440" s="136"/>
      <c r="I440" s="21"/>
      <c r="J440" s="136"/>
      <c r="K440" s="22"/>
      <c r="L440" s="21"/>
      <c r="M440" s="22"/>
      <c r="N440" s="22"/>
      <c r="O440" s="154"/>
    </row>
    <row r="441" spans="1:15">
      <c r="A441" s="13">
        <v>61</v>
      </c>
      <c r="B441" s="14" t="s">
        <v>678</v>
      </c>
      <c r="C441" s="25" t="s">
        <v>679</v>
      </c>
      <c r="D441" s="14" t="s">
        <v>32</v>
      </c>
      <c r="E441" s="161">
        <v>10000</v>
      </c>
      <c r="F441" s="164">
        <v>1</v>
      </c>
      <c r="G441" s="149">
        <f t="shared" si="11"/>
        <v>10000</v>
      </c>
      <c r="H441" s="16"/>
      <c r="I441" s="21"/>
      <c r="J441" s="16"/>
      <c r="K441" s="22"/>
      <c r="L441" s="21"/>
      <c r="M441" s="22"/>
      <c r="N441" s="22"/>
      <c r="O441" s="154"/>
    </row>
    <row r="442" spans="1:15" ht="14.25" customHeight="1">
      <c r="A442" s="18">
        <v>62</v>
      </c>
      <c r="B442" s="14" t="s">
        <v>680</v>
      </c>
      <c r="C442" s="25" t="s">
        <v>681</v>
      </c>
      <c r="D442" s="14" t="s">
        <v>593</v>
      </c>
      <c r="E442" s="161">
        <v>50</v>
      </c>
      <c r="F442" s="164">
        <v>0</v>
      </c>
      <c r="G442" s="149">
        <f t="shared" si="11"/>
        <v>0</v>
      </c>
      <c r="H442" s="136"/>
      <c r="I442" s="21"/>
      <c r="J442" s="136"/>
      <c r="K442" s="22"/>
      <c r="L442" s="21"/>
      <c r="M442" s="22"/>
      <c r="N442" s="22"/>
      <c r="O442" s="154"/>
    </row>
    <row r="443" spans="1:15" ht="14.25" customHeight="1">
      <c r="A443" s="13">
        <v>63</v>
      </c>
      <c r="B443" s="14" t="s">
        <v>682</v>
      </c>
      <c r="C443" s="25" t="s">
        <v>683</v>
      </c>
      <c r="D443" s="14" t="s">
        <v>593</v>
      </c>
      <c r="E443" s="161">
        <v>60</v>
      </c>
      <c r="F443" s="164">
        <v>86</v>
      </c>
      <c r="G443" s="149">
        <f t="shared" si="11"/>
        <v>5160</v>
      </c>
      <c r="H443" s="16"/>
      <c r="I443" s="21"/>
      <c r="J443" s="16"/>
      <c r="K443" s="22"/>
      <c r="L443" s="21"/>
      <c r="M443" s="22"/>
      <c r="N443" s="22"/>
      <c r="O443" s="154"/>
    </row>
    <row r="444" spans="1:15" ht="14.25" customHeight="1">
      <c r="A444" s="13">
        <v>64</v>
      </c>
      <c r="B444" s="14" t="s">
        <v>684</v>
      </c>
      <c r="C444" s="25" t="s">
        <v>685</v>
      </c>
      <c r="D444" s="14" t="s">
        <v>593</v>
      </c>
      <c r="E444" s="165">
        <v>100</v>
      </c>
      <c r="F444" s="164">
        <v>100</v>
      </c>
      <c r="G444" s="149">
        <f t="shared" si="11"/>
        <v>10000</v>
      </c>
      <c r="H444" s="136"/>
      <c r="I444" s="21"/>
      <c r="J444" s="136"/>
      <c r="K444" s="22"/>
      <c r="L444" s="21"/>
      <c r="M444" s="22"/>
      <c r="N444" s="22"/>
      <c r="O444" s="154"/>
    </row>
    <row r="445" spans="1:15">
      <c r="A445" s="18">
        <v>65</v>
      </c>
      <c r="B445" s="14" t="s">
        <v>615</v>
      </c>
      <c r="C445" s="25" t="s">
        <v>686</v>
      </c>
      <c r="D445" s="14" t="s">
        <v>32</v>
      </c>
      <c r="E445" s="161">
        <v>1000</v>
      </c>
      <c r="F445" s="162"/>
      <c r="G445" s="149">
        <f t="shared" si="11"/>
        <v>0</v>
      </c>
      <c r="H445" s="16"/>
      <c r="I445" s="21"/>
      <c r="J445" s="16"/>
      <c r="K445" s="22"/>
      <c r="L445" s="21"/>
      <c r="M445" s="22"/>
      <c r="N445" s="22"/>
      <c r="O445" s="154"/>
    </row>
    <row r="446" spans="1:15">
      <c r="A446" s="13">
        <v>66</v>
      </c>
      <c r="B446" s="14" t="s">
        <v>687</v>
      </c>
      <c r="C446" s="25" t="s">
        <v>688</v>
      </c>
      <c r="D446" s="14" t="s">
        <v>381</v>
      </c>
      <c r="E446" s="161">
        <v>300000</v>
      </c>
      <c r="F446" s="163">
        <v>0.08</v>
      </c>
      <c r="G446" s="149">
        <f t="shared" ref="G446:G508" si="14">E446*F446</f>
        <v>24000</v>
      </c>
      <c r="H446" s="136"/>
      <c r="I446" s="21"/>
      <c r="J446" s="136"/>
      <c r="K446" s="22"/>
      <c r="L446" s="21"/>
      <c r="M446" s="22"/>
      <c r="N446" s="22"/>
      <c r="O446" s="154"/>
    </row>
    <row r="447" spans="1:15">
      <c r="A447" s="13">
        <v>67</v>
      </c>
      <c r="B447" s="14" t="s">
        <v>175</v>
      </c>
      <c r="C447" s="25" t="s">
        <v>689</v>
      </c>
      <c r="D447" s="14" t="s">
        <v>32</v>
      </c>
      <c r="E447" s="161">
        <v>200</v>
      </c>
      <c r="F447" s="162"/>
      <c r="G447" s="149">
        <f t="shared" si="14"/>
        <v>0</v>
      </c>
      <c r="H447" s="16"/>
      <c r="I447" s="21"/>
      <c r="J447" s="16"/>
      <c r="K447" s="22"/>
      <c r="L447" s="21"/>
      <c r="M447" s="22"/>
      <c r="N447" s="22">
        <v>2</v>
      </c>
      <c r="O447" s="154">
        <f t="shared" ref="O447:O488" si="15">E447*N447</f>
        <v>400</v>
      </c>
    </row>
    <row r="448" spans="1:15">
      <c r="A448" s="18">
        <v>68</v>
      </c>
      <c r="B448" s="14" t="s">
        <v>690</v>
      </c>
      <c r="C448" s="25" t="s">
        <v>691</v>
      </c>
      <c r="D448" s="14" t="s">
        <v>214</v>
      </c>
      <c r="E448" s="161">
        <v>15</v>
      </c>
      <c r="F448" s="161">
        <v>179</v>
      </c>
      <c r="G448" s="149">
        <f t="shared" si="14"/>
        <v>2685</v>
      </c>
      <c r="H448" s="136"/>
      <c r="I448" s="21"/>
      <c r="J448" s="136"/>
      <c r="K448" s="22"/>
      <c r="L448" s="21"/>
      <c r="M448" s="22"/>
      <c r="N448" s="26"/>
      <c r="O448" s="154"/>
    </row>
    <row r="449" spans="1:15" ht="14.25" customHeight="1">
      <c r="A449" s="13">
        <v>69</v>
      </c>
      <c r="B449" s="14" t="s">
        <v>130</v>
      </c>
      <c r="C449" s="25" t="s">
        <v>692</v>
      </c>
      <c r="D449" s="14" t="s">
        <v>32</v>
      </c>
      <c r="E449" s="161">
        <v>2000</v>
      </c>
      <c r="F449" s="161">
        <v>1</v>
      </c>
      <c r="G449" s="149">
        <f t="shared" si="14"/>
        <v>2000</v>
      </c>
      <c r="H449" s="16"/>
      <c r="I449" s="16"/>
      <c r="J449" s="16"/>
      <c r="K449" s="14"/>
      <c r="L449" s="21"/>
      <c r="M449" s="14"/>
      <c r="N449" s="14"/>
      <c r="O449" s="150"/>
    </row>
    <row r="450" spans="1:15">
      <c r="A450" s="13">
        <v>70</v>
      </c>
      <c r="B450" s="14" t="s">
        <v>693</v>
      </c>
      <c r="C450" s="25" t="s">
        <v>694</v>
      </c>
      <c r="D450" s="181" t="s">
        <v>32</v>
      </c>
      <c r="E450" s="161">
        <v>10</v>
      </c>
      <c r="F450" s="161">
        <v>39</v>
      </c>
      <c r="G450" s="149">
        <f t="shared" si="14"/>
        <v>390</v>
      </c>
      <c r="H450" s="136"/>
      <c r="I450" s="16"/>
      <c r="J450" s="136"/>
      <c r="K450" s="14"/>
      <c r="L450" s="21"/>
      <c r="M450" s="14"/>
      <c r="N450" s="14"/>
      <c r="O450" s="150"/>
    </row>
    <row r="451" spans="1:15">
      <c r="A451" s="18">
        <v>71</v>
      </c>
      <c r="B451" s="14" t="s">
        <v>695</v>
      </c>
      <c r="C451" s="25" t="s">
        <v>696</v>
      </c>
      <c r="D451" s="181" t="s">
        <v>32</v>
      </c>
      <c r="E451" s="161">
        <v>10</v>
      </c>
      <c r="F451" s="161">
        <v>13</v>
      </c>
      <c r="G451" s="149">
        <f t="shared" si="14"/>
        <v>130</v>
      </c>
      <c r="H451" s="16"/>
      <c r="I451" s="16"/>
      <c r="J451" s="16"/>
      <c r="K451" s="14"/>
      <c r="L451" s="21"/>
      <c r="M451" s="14"/>
      <c r="N451" s="14"/>
      <c r="O451" s="150"/>
    </row>
    <row r="452" spans="1:15">
      <c r="A452" s="13">
        <v>72</v>
      </c>
      <c r="B452" s="14"/>
      <c r="C452" s="25" t="s">
        <v>697</v>
      </c>
      <c r="D452" s="181" t="s">
        <v>32</v>
      </c>
      <c r="E452" s="161">
        <v>10</v>
      </c>
      <c r="F452" s="162">
        <v>0</v>
      </c>
      <c r="G452" s="149">
        <f t="shared" si="14"/>
        <v>0</v>
      </c>
      <c r="H452" s="136"/>
      <c r="I452" s="16"/>
      <c r="J452" s="136"/>
      <c r="K452" s="14"/>
      <c r="L452" s="21"/>
      <c r="M452" s="14"/>
      <c r="N452" s="14"/>
      <c r="O452" s="150"/>
    </row>
    <row r="453" spans="1:15" ht="14.25" customHeight="1">
      <c r="A453" s="13">
        <v>73</v>
      </c>
      <c r="B453" s="14" t="s">
        <v>698</v>
      </c>
      <c r="C453" s="25" t="s">
        <v>699</v>
      </c>
      <c r="D453" s="181" t="s">
        <v>32</v>
      </c>
      <c r="E453" s="161">
        <v>2714</v>
      </c>
      <c r="F453" s="161">
        <v>0</v>
      </c>
      <c r="G453" s="149">
        <f t="shared" si="14"/>
        <v>0</v>
      </c>
      <c r="H453" s="16"/>
      <c r="I453" s="16"/>
      <c r="J453" s="16"/>
      <c r="K453" s="14"/>
      <c r="L453" s="21"/>
      <c r="M453" s="14"/>
      <c r="N453" s="14"/>
      <c r="O453" s="150"/>
    </row>
    <row r="454" spans="1:15">
      <c r="A454" s="18">
        <v>74</v>
      </c>
      <c r="B454" s="14" t="s">
        <v>700</v>
      </c>
      <c r="C454" s="25" t="s">
        <v>701</v>
      </c>
      <c r="D454" s="181" t="s">
        <v>32</v>
      </c>
      <c r="E454" s="161">
        <v>2714</v>
      </c>
      <c r="F454" s="161">
        <v>2</v>
      </c>
      <c r="G454" s="149">
        <f t="shared" si="14"/>
        <v>5428</v>
      </c>
      <c r="H454" s="136"/>
      <c r="I454" s="16"/>
      <c r="J454" s="136"/>
      <c r="K454" s="14"/>
      <c r="L454" s="21"/>
      <c r="M454" s="14"/>
      <c r="N454" s="14"/>
      <c r="O454" s="150"/>
    </row>
    <row r="455" spans="1:15">
      <c r="A455" s="13">
        <v>75</v>
      </c>
      <c r="B455" s="14" t="s">
        <v>175</v>
      </c>
      <c r="C455" s="25" t="s">
        <v>702</v>
      </c>
      <c r="D455" s="181" t="s">
        <v>32</v>
      </c>
      <c r="E455" s="161">
        <v>1000</v>
      </c>
      <c r="F455" s="161">
        <v>0</v>
      </c>
      <c r="G455" s="149">
        <f t="shared" si="14"/>
        <v>0</v>
      </c>
      <c r="H455" s="16"/>
      <c r="I455" s="16"/>
      <c r="J455" s="16"/>
      <c r="K455" s="14"/>
      <c r="L455" s="21"/>
      <c r="M455" s="14"/>
      <c r="N455" s="14">
        <v>1</v>
      </c>
      <c r="O455" s="150">
        <f t="shared" si="15"/>
        <v>1000</v>
      </c>
    </row>
    <row r="456" spans="1:15">
      <c r="A456" s="13">
        <v>76</v>
      </c>
      <c r="B456" s="14"/>
      <c r="C456" s="25" t="s">
        <v>703</v>
      </c>
      <c r="D456" s="181" t="s">
        <v>7</v>
      </c>
      <c r="E456" s="161">
        <v>94931</v>
      </c>
      <c r="F456" s="162">
        <v>5.8000000000000003E-2</v>
      </c>
      <c r="G456" s="149">
        <f t="shared" si="14"/>
        <v>5505.9980000000005</v>
      </c>
      <c r="H456" s="136"/>
      <c r="I456" s="16"/>
      <c r="J456" s="136"/>
      <c r="K456" s="14"/>
      <c r="L456" s="21"/>
      <c r="M456" s="14"/>
      <c r="N456" s="14"/>
      <c r="O456" s="150"/>
    </row>
    <row r="457" spans="1:15">
      <c r="A457" s="18">
        <v>77</v>
      </c>
      <c r="B457" s="14" t="s">
        <v>177</v>
      </c>
      <c r="C457" s="25" t="s">
        <v>704</v>
      </c>
      <c r="D457" s="181" t="s">
        <v>32</v>
      </c>
      <c r="E457" s="161">
        <v>1000</v>
      </c>
      <c r="F457" s="161">
        <v>2</v>
      </c>
      <c r="G457" s="149">
        <f t="shared" si="14"/>
        <v>2000</v>
      </c>
      <c r="H457" s="16"/>
      <c r="I457" s="16"/>
      <c r="J457" s="16"/>
      <c r="K457" s="14"/>
      <c r="L457" s="21"/>
      <c r="M457" s="14"/>
      <c r="N457" s="14"/>
      <c r="O457" s="150"/>
    </row>
    <row r="458" spans="1:15">
      <c r="A458" s="13">
        <v>78</v>
      </c>
      <c r="B458" s="14" t="s">
        <v>615</v>
      </c>
      <c r="C458" s="25" t="s">
        <v>705</v>
      </c>
      <c r="D458" s="181" t="s">
        <v>32</v>
      </c>
      <c r="E458" s="161">
        <v>1000</v>
      </c>
      <c r="F458" s="162">
        <v>0</v>
      </c>
      <c r="G458" s="149">
        <f t="shared" si="14"/>
        <v>0</v>
      </c>
      <c r="H458" s="136"/>
      <c r="I458" s="16"/>
      <c r="J458" s="136"/>
      <c r="K458" s="14"/>
      <c r="L458" s="21"/>
      <c r="M458" s="14"/>
      <c r="N458" s="14"/>
      <c r="O458" s="150"/>
    </row>
    <row r="459" spans="1:15">
      <c r="A459" s="13">
        <v>79</v>
      </c>
      <c r="B459" s="14" t="s">
        <v>130</v>
      </c>
      <c r="C459" s="23" t="s">
        <v>706</v>
      </c>
      <c r="D459" s="14" t="s">
        <v>32</v>
      </c>
      <c r="E459" s="161">
        <v>3000</v>
      </c>
      <c r="F459" s="162">
        <v>3</v>
      </c>
      <c r="G459" s="149">
        <f t="shared" si="14"/>
        <v>9000</v>
      </c>
      <c r="H459" s="16"/>
      <c r="I459" s="16"/>
      <c r="J459" s="16"/>
      <c r="K459" s="14"/>
      <c r="L459" s="21"/>
      <c r="M459" s="14"/>
      <c r="N459" s="14"/>
      <c r="O459" s="150"/>
    </row>
    <row r="460" spans="1:15">
      <c r="A460" s="18">
        <v>80</v>
      </c>
      <c r="B460" s="14" t="s">
        <v>175</v>
      </c>
      <c r="C460" s="27" t="s">
        <v>707</v>
      </c>
      <c r="D460" s="182" t="s">
        <v>32</v>
      </c>
      <c r="E460" s="165">
        <v>100</v>
      </c>
      <c r="F460" s="162">
        <v>0</v>
      </c>
      <c r="G460" s="149">
        <f t="shared" si="14"/>
        <v>0</v>
      </c>
      <c r="H460" s="136"/>
      <c r="I460" s="141"/>
      <c r="J460" s="136"/>
      <c r="K460" s="28"/>
      <c r="L460" s="21"/>
      <c r="M460" s="28"/>
      <c r="N460" s="28">
        <v>9</v>
      </c>
      <c r="O460" s="166">
        <f t="shared" si="15"/>
        <v>900</v>
      </c>
    </row>
    <row r="461" spans="1:15">
      <c r="A461" s="13">
        <v>81</v>
      </c>
      <c r="B461" s="14" t="s">
        <v>375</v>
      </c>
      <c r="C461" s="27" t="s">
        <v>708</v>
      </c>
      <c r="D461" s="182" t="s">
        <v>32</v>
      </c>
      <c r="E461" s="165">
        <v>110000</v>
      </c>
      <c r="F461" s="162">
        <v>6.6000000000000003E-2</v>
      </c>
      <c r="G461" s="149">
        <f t="shared" si="14"/>
        <v>7260</v>
      </c>
      <c r="H461" s="16"/>
      <c r="I461" s="141"/>
      <c r="J461" s="16"/>
      <c r="K461" s="28"/>
      <c r="L461" s="21"/>
      <c r="M461" s="28"/>
      <c r="N461" s="28"/>
      <c r="O461" s="166"/>
    </row>
    <row r="462" spans="1:15" ht="14.25" customHeight="1">
      <c r="A462" s="13">
        <v>82</v>
      </c>
      <c r="B462" s="14" t="s">
        <v>709</v>
      </c>
      <c r="C462" s="27" t="s">
        <v>710</v>
      </c>
      <c r="D462" s="182" t="s">
        <v>32</v>
      </c>
      <c r="E462" s="165">
        <v>1528.1</v>
      </c>
      <c r="F462" s="162">
        <v>0</v>
      </c>
      <c r="G462" s="149">
        <f t="shared" si="14"/>
        <v>0</v>
      </c>
      <c r="H462" s="136"/>
      <c r="I462" s="141"/>
      <c r="J462" s="136"/>
      <c r="K462" s="28"/>
      <c r="L462" s="21"/>
      <c r="M462" s="28"/>
      <c r="N462" s="28"/>
      <c r="O462" s="166"/>
    </row>
    <row r="463" spans="1:15">
      <c r="A463" s="18">
        <v>83</v>
      </c>
      <c r="B463" s="14"/>
      <c r="C463" s="25" t="s">
        <v>711</v>
      </c>
      <c r="D463" s="182" t="s">
        <v>32</v>
      </c>
      <c r="E463" s="165">
        <v>1000</v>
      </c>
      <c r="F463" s="162">
        <v>0</v>
      </c>
      <c r="G463" s="149">
        <f t="shared" si="14"/>
        <v>0</v>
      </c>
      <c r="H463" s="16"/>
      <c r="I463" s="141"/>
      <c r="J463" s="16"/>
      <c r="K463" s="28"/>
      <c r="L463" s="21"/>
      <c r="M463" s="28"/>
      <c r="N463" s="28"/>
      <c r="O463" s="166"/>
    </row>
    <row r="464" spans="1:15">
      <c r="A464" s="13">
        <v>84</v>
      </c>
      <c r="B464" s="14" t="s">
        <v>615</v>
      </c>
      <c r="C464" s="25" t="s">
        <v>712</v>
      </c>
      <c r="D464" s="182" t="s">
        <v>32</v>
      </c>
      <c r="E464" s="167">
        <v>2000</v>
      </c>
      <c r="F464" s="168">
        <v>1</v>
      </c>
      <c r="G464" s="149">
        <f t="shared" si="14"/>
        <v>2000</v>
      </c>
      <c r="H464" s="136"/>
      <c r="I464" s="141"/>
      <c r="J464" s="136"/>
      <c r="K464" s="28"/>
      <c r="L464" s="21"/>
      <c r="M464" s="28"/>
      <c r="N464" s="28"/>
      <c r="O464" s="166"/>
    </row>
    <row r="465" spans="1:15">
      <c r="A465" s="13">
        <v>85</v>
      </c>
      <c r="B465" s="14" t="s">
        <v>177</v>
      </c>
      <c r="C465" s="25" t="s">
        <v>713</v>
      </c>
      <c r="D465" s="182" t="s">
        <v>32</v>
      </c>
      <c r="E465" s="167">
        <v>100</v>
      </c>
      <c r="F465" s="168">
        <v>0</v>
      </c>
      <c r="G465" s="149">
        <f t="shared" si="14"/>
        <v>0</v>
      </c>
      <c r="H465" s="16"/>
      <c r="I465" s="141"/>
      <c r="J465" s="16"/>
      <c r="K465" s="28"/>
      <c r="L465" s="21"/>
      <c r="M465" s="28"/>
      <c r="N465" s="28"/>
      <c r="O465" s="166"/>
    </row>
    <row r="466" spans="1:15">
      <c r="A466" s="18">
        <v>86</v>
      </c>
      <c r="B466" s="14" t="s">
        <v>175</v>
      </c>
      <c r="C466" s="25" t="s">
        <v>702</v>
      </c>
      <c r="D466" s="182" t="s">
        <v>32</v>
      </c>
      <c r="E466" s="167">
        <v>100</v>
      </c>
      <c r="F466" s="168">
        <v>0</v>
      </c>
      <c r="G466" s="149">
        <f t="shared" si="14"/>
        <v>0</v>
      </c>
      <c r="H466" s="136"/>
      <c r="I466" s="141"/>
      <c r="J466" s="136"/>
      <c r="K466" s="28"/>
      <c r="L466" s="21"/>
      <c r="M466" s="28"/>
      <c r="N466" s="28">
        <v>4</v>
      </c>
      <c r="O466" s="166">
        <f t="shared" si="15"/>
        <v>400</v>
      </c>
    </row>
    <row r="467" spans="1:15" ht="14.25" customHeight="1">
      <c r="A467" s="13">
        <v>87</v>
      </c>
      <c r="B467" s="14" t="s">
        <v>238</v>
      </c>
      <c r="C467" s="25" t="s">
        <v>714</v>
      </c>
      <c r="D467" s="182" t="s">
        <v>32</v>
      </c>
      <c r="E467" s="167">
        <v>200</v>
      </c>
      <c r="F467" s="168">
        <v>1</v>
      </c>
      <c r="G467" s="149">
        <f t="shared" si="14"/>
        <v>200</v>
      </c>
      <c r="H467" s="16"/>
      <c r="I467" s="141"/>
      <c r="J467" s="16"/>
      <c r="K467" s="28"/>
      <c r="L467" s="21"/>
      <c r="M467" s="28"/>
      <c r="N467" s="28"/>
      <c r="O467" s="166"/>
    </row>
    <row r="468" spans="1:15" ht="14.25" customHeight="1">
      <c r="A468" s="13">
        <v>88</v>
      </c>
      <c r="B468" s="14" t="s">
        <v>34</v>
      </c>
      <c r="C468" s="25" t="s">
        <v>715</v>
      </c>
      <c r="D468" s="182" t="s">
        <v>32</v>
      </c>
      <c r="E468" s="167">
        <v>200</v>
      </c>
      <c r="F468" s="168">
        <v>1</v>
      </c>
      <c r="G468" s="149">
        <f t="shared" si="14"/>
        <v>200</v>
      </c>
      <c r="H468" s="136"/>
      <c r="I468" s="141"/>
      <c r="J468" s="136"/>
      <c r="K468" s="28"/>
      <c r="L468" s="21"/>
      <c r="M468" s="28"/>
      <c r="N468" s="28"/>
      <c r="O468" s="166"/>
    </row>
    <row r="469" spans="1:15" ht="14.25" customHeight="1">
      <c r="A469" s="18">
        <v>89</v>
      </c>
      <c r="B469" s="14" t="s">
        <v>716</v>
      </c>
      <c r="C469" s="25" t="s">
        <v>717</v>
      </c>
      <c r="D469" s="182" t="s">
        <v>32</v>
      </c>
      <c r="E469" s="167">
        <v>200</v>
      </c>
      <c r="F469" s="168">
        <v>0</v>
      </c>
      <c r="G469" s="149">
        <f t="shared" si="14"/>
        <v>0</v>
      </c>
      <c r="H469" s="16"/>
      <c r="I469" s="141"/>
      <c r="J469" s="16"/>
      <c r="K469" s="28"/>
      <c r="L469" s="21"/>
      <c r="M469" s="28"/>
      <c r="N469" s="28"/>
      <c r="O469" s="166"/>
    </row>
    <row r="470" spans="1:15">
      <c r="A470" s="13">
        <v>90</v>
      </c>
      <c r="B470" s="14" t="s">
        <v>718</v>
      </c>
      <c r="C470" s="25" t="s">
        <v>719</v>
      </c>
      <c r="D470" s="182" t="s">
        <v>32</v>
      </c>
      <c r="E470" s="16">
        <v>40710</v>
      </c>
      <c r="F470" s="169">
        <v>3</v>
      </c>
      <c r="G470" s="149">
        <f t="shared" si="14"/>
        <v>122130</v>
      </c>
      <c r="H470" s="136"/>
      <c r="I470" s="16"/>
      <c r="J470" s="136"/>
      <c r="K470" s="14"/>
      <c r="L470" s="21"/>
      <c r="M470" s="14"/>
      <c r="N470" s="14"/>
      <c r="O470" s="16"/>
    </row>
    <row r="471" spans="1:15">
      <c r="A471" s="13">
        <v>91</v>
      </c>
      <c r="B471" s="14" t="s">
        <v>129</v>
      </c>
      <c r="C471" s="25" t="s">
        <v>720</v>
      </c>
      <c r="D471" s="182" t="s">
        <v>32</v>
      </c>
      <c r="E471" s="16">
        <v>1000</v>
      </c>
      <c r="F471" s="169">
        <v>1</v>
      </c>
      <c r="G471" s="149">
        <f t="shared" si="14"/>
        <v>1000</v>
      </c>
      <c r="H471" s="16"/>
      <c r="I471" s="16"/>
      <c r="J471" s="16"/>
      <c r="K471" s="14"/>
      <c r="L471" s="21"/>
      <c r="M471" s="14"/>
      <c r="N471" s="14"/>
      <c r="O471" s="16"/>
    </row>
    <row r="472" spans="1:15">
      <c r="A472" s="18">
        <v>92</v>
      </c>
      <c r="B472" s="14" t="s">
        <v>130</v>
      </c>
      <c r="C472" s="25" t="s">
        <v>721</v>
      </c>
      <c r="D472" s="182" t="s">
        <v>32</v>
      </c>
      <c r="E472" s="16">
        <v>1000</v>
      </c>
      <c r="F472" s="169">
        <v>5</v>
      </c>
      <c r="G472" s="149">
        <f t="shared" si="14"/>
        <v>5000</v>
      </c>
      <c r="H472" s="136"/>
      <c r="I472" s="16"/>
      <c r="J472" s="136"/>
      <c r="K472" s="14"/>
      <c r="L472" s="21"/>
      <c r="M472" s="14"/>
      <c r="N472" s="14"/>
      <c r="O472" s="16"/>
    </row>
    <row r="473" spans="1:15">
      <c r="A473" s="13">
        <v>93</v>
      </c>
      <c r="B473" s="14" t="s">
        <v>722</v>
      </c>
      <c r="C473" s="25" t="s">
        <v>723</v>
      </c>
      <c r="D473" s="181" t="s">
        <v>32</v>
      </c>
      <c r="E473" s="16">
        <v>62000</v>
      </c>
      <c r="F473" s="169">
        <v>1</v>
      </c>
      <c r="G473" s="149">
        <f t="shared" si="14"/>
        <v>62000</v>
      </c>
      <c r="H473" s="16"/>
      <c r="I473" s="16"/>
      <c r="J473" s="16"/>
      <c r="K473" s="14"/>
      <c r="L473" s="21"/>
      <c r="M473" s="14"/>
      <c r="N473" s="14"/>
      <c r="O473" s="16"/>
    </row>
    <row r="474" spans="1:15">
      <c r="A474" s="13">
        <v>94</v>
      </c>
      <c r="B474" s="14" t="s">
        <v>724</v>
      </c>
      <c r="C474" s="25" t="s">
        <v>725</v>
      </c>
      <c r="D474" s="181" t="s">
        <v>32</v>
      </c>
      <c r="E474" s="16">
        <v>1000</v>
      </c>
      <c r="F474" s="169">
        <v>2</v>
      </c>
      <c r="G474" s="149">
        <f t="shared" si="14"/>
        <v>2000</v>
      </c>
      <c r="H474" s="136"/>
      <c r="I474" s="16"/>
      <c r="J474" s="136"/>
      <c r="K474" s="14"/>
      <c r="L474" s="21"/>
      <c r="M474" s="14"/>
      <c r="N474" s="14"/>
      <c r="O474" s="16"/>
    </row>
    <row r="475" spans="1:15">
      <c r="A475" s="18">
        <v>95</v>
      </c>
      <c r="B475" s="14"/>
      <c r="C475" s="25" t="s">
        <v>726</v>
      </c>
      <c r="D475" s="181" t="s">
        <v>32</v>
      </c>
      <c r="E475" s="16">
        <v>10</v>
      </c>
      <c r="F475" s="169">
        <v>0</v>
      </c>
      <c r="G475" s="149">
        <f t="shared" si="14"/>
        <v>0</v>
      </c>
      <c r="H475" s="16"/>
      <c r="I475" s="16"/>
      <c r="J475" s="16"/>
      <c r="K475" s="14"/>
      <c r="L475" s="21"/>
      <c r="M475" s="14"/>
      <c r="N475" s="14"/>
      <c r="O475" s="16"/>
    </row>
    <row r="476" spans="1:15">
      <c r="A476" s="13">
        <v>96</v>
      </c>
      <c r="B476" s="14" t="s">
        <v>727</v>
      </c>
      <c r="C476" s="25" t="s">
        <v>728</v>
      </c>
      <c r="D476" s="181" t="s">
        <v>32</v>
      </c>
      <c r="E476" s="16">
        <v>100</v>
      </c>
      <c r="F476" s="169">
        <v>0</v>
      </c>
      <c r="G476" s="149">
        <f t="shared" si="14"/>
        <v>0</v>
      </c>
      <c r="H476" s="136"/>
      <c r="I476" s="16"/>
      <c r="J476" s="136"/>
      <c r="K476" s="14"/>
      <c r="L476" s="21"/>
      <c r="M476" s="14"/>
      <c r="N476" s="14">
        <v>1</v>
      </c>
      <c r="O476" s="16">
        <f t="shared" si="15"/>
        <v>100</v>
      </c>
    </row>
    <row r="477" spans="1:15">
      <c r="A477" s="13">
        <v>97</v>
      </c>
      <c r="B477" s="14" t="s">
        <v>175</v>
      </c>
      <c r="C477" s="25" t="s">
        <v>729</v>
      </c>
      <c r="D477" s="181" t="s">
        <v>32</v>
      </c>
      <c r="E477" s="16">
        <v>29500</v>
      </c>
      <c r="F477" s="170">
        <v>0</v>
      </c>
      <c r="G477" s="149">
        <f t="shared" si="14"/>
        <v>0</v>
      </c>
      <c r="H477" s="16"/>
      <c r="I477" s="16"/>
      <c r="J477" s="16"/>
      <c r="K477" s="14"/>
      <c r="L477" s="21"/>
      <c r="M477" s="14"/>
      <c r="N477" s="14"/>
      <c r="O477" s="16"/>
    </row>
    <row r="478" spans="1:15">
      <c r="A478" s="18">
        <v>98</v>
      </c>
      <c r="B478" s="14" t="s">
        <v>722</v>
      </c>
      <c r="C478" s="29" t="s">
        <v>730</v>
      </c>
      <c r="D478" s="181" t="s">
        <v>32</v>
      </c>
      <c r="E478" s="161">
        <v>283247.2</v>
      </c>
      <c r="F478" s="171">
        <v>1</v>
      </c>
      <c r="G478" s="149">
        <f t="shared" si="14"/>
        <v>283247.2</v>
      </c>
      <c r="H478" s="136"/>
      <c r="I478" s="16"/>
      <c r="J478" s="136"/>
      <c r="K478" s="14"/>
      <c r="L478" s="21"/>
      <c r="M478" s="14"/>
      <c r="N478" s="14"/>
      <c r="O478" s="16"/>
    </row>
    <row r="479" spans="1:15">
      <c r="A479" s="13">
        <v>99</v>
      </c>
      <c r="B479" s="14" t="s">
        <v>731</v>
      </c>
      <c r="C479" s="25" t="s">
        <v>732</v>
      </c>
      <c r="D479" s="181" t="s">
        <v>32</v>
      </c>
      <c r="E479" s="150">
        <v>203974.8</v>
      </c>
      <c r="F479" s="170">
        <v>1</v>
      </c>
      <c r="G479" s="149">
        <f t="shared" si="14"/>
        <v>203974.8</v>
      </c>
      <c r="H479" s="16"/>
      <c r="I479" s="16"/>
      <c r="J479" s="16"/>
      <c r="K479" s="14"/>
      <c r="L479" s="21"/>
      <c r="M479" s="14"/>
      <c r="N479" s="14"/>
      <c r="O479" s="16"/>
    </row>
    <row r="480" spans="1:15">
      <c r="A480" s="13">
        <v>100</v>
      </c>
      <c r="B480" s="14"/>
      <c r="C480" s="30" t="s">
        <v>733</v>
      </c>
      <c r="D480" s="181" t="s">
        <v>32</v>
      </c>
      <c r="E480" s="167">
        <v>10000</v>
      </c>
      <c r="F480" s="172">
        <v>1</v>
      </c>
      <c r="G480" s="149">
        <f t="shared" si="14"/>
        <v>10000</v>
      </c>
      <c r="H480" s="136"/>
      <c r="I480" s="16"/>
      <c r="J480" s="136"/>
      <c r="K480" s="14"/>
      <c r="L480" s="21"/>
      <c r="M480" s="14"/>
      <c r="N480" s="14"/>
      <c r="O480" s="16"/>
    </row>
    <row r="481" spans="1:15" ht="14.25" customHeight="1">
      <c r="A481" s="18">
        <v>101</v>
      </c>
      <c r="B481" s="14" t="s">
        <v>734</v>
      </c>
      <c r="C481" s="30" t="s">
        <v>735</v>
      </c>
      <c r="D481" s="181" t="s">
        <v>32</v>
      </c>
      <c r="E481" s="167">
        <v>1516.3</v>
      </c>
      <c r="F481" s="172">
        <v>2</v>
      </c>
      <c r="G481" s="149">
        <f t="shared" si="14"/>
        <v>3032.6</v>
      </c>
      <c r="H481" s="16"/>
      <c r="I481" s="16"/>
      <c r="J481" s="16"/>
      <c r="K481" s="14"/>
      <c r="L481" s="21"/>
      <c r="M481" s="14"/>
      <c r="N481" s="14"/>
      <c r="O481" s="16"/>
    </row>
    <row r="482" spans="1:15">
      <c r="A482" s="13">
        <v>102</v>
      </c>
      <c r="B482" s="14"/>
      <c r="C482" s="30" t="s">
        <v>736</v>
      </c>
      <c r="D482" s="181" t="s">
        <v>32</v>
      </c>
      <c r="E482" s="167">
        <v>1516.3</v>
      </c>
      <c r="F482" s="172">
        <v>0</v>
      </c>
      <c r="G482" s="149">
        <f t="shared" si="14"/>
        <v>0</v>
      </c>
      <c r="H482" s="136"/>
      <c r="I482" s="16"/>
      <c r="J482" s="136"/>
      <c r="K482" s="14"/>
      <c r="L482" s="21"/>
      <c r="M482" s="14"/>
      <c r="N482" s="14"/>
      <c r="O482" s="16"/>
    </row>
    <row r="483" spans="1:15">
      <c r="A483" s="13">
        <v>103</v>
      </c>
      <c r="B483" s="14" t="s">
        <v>737</v>
      </c>
      <c r="C483" s="30" t="s">
        <v>738</v>
      </c>
      <c r="D483" s="181" t="s">
        <v>32</v>
      </c>
      <c r="E483" s="167">
        <v>1000</v>
      </c>
      <c r="F483" s="172">
        <v>4</v>
      </c>
      <c r="G483" s="149">
        <f t="shared" si="14"/>
        <v>4000</v>
      </c>
      <c r="H483" s="16"/>
      <c r="I483" s="16"/>
      <c r="J483" s="16"/>
      <c r="K483" s="14"/>
      <c r="L483" s="21"/>
      <c r="M483" s="14"/>
      <c r="N483" s="14"/>
      <c r="O483" s="16"/>
    </row>
    <row r="484" spans="1:15">
      <c r="A484" s="18">
        <v>104</v>
      </c>
      <c r="B484" s="14" t="s">
        <v>737</v>
      </c>
      <c r="C484" s="30" t="s">
        <v>739</v>
      </c>
      <c r="D484" s="181" t="s">
        <v>32</v>
      </c>
      <c r="E484" s="167">
        <v>1000</v>
      </c>
      <c r="F484" s="172">
        <v>2</v>
      </c>
      <c r="G484" s="149">
        <f t="shared" si="14"/>
        <v>2000</v>
      </c>
      <c r="H484" s="136"/>
      <c r="I484" s="16"/>
      <c r="J484" s="136"/>
      <c r="K484" s="14"/>
      <c r="L484" s="21"/>
      <c r="M484" s="14"/>
      <c r="N484" s="14"/>
      <c r="O484" s="16"/>
    </row>
    <row r="485" spans="1:15">
      <c r="A485" s="13">
        <v>105</v>
      </c>
      <c r="B485" s="14" t="s">
        <v>130</v>
      </c>
      <c r="C485" s="30" t="s">
        <v>740</v>
      </c>
      <c r="D485" s="181" t="s">
        <v>32</v>
      </c>
      <c r="E485" s="167">
        <v>1000</v>
      </c>
      <c r="F485" s="172">
        <v>0</v>
      </c>
      <c r="G485" s="149">
        <f t="shared" si="14"/>
        <v>0</v>
      </c>
      <c r="H485" s="136"/>
      <c r="I485" s="16"/>
      <c r="J485" s="136"/>
      <c r="K485" s="14"/>
      <c r="L485" s="21"/>
      <c r="M485" s="14"/>
      <c r="N485" s="14">
        <v>5</v>
      </c>
      <c r="O485" s="16">
        <f t="shared" si="15"/>
        <v>5000</v>
      </c>
    </row>
    <row r="486" spans="1:15">
      <c r="A486" s="13">
        <v>106</v>
      </c>
      <c r="B486" s="14" t="s">
        <v>130</v>
      </c>
      <c r="C486" s="30" t="s">
        <v>741</v>
      </c>
      <c r="D486" s="181" t="s">
        <v>32</v>
      </c>
      <c r="E486" s="167">
        <v>1000</v>
      </c>
      <c r="F486" s="172">
        <v>1</v>
      </c>
      <c r="G486" s="149">
        <f t="shared" si="14"/>
        <v>1000</v>
      </c>
      <c r="H486" s="16"/>
      <c r="I486" s="16"/>
      <c r="J486" s="16"/>
      <c r="K486" s="14"/>
      <c r="L486" s="21"/>
      <c r="M486" s="14"/>
      <c r="N486" s="14"/>
      <c r="O486" s="16"/>
    </row>
    <row r="487" spans="1:15">
      <c r="A487" s="18">
        <v>107</v>
      </c>
      <c r="B487" s="28" t="s">
        <v>130</v>
      </c>
      <c r="C487" s="31" t="s">
        <v>742</v>
      </c>
      <c r="D487" s="182" t="s">
        <v>32</v>
      </c>
      <c r="E487" s="173">
        <v>1000</v>
      </c>
      <c r="F487" s="174">
        <v>3</v>
      </c>
      <c r="G487" s="149">
        <f t="shared" si="14"/>
        <v>3000</v>
      </c>
      <c r="H487" s="385"/>
      <c r="I487" s="141"/>
      <c r="J487" s="385"/>
      <c r="K487" s="28"/>
      <c r="L487" s="142"/>
      <c r="M487" s="28"/>
      <c r="N487" s="28"/>
      <c r="O487" s="141"/>
    </row>
    <row r="488" spans="1:15">
      <c r="A488" s="13">
        <v>108</v>
      </c>
      <c r="B488" s="14" t="s">
        <v>177</v>
      </c>
      <c r="C488" s="30" t="s">
        <v>743</v>
      </c>
      <c r="D488" s="181" t="s">
        <v>32</v>
      </c>
      <c r="E488" s="167">
        <v>100</v>
      </c>
      <c r="F488" s="172">
        <v>0</v>
      </c>
      <c r="G488" s="149">
        <f t="shared" si="14"/>
        <v>0</v>
      </c>
      <c r="H488" s="16"/>
      <c r="I488" s="16"/>
      <c r="J488" s="16"/>
      <c r="K488" s="14"/>
      <c r="L488" s="16"/>
      <c r="M488" s="14"/>
      <c r="N488" s="14">
        <v>1</v>
      </c>
      <c r="O488" s="16">
        <f t="shared" si="15"/>
        <v>100</v>
      </c>
    </row>
    <row r="489" spans="1:15">
      <c r="A489" s="17"/>
      <c r="B489" s="386"/>
      <c r="C489" s="386" t="s">
        <v>1640</v>
      </c>
      <c r="D489" s="16" t="s">
        <v>32</v>
      </c>
      <c r="E489" s="16">
        <v>10</v>
      </c>
      <c r="F489" s="16">
        <v>11</v>
      </c>
      <c r="G489" s="149">
        <f t="shared" si="14"/>
        <v>110</v>
      </c>
      <c r="H489" s="386"/>
      <c r="I489" s="386"/>
      <c r="J489" s="386"/>
      <c r="K489" s="386"/>
      <c r="L489" s="386"/>
      <c r="M489" s="386"/>
      <c r="N489" s="386"/>
      <c r="O489" s="386"/>
    </row>
    <row r="490" spans="1:15">
      <c r="A490" s="13"/>
      <c r="B490" s="147"/>
      <c r="C490" s="30" t="s">
        <v>1641</v>
      </c>
      <c r="D490" s="147" t="s">
        <v>32</v>
      </c>
      <c r="E490" s="147">
        <v>10</v>
      </c>
      <c r="F490" s="147">
        <v>2</v>
      </c>
      <c r="G490" s="149">
        <f t="shared" si="14"/>
        <v>20</v>
      </c>
      <c r="H490" s="147"/>
      <c r="I490" s="147"/>
      <c r="J490" s="147"/>
      <c r="K490" s="147"/>
      <c r="L490" s="147"/>
      <c r="M490" s="147"/>
      <c r="N490" s="147"/>
      <c r="O490" s="147"/>
    </row>
    <row r="491" spans="1:15">
      <c r="A491" s="13"/>
      <c r="B491" s="147"/>
      <c r="C491" s="30" t="s">
        <v>1642</v>
      </c>
      <c r="D491" s="147" t="s">
        <v>32</v>
      </c>
      <c r="E491" s="147">
        <v>10</v>
      </c>
      <c r="F491" s="147">
        <v>6</v>
      </c>
      <c r="G491" s="149">
        <f t="shared" si="14"/>
        <v>60</v>
      </c>
      <c r="H491" s="147"/>
      <c r="I491" s="147"/>
      <c r="J491" s="147"/>
      <c r="K491" s="147"/>
      <c r="L491" s="147"/>
      <c r="M491" s="147"/>
      <c r="N491" s="147"/>
      <c r="O491" s="147"/>
    </row>
    <row r="492" spans="1:15" ht="28.5">
      <c r="A492" s="13"/>
      <c r="B492" s="147"/>
      <c r="C492" s="30" t="s">
        <v>1643</v>
      </c>
      <c r="D492" s="147" t="s">
        <v>32</v>
      </c>
      <c r="E492" s="147">
        <v>10</v>
      </c>
      <c r="F492" s="147">
        <v>18</v>
      </c>
      <c r="G492" s="149">
        <f t="shared" si="14"/>
        <v>180</v>
      </c>
      <c r="H492" s="147"/>
      <c r="I492" s="147"/>
      <c r="J492" s="147"/>
      <c r="K492" s="147"/>
      <c r="L492" s="147"/>
      <c r="M492" s="147"/>
      <c r="N492" s="147"/>
      <c r="O492" s="147"/>
    </row>
    <row r="493" spans="1:15">
      <c r="A493" s="13"/>
      <c r="B493" s="147"/>
      <c r="C493" s="30" t="s">
        <v>1644</v>
      </c>
      <c r="D493" s="147" t="s">
        <v>1645</v>
      </c>
      <c r="E493" s="147">
        <v>20</v>
      </c>
      <c r="F493" s="147">
        <v>200</v>
      </c>
      <c r="G493" s="149">
        <f t="shared" si="14"/>
        <v>4000</v>
      </c>
      <c r="H493" s="147"/>
      <c r="I493" s="147"/>
      <c r="J493" s="147"/>
      <c r="K493" s="147"/>
      <c r="L493" s="147"/>
      <c r="M493" s="147"/>
      <c r="N493" s="147"/>
      <c r="O493" s="147"/>
    </row>
    <row r="494" spans="1:15" ht="14.25" customHeight="1">
      <c r="A494" s="13"/>
      <c r="B494" s="147"/>
      <c r="C494" s="30" t="s">
        <v>1646</v>
      </c>
      <c r="D494" s="147" t="s">
        <v>32</v>
      </c>
      <c r="E494" s="147">
        <v>29500</v>
      </c>
      <c r="F494" s="147">
        <v>3</v>
      </c>
      <c r="G494" s="149">
        <f t="shared" si="14"/>
        <v>88500</v>
      </c>
      <c r="H494" s="147"/>
      <c r="I494" s="147"/>
      <c r="J494" s="147"/>
      <c r="K494" s="147"/>
      <c r="L494" s="147"/>
      <c r="M494" s="147"/>
      <c r="N494" s="147"/>
      <c r="O494" s="147"/>
    </row>
    <row r="495" spans="1:15">
      <c r="A495" s="13"/>
      <c r="B495" s="147"/>
      <c r="C495" s="30" t="s">
        <v>1647</v>
      </c>
      <c r="D495" s="147" t="s">
        <v>32</v>
      </c>
      <c r="E495" s="147">
        <v>200</v>
      </c>
      <c r="F495" s="147">
        <v>5</v>
      </c>
      <c r="G495" s="149">
        <f t="shared" si="14"/>
        <v>1000</v>
      </c>
      <c r="H495" s="147"/>
      <c r="I495" s="147"/>
      <c r="J495" s="147"/>
      <c r="K495" s="147"/>
      <c r="L495" s="147"/>
      <c r="M495" s="147"/>
      <c r="N495" s="147"/>
      <c r="O495" s="147"/>
    </row>
    <row r="496" spans="1:15">
      <c r="A496" s="13"/>
      <c r="B496" s="147"/>
      <c r="C496" s="30" t="s">
        <v>1648</v>
      </c>
      <c r="D496" s="147" t="s">
        <v>32</v>
      </c>
      <c r="E496" s="147">
        <v>350</v>
      </c>
      <c r="F496" s="147">
        <v>3</v>
      </c>
      <c r="G496" s="149">
        <f t="shared" si="14"/>
        <v>1050</v>
      </c>
      <c r="H496" s="147"/>
      <c r="I496" s="147"/>
      <c r="J496" s="147"/>
      <c r="K496" s="147"/>
      <c r="L496" s="147"/>
      <c r="M496" s="147"/>
      <c r="N496" s="147"/>
      <c r="O496" s="147"/>
    </row>
    <row r="497" spans="1:15">
      <c r="A497" s="13"/>
      <c r="B497" s="147"/>
      <c r="C497" s="30" t="s">
        <v>1649</v>
      </c>
      <c r="D497" s="147" t="s">
        <v>32</v>
      </c>
      <c r="E497" s="147">
        <v>350</v>
      </c>
      <c r="F497" s="147">
        <v>3</v>
      </c>
      <c r="G497" s="149">
        <f t="shared" si="14"/>
        <v>1050</v>
      </c>
      <c r="H497" s="147"/>
      <c r="I497" s="147"/>
      <c r="J497" s="147"/>
      <c r="K497" s="147"/>
      <c r="L497" s="147"/>
      <c r="M497" s="147"/>
      <c r="N497" s="147"/>
      <c r="O497" s="147"/>
    </row>
    <row r="498" spans="1:15" s="1" customFormat="1" ht="15">
      <c r="A498" s="13"/>
      <c r="B498" s="147"/>
      <c r="C498" s="30" t="s">
        <v>1650</v>
      </c>
      <c r="D498" s="147" t="s">
        <v>32</v>
      </c>
      <c r="E498" s="147">
        <v>350</v>
      </c>
      <c r="F498" s="147">
        <v>1</v>
      </c>
      <c r="G498" s="149">
        <f t="shared" si="14"/>
        <v>350</v>
      </c>
      <c r="H498" s="147"/>
      <c r="I498" s="147"/>
      <c r="J498" s="147"/>
      <c r="K498" s="147"/>
      <c r="L498" s="147"/>
      <c r="M498" s="147"/>
      <c r="N498" s="147"/>
      <c r="O498" s="147"/>
    </row>
    <row r="499" spans="1:15" s="1" customFormat="1" ht="15">
      <c r="A499" s="13"/>
      <c r="B499" s="147"/>
      <c r="C499" s="30" t="s">
        <v>1651</v>
      </c>
      <c r="D499" s="147" t="s">
        <v>32</v>
      </c>
      <c r="E499" s="147">
        <v>350</v>
      </c>
      <c r="F499" s="147">
        <v>1</v>
      </c>
      <c r="G499" s="149">
        <f t="shared" si="14"/>
        <v>350</v>
      </c>
      <c r="H499" s="147"/>
      <c r="I499" s="147"/>
      <c r="J499" s="147"/>
      <c r="K499" s="147"/>
      <c r="L499" s="147"/>
      <c r="M499" s="147"/>
      <c r="N499" s="147"/>
      <c r="O499" s="147"/>
    </row>
    <row r="500" spans="1:15" s="1" customFormat="1" ht="15">
      <c r="A500" s="13">
        <v>109</v>
      </c>
      <c r="B500" s="147" t="s">
        <v>177</v>
      </c>
      <c r="C500" s="30" t="s">
        <v>781</v>
      </c>
      <c r="D500" s="147" t="s">
        <v>32</v>
      </c>
      <c r="E500" s="147">
        <f>894912/12</f>
        <v>74576</v>
      </c>
      <c r="F500" s="147">
        <v>1</v>
      </c>
      <c r="G500" s="149">
        <f t="shared" si="14"/>
        <v>74576</v>
      </c>
      <c r="H500" s="147"/>
      <c r="I500" s="147"/>
      <c r="J500" s="147"/>
      <c r="K500" s="147"/>
      <c r="L500" s="147"/>
      <c r="M500" s="147"/>
      <c r="N500" s="147"/>
      <c r="O500" s="147"/>
    </row>
    <row r="501" spans="1:15" s="1" customFormat="1" ht="15">
      <c r="A501" s="13">
        <v>110</v>
      </c>
      <c r="B501" s="147" t="s">
        <v>782</v>
      </c>
      <c r="C501" s="30" t="s">
        <v>783</v>
      </c>
      <c r="D501" s="147" t="s">
        <v>32</v>
      </c>
      <c r="E501" s="147">
        <v>78470</v>
      </c>
      <c r="F501" s="147">
        <v>2</v>
      </c>
      <c r="G501" s="149">
        <f t="shared" si="14"/>
        <v>156940</v>
      </c>
      <c r="H501" s="147"/>
      <c r="I501" s="147"/>
      <c r="J501" s="147"/>
      <c r="K501" s="147"/>
      <c r="L501" s="147"/>
      <c r="M501" s="147"/>
      <c r="N501" s="147"/>
      <c r="O501" s="147"/>
    </row>
    <row r="502" spans="1:15" s="1" customFormat="1" ht="15">
      <c r="A502" s="18">
        <v>111</v>
      </c>
      <c r="B502" s="147" t="s">
        <v>134</v>
      </c>
      <c r="C502" s="30" t="s">
        <v>784</v>
      </c>
      <c r="D502" s="147" t="s">
        <v>32</v>
      </c>
      <c r="E502" s="147">
        <v>15458</v>
      </c>
      <c r="F502" s="147">
        <v>3</v>
      </c>
      <c r="G502" s="149">
        <f t="shared" si="14"/>
        <v>46374</v>
      </c>
      <c r="H502" s="147"/>
      <c r="I502" s="147"/>
      <c r="J502" s="147"/>
      <c r="K502" s="147"/>
      <c r="L502" s="147"/>
      <c r="M502" s="147"/>
      <c r="N502" s="147"/>
      <c r="O502" s="147"/>
    </row>
    <row r="503" spans="1:15" s="1" customFormat="1" ht="15">
      <c r="A503" s="13">
        <v>112</v>
      </c>
      <c r="B503" s="147" t="s">
        <v>785</v>
      </c>
      <c r="C503" s="30" t="s">
        <v>786</v>
      </c>
      <c r="D503" s="147" t="s">
        <v>32</v>
      </c>
      <c r="E503" s="147">
        <v>86730</v>
      </c>
      <c r="F503" s="147">
        <v>3</v>
      </c>
      <c r="G503" s="149">
        <f t="shared" si="14"/>
        <v>260190</v>
      </c>
      <c r="H503" s="147"/>
      <c r="I503" s="147"/>
      <c r="J503" s="147"/>
      <c r="K503" s="147"/>
      <c r="L503" s="147"/>
      <c r="M503" s="147"/>
      <c r="N503" s="147"/>
      <c r="O503" s="147"/>
    </row>
    <row r="504" spans="1:15" s="1" customFormat="1" ht="15">
      <c r="A504" s="13">
        <v>113</v>
      </c>
      <c r="B504" s="147" t="s">
        <v>134</v>
      </c>
      <c r="C504" s="30" t="s">
        <v>787</v>
      </c>
      <c r="D504" s="147" t="s">
        <v>32</v>
      </c>
      <c r="E504" s="147">
        <v>33099</v>
      </c>
      <c r="F504" s="147">
        <v>2</v>
      </c>
      <c r="G504" s="149">
        <f t="shared" si="14"/>
        <v>66198</v>
      </c>
      <c r="H504" s="147"/>
      <c r="I504" s="147"/>
      <c r="J504" s="147"/>
      <c r="K504" s="147"/>
      <c r="L504" s="147"/>
      <c r="M504" s="147"/>
      <c r="N504" s="147"/>
      <c r="O504" s="147"/>
    </row>
    <row r="505" spans="1:15" s="1" customFormat="1" ht="28.5">
      <c r="A505" s="13">
        <v>114</v>
      </c>
      <c r="B505" s="147"/>
      <c r="C505" s="30" t="s">
        <v>788</v>
      </c>
      <c r="D505" s="147" t="s">
        <v>32</v>
      </c>
      <c r="E505" s="147">
        <v>179286.22</v>
      </c>
      <c r="F505" s="147">
        <v>3</v>
      </c>
      <c r="G505" s="149">
        <f t="shared" si="14"/>
        <v>537858.66</v>
      </c>
      <c r="H505" s="147"/>
      <c r="I505" s="147"/>
      <c r="J505" s="147"/>
      <c r="K505" s="147"/>
      <c r="L505" s="147"/>
      <c r="M505" s="147"/>
      <c r="N505" s="147"/>
      <c r="O505" s="147"/>
    </row>
    <row r="506" spans="1:15" s="1" customFormat="1" ht="15">
      <c r="A506" s="18">
        <v>115</v>
      </c>
      <c r="B506" s="147" t="s">
        <v>629</v>
      </c>
      <c r="C506" s="30" t="s">
        <v>789</v>
      </c>
      <c r="D506" s="147" t="s">
        <v>32</v>
      </c>
      <c r="E506" s="147">
        <v>35400</v>
      </c>
      <c r="F506" s="147">
        <v>2</v>
      </c>
      <c r="G506" s="149">
        <f t="shared" si="14"/>
        <v>70800</v>
      </c>
      <c r="H506" s="147"/>
      <c r="I506" s="147"/>
      <c r="J506" s="147"/>
      <c r="K506" s="147"/>
      <c r="L506" s="147"/>
      <c r="M506" s="147"/>
      <c r="N506" s="147"/>
      <c r="O506" s="147"/>
    </row>
    <row r="507" spans="1:15" s="1" customFormat="1" ht="15">
      <c r="A507" s="13">
        <v>116</v>
      </c>
      <c r="B507" s="147" t="s">
        <v>664</v>
      </c>
      <c r="C507" s="30" t="s">
        <v>790</v>
      </c>
      <c r="D507" s="147" t="s">
        <v>32</v>
      </c>
      <c r="E507" s="147">
        <v>73160</v>
      </c>
      <c r="F507" s="147">
        <v>6</v>
      </c>
      <c r="G507" s="149">
        <f t="shared" si="14"/>
        <v>438960</v>
      </c>
      <c r="H507" s="147"/>
      <c r="I507" s="147"/>
      <c r="J507" s="147"/>
      <c r="K507" s="147"/>
      <c r="L507" s="147"/>
      <c r="M507" s="147"/>
      <c r="N507" s="147"/>
      <c r="O507" s="147"/>
    </row>
    <row r="508" spans="1:15" s="1" customFormat="1" ht="15">
      <c r="A508" s="13">
        <v>117</v>
      </c>
      <c r="B508" s="147" t="s">
        <v>791</v>
      </c>
      <c r="C508" s="30" t="s">
        <v>792</v>
      </c>
      <c r="D508" s="147" t="s">
        <v>32</v>
      </c>
      <c r="E508" s="147">
        <v>329338</v>
      </c>
      <c r="F508" s="147">
        <v>2</v>
      </c>
      <c r="G508" s="149">
        <f t="shared" si="14"/>
        <v>658676</v>
      </c>
      <c r="H508" s="147"/>
      <c r="I508" s="147"/>
      <c r="J508" s="147"/>
      <c r="K508" s="147"/>
      <c r="L508" s="147"/>
      <c r="M508" s="147"/>
      <c r="N508" s="147"/>
      <c r="O508" s="147"/>
    </row>
    <row r="509" spans="1:15" s="1" customFormat="1" ht="15">
      <c r="A509" s="32"/>
      <c r="B509" s="32"/>
      <c r="C509" s="185" t="s">
        <v>374</v>
      </c>
      <c r="D509" s="10"/>
      <c r="E509" s="175"/>
      <c r="F509" s="176"/>
      <c r="G509" s="184">
        <f>SUM(G381:G508)</f>
        <v>4007555.9079999998</v>
      </c>
      <c r="H509" s="176"/>
      <c r="I509" s="176"/>
      <c r="J509" s="176"/>
      <c r="K509" s="176"/>
      <c r="L509" s="176"/>
      <c r="M509" s="176">
        <f>SUM(M381:M508)</f>
        <v>50000</v>
      </c>
      <c r="N509" s="176"/>
      <c r="O509" s="176">
        <f>SUM(O381:O508)</f>
        <v>8500</v>
      </c>
    </row>
    <row r="510" spans="1:15" s="1" customFormat="1" ht="15">
      <c r="A510" s="32"/>
      <c r="B510" s="32"/>
      <c r="C510" s="186" t="s">
        <v>793</v>
      </c>
      <c r="D510" s="10"/>
      <c r="E510" s="175"/>
      <c r="F510" s="176"/>
      <c r="G510" s="388"/>
      <c r="H510" s="176"/>
      <c r="I510" s="176"/>
      <c r="J510" s="176"/>
      <c r="K510" s="176"/>
      <c r="L510" s="176"/>
      <c r="M510" s="176"/>
      <c r="N510" s="176"/>
      <c r="O510" s="176"/>
    </row>
    <row r="511" spans="1:15">
      <c r="A511" s="16">
        <v>1</v>
      </c>
      <c r="B511" s="16"/>
      <c r="C511" s="178" t="s">
        <v>744</v>
      </c>
      <c r="D511" s="133" t="s">
        <v>7</v>
      </c>
      <c r="E511" s="187">
        <v>40000</v>
      </c>
      <c r="F511" s="188">
        <v>8.0660000000000007</v>
      </c>
      <c r="G511" s="387">
        <f>E511*F511</f>
        <v>322640</v>
      </c>
      <c r="H511" s="150"/>
      <c r="I511" s="150"/>
      <c r="J511" s="150"/>
      <c r="K511" s="150"/>
      <c r="L511" s="150"/>
      <c r="M511" s="150"/>
      <c r="N511" s="150"/>
      <c r="O511" s="150"/>
    </row>
    <row r="512" spans="1:15">
      <c r="A512" s="16">
        <v>2</v>
      </c>
      <c r="B512" s="16"/>
      <c r="C512" s="178" t="s">
        <v>745</v>
      </c>
      <c r="D512" s="133" t="s">
        <v>18</v>
      </c>
      <c r="E512" s="189">
        <v>110000</v>
      </c>
      <c r="F512" s="188">
        <v>0.78300000000000003</v>
      </c>
      <c r="G512" s="240">
        <f t="shared" ref="G512:G517" si="16">E512*F512</f>
        <v>86130</v>
      </c>
      <c r="H512" s="150"/>
      <c r="I512" s="150"/>
      <c r="J512" s="150"/>
      <c r="K512" s="150"/>
      <c r="L512" s="150"/>
      <c r="M512" s="150"/>
      <c r="N512" s="150"/>
      <c r="O512" s="150"/>
    </row>
    <row r="513" spans="1:20">
      <c r="A513" s="16">
        <v>3</v>
      </c>
      <c r="B513" s="16"/>
      <c r="C513" s="178" t="s">
        <v>746</v>
      </c>
      <c r="D513" s="133" t="s">
        <v>747</v>
      </c>
      <c r="E513" s="187">
        <v>110</v>
      </c>
      <c r="F513" s="188">
        <v>82</v>
      </c>
      <c r="G513" s="240">
        <f t="shared" si="16"/>
        <v>9020</v>
      </c>
      <c r="H513" s="150"/>
      <c r="I513" s="150"/>
      <c r="J513" s="150"/>
      <c r="K513" s="150"/>
      <c r="L513" s="150"/>
      <c r="M513" s="150"/>
      <c r="N513" s="150"/>
      <c r="O513" s="150"/>
    </row>
    <row r="514" spans="1:20">
      <c r="A514" s="16">
        <v>4</v>
      </c>
      <c r="B514" s="16"/>
      <c r="C514" s="179" t="s">
        <v>748</v>
      </c>
      <c r="D514" s="133" t="s">
        <v>747</v>
      </c>
      <c r="E514" s="189">
        <v>2295</v>
      </c>
      <c r="F514" s="188">
        <v>1</v>
      </c>
      <c r="G514" s="240">
        <f t="shared" si="16"/>
        <v>2295</v>
      </c>
      <c r="H514" s="150"/>
      <c r="I514" s="150"/>
      <c r="J514" s="150"/>
      <c r="K514" s="150"/>
      <c r="L514" s="150"/>
      <c r="M514" s="150"/>
      <c r="N514" s="150"/>
      <c r="O514" s="150"/>
    </row>
    <row r="515" spans="1:20">
      <c r="A515" s="16">
        <v>5</v>
      </c>
      <c r="B515" s="16"/>
      <c r="C515" s="178" t="s">
        <v>749</v>
      </c>
      <c r="D515" s="133" t="s">
        <v>747</v>
      </c>
      <c r="E515" s="189">
        <v>703.8</v>
      </c>
      <c r="F515" s="188">
        <v>4</v>
      </c>
      <c r="G515" s="240">
        <f t="shared" si="16"/>
        <v>2815.2</v>
      </c>
      <c r="H515" s="150"/>
      <c r="I515" s="150"/>
      <c r="J515" s="150"/>
      <c r="K515" s="150"/>
      <c r="L515" s="150"/>
      <c r="M515" s="150"/>
      <c r="N515" s="150"/>
      <c r="O515" s="150"/>
    </row>
    <row r="516" spans="1:20">
      <c r="A516" s="16">
        <v>6</v>
      </c>
      <c r="B516" s="16"/>
      <c r="C516" s="178" t="s">
        <v>750</v>
      </c>
      <c r="D516" s="133" t="s">
        <v>747</v>
      </c>
      <c r="E516" s="189">
        <v>663</v>
      </c>
      <c r="F516" s="188">
        <v>4</v>
      </c>
      <c r="G516" s="240">
        <f t="shared" si="16"/>
        <v>2652</v>
      </c>
      <c r="H516" s="150"/>
      <c r="I516" s="150"/>
      <c r="J516" s="150"/>
      <c r="K516" s="150"/>
      <c r="L516" s="150"/>
      <c r="M516" s="150"/>
      <c r="N516" s="150"/>
      <c r="O516" s="150"/>
    </row>
    <row r="517" spans="1:20">
      <c r="A517" s="16">
        <v>7</v>
      </c>
      <c r="B517" s="16"/>
      <c r="C517" s="178" t="s">
        <v>751</v>
      </c>
      <c r="D517" s="133" t="s">
        <v>747</v>
      </c>
      <c r="E517" s="187">
        <v>750</v>
      </c>
      <c r="F517" s="188">
        <v>9</v>
      </c>
      <c r="G517" s="240">
        <f t="shared" si="16"/>
        <v>6750</v>
      </c>
      <c r="H517" s="150"/>
      <c r="I517" s="150"/>
      <c r="J517" s="150"/>
      <c r="K517" s="150"/>
      <c r="L517" s="150"/>
      <c r="M517" s="150"/>
      <c r="N517" s="150"/>
      <c r="O517" s="150"/>
    </row>
    <row r="518" spans="1:20" ht="15">
      <c r="A518" s="16"/>
      <c r="B518" s="16"/>
      <c r="C518" s="192" t="s">
        <v>374</v>
      </c>
      <c r="D518" s="183"/>
      <c r="E518" s="190"/>
      <c r="F518" s="191"/>
      <c r="G518" s="241">
        <f>SUM(G511:G517)</f>
        <v>432302.2</v>
      </c>
      <c r="H518" s="150"/>
      <c r="I518" s="150"/>
      <c r="J518" s="150"/>
      <c r="K518" s="150"/>
      <c r="L518" s="150"/>
      <c r="M518" s="150"/>
      <c r="N518" s="150"/>
      <c r="O518" s="150"/>
    </row>
    <row r="519" spans="1:20" ht="21.75" customHeight="1">
      <c r="A519" s="16"/>
      <c r="B519" s="16"/>
      <c r="C519" s="185" t="s">
        <v>794</v>
      </c>
      <c r="D519" s="134"/>
      <c r="E519" s="135"/>
      <c r="F519" s="41"/>
      <c r="G519" s="176">
        <f>G518+G509+G379+G367+G253+G113</f>
        <v>70864676.132570803</v>
      </c>
      <c r="H519" s="47"/>
      <c r="I519" s="47"/>
      <c r="J519" s="47"/>
      <c r="K519" s="47"/>
      <c r="L519" s="47"/>
      <c r="M519" s="47"/>
      <c r="N519" s="47"/>
      <c r="O519" s="193">
        <f>O518+O509+O367+O253+O113</f>
        <v>1354286.6680000001</v>
      </c>
    </row>
    <row r="520" spans="1:20" ht="15">
      <c r="A520" s="451" t="s">
        <v>753</v>
      </c>
      <c r="B520" s="451"/>
      <c r="C520" s="384" t="s">
        <v>754</v>
      </c>
      <c r="D520" s="52"/>
      <c r="E520" s="52"/>
      <c r="F520" s="52"/>
      <c r="G520" s="223"/>
      <c r="H520" s="224"/>
      <c r="I520" s="224"/>
      <c r="J520" s="224"/>
      <c r="K520" s="224"/>
      <c r="L520" s="224"/>
      <c r="M520" s="224"/>
      <c r="N520" s="224"/>
      <c r="O520" s="224"/>
    </row>
    <row r="521" spans="1:20" ht="15">
      <c r="A521" s="452" t="s">
        <v>755</v>
      </c>
      <c r="B521" s="452"/>
      <c r="C521" s="54" t="s">
        <v>756</v>
      </c>
      <c r="D521" s="52"/>
      <c r="E521" s="52"/>
      <c r="F521" s="52"/>
      <c r="G521" s="223"/>
      <c r="H521" s="224"/>
      <c r="I521" s="224"/>
      <c r="J521" s="224"/>
      <c r="K521" s="224"/>
      <c r="L521" s="224"/>
      <c r="M521" s="224"/>
      <c r="N521" s="224"/>
      <c r="O521" s="224"/>
    </row>
    <row r="522" spans="1:20" ht="15">
      <c r="A522" s="452" t="s">
        <v>757</v>
      </c>
      <c r="B522" s="452"/>
      <c r="C522" s="466" t="s">
        <v>822</v>
      </c>
      <c r="D522" s="466"/>
      <c r="E522" s="52"/>
      <c r="F522" s="52"/>
      <c r="G522" s="223"/>
      <c r="H522" s="224"/>
      <c r="I522" s="224"/>
      <c r="J522" s="224"/>
      <c r="K522" s="224"/>
      <c r="L522" s="224"/>
      <c r="M522" s="224"/>
      <c r="N522" s="224"/>
      <c r="O522" s="224"/>
    </row>
    <row r="523" spans="1:20" ht="15">
      <c r="A523" s="452" t="s">
        <v>823</v>
      </c>
      <c r="B523" s="452"/>
      <c r="C523" s="54" t="s">
        <v>824</v>
      </c>
      <c r="D523" s="52"/>
      <c r="E523" s="52"/>
      <c r="F523" s="52"/>
      <c r="G523" s="223"/>
      <c r="H523" s="224"/>
      <c r="I523" s="224"/>
      <c r="J523" s="224"/>
      <c r="K523" s="224"/>
      <c r="L523" s="224"/>
      <c r="M523" s="224"/>
      <c r="N523" s="224"/>
      <c r="O523" s="224"/>
      <c r="T523" s="389">
        <f>G509+G518</f>
        <v>4439858.108</v>
      </c>
    </row>
    <row r="524" spans="1:20" ht="15">
      <c r="A524" s="467" t="s">
        <v>758</v>
      </c>
      <c r="B524" s="467"/>
      <c r="C524" s="242">
        <v>46204</v>
      </c>
      <c r="D524" s="52"/>
      <c r="E524" s="50"/>
      <c r="F524" s="50"/>
      <c r="G524" s="224"/>
      <c r="H524" s="224"/>
      <c r="I524" s="224"/>
      <c r="J524" s="224"/>
      <c r="K524" s="224"/>
      <c r="L524" s="224"/>
      <c r="M524" s="224"/>
      <c r="N524" s="224"/>
      <c r="O524" s="224"/>
    </row>
    <row r="525" spans="1:20" ht="15">
      <c r="A525" s="468" t="s">
        <v>825</v>
      </c>
      <c r="B525" s="468" t="s">
        <v>215</v>
      </c>
      <c r="C525" s="470" t="s">
        <v>826</v>
      </c>
      <c r="D525" s="460" t="s">
        <v>1</v>
      </c>
      <c r="E525" s="460" t="s">
        <v>827</v>
      </c>
      <c r="F525" s="462" t="s">
        <v>2</v>
      </c>
      <c r="G525" s="463"/>
      <c r="H525" s="464" t="s">
        <v>3</v>
      </c>
      <c r="I525" s="465"/>
      <c r="J525" s="464" t="s">
        <v>4</v>
      </c>
      <c r="K525" s="465"/>
      <c r="L525" s="464" t="s">
        <v>5</v>
      </c>
      <c r="M525" s="465"/>
      <c r="N525" s="464" t="s">
        <v>6</v>
      </c>
      <c r="O525" s="465"/>
    </row>
    <row r="526" spans="1:20" ht="45">
      <c r="A526" s="469"/>
      <c r="B526" s="469"/>
      <c r="C526" s="471"/>
      <c r="D526" s="461"/>
      <c r="E526" s="461"/>
      <c r="F526" s="243" t="s">
        <v>828</v>
      </c>
      <c r="G526" s="2" t="s">
        <v>17</v>
      </c>
      <c r="H526" s="2" t="s">
        <v>828</v>
      </c>
      <c r="I526" s="2" t="s">
        <v>17</v>
      </c>
      <c r="J526" s="2" t="s">
        <v>828</v>
      </c>
      <c r="K526" s="2" t="s">
        <v>17</v>
      </c>
      <c r="L526" s="2" t="s">
        <v>828</v>
      </c>
      <c r="M526" s="2" t="s">
        <v>17</v>
      </c>
      <c r="N526" s="2" t="s">
        <v>828</v>
      </c>
      <c r="O526" s="2" t="s">
        <v>17</v>
      </c>
    </row>
    <row r="527" spans="1:20" ht="15">
      <c r="A527" s="453" t="s">
        <v>829</v>
      </c>
      <c r="B527" s="454"/>
      <c r="C527" s="454"/>
      <c r="D527" s="454"/>
      <c r="E527" s="454"/>
      <c r="F527" s="454"/>
      <c r="G527" s="454"/>
      <c r="H527" s="454"/>
      <c r="I527" s="454"/>
      <c r="J527" s="454"/>
      <c r="K527" s="454"/>
      <c r="L527" s="454"/>
      <c r="M527" s="454"/>
      <c r="N527" s="454"/>
      <c r="O527" s="455"/>
    </row>
    <row r="528" spans="1:20">
      <c r="A528" s="244">
        <v>1</v>
      </c>
      <c r="B528" s="244"/>
      <c r="C528" s="245" t="s">
        <v>830</v>
      </c>
      <c r="D528" s="244" t="s">
        <v>10</v>
      </c>
      <c r="E528" s="244">
        <v>6994</v>
      </c>
      <c r="F528" s="132">
        <v>1</v>
      </c>
      <c r="G528" s="246">
        <f>E528*F528</f>
        <v>6994</v>
      </c>
      <c r="H528" s="246">
        <v>0</v>
      </c>
      <c r="I528" s="246">
        <v>0</v>
      </c>
      <c r="J528" s="246">
        <v>0</v>
      </c>
      <c r="K528" s="246">
        <v>0</v>
      </c>
      <c r="L528" s="246">
        <v>0</v>
      </c>
      <c r="M528" s="246">
        <v>0</v>
      </c>
      <c r="N528" s="246">
        <v>0</v>
      </c>
      <c r="O528" s="246">
        <v>0</v>
      </c>
    </row>
    <row r="529" spans="1:15">
      <c r="A529" s="244">
        <v>2</v>
      </c>
      <c r="B529" s="244"/>
      <c r="C529" s="247" t="s">
        <v>831</v>
      </c>
      <c r="D529" s="244" t="s">
        <v>10</v>
      </c>
      <c r="E529" s="244">
        <v>1000</v>
      </c>
      <c r="F529" s="132">
        <v>1</v>
      </c>
      <c r="G529" s="246">
        <f t="shared" ref="G529:G592" si="17">E529*F529</f>
        <v>1000</v>
      </c>
      <c r="H529" s="246">
        <v>0</v>
      </c>
      <c r="I529" s="246">
        <v>0</v>
      </c>
      <c r="J529" s="246">
        <v>0</v>
      </c>
      <c r="K529" s="246">
        <v>0</v>
      </c>
      <c r="L529" s="246">
        <v>0</v>
      </c>
      <c r="M529" s="246">
        <v>0</v>
      </c>
      <c r="N529" s="246">
        <v>0</v>
      </c>
      <c r="O529" s="246">
        <v>0</v>
      </c>
    </row>
    <row r="530" spans="1:15">
      <c r="A530" s="244">
        <v>3</v>
      </c>
      <c r="B530" s="244"/>
      <c r="C530" s="247" t="s">
        <v>832</v>
      </c>
      <c r="D530" s="244" t="s">
        <v>10</v>
      </c>
      <c r="E530" s="244">
        <v>1000</v>
      </c>
      <c r="F530" s="132">
        <v>1</v>
      </c>
      <c r="G530" s="246">
        <f t="shared" si="17"/>
        <v>1000</v>
      </c>
      <c r="H530" s="246">
        <v>0</v>
      </c>
      <c r="I530" s="246">
        <v>0</v>
      </c>
      <c r="J530" s="246">
        <v>0</v>
      </c>
      <c r="K530" s="246">
        <v>0</v>
      </c>
      <c r="L530" s="246">
        <v>0</v>
      </c>
      <c r="M530" s="246">
        <v>0</v>
      </c>
      <c r="N530" s="246">
        <v>0</v>
      </c>
      <c r="O530" s="246">
        <v>0</v>
      </c>
    </row>
    <row r="531" spans="1:15">
      <c r="A531" s="244">
        <v>4</v>
      </c>
      <c r="B531" s="244"/>
      <c r="C531" s="247" t="s">
        <v>833</v>
      </c>
      <c r="D531" s="244" t="s">
        <v>10</v>
      </c>
      <c r="E531" s="244">
        <v>1000</v>
      </c>
      <c r="F531" s="132">
        <v>1</v>
      </c>
      <c r="G531" s="246">
        <f t="shared" si="17"/>
        <v>1000</v>
      </c>
      <c r="H531" s="246">
        <v>0</v>
      </c>
      <c r="I531" s="246">
        <v>0</v>
      </c>
      <c r="J531" s="246">
        <v>0</v>
      </c>
      <c r="K531" s="246">
        <v>0</v>
      </c>
      <c r="L531" s="246">
        <v>0</v>
      </c>
      <c r="M531" s="246">
        <v>0</v>
      </c>
      <c r="N531" s="246">
        <v>0</v>
      </c>
      <c r="O531" s="246">
        <v>0</v>
      </c>
    </row>
    <row r="532" spans="1:15">
      <c r="A532" s="244">
        <v>5</v>
      </c>
      <c r="B532" s="244"/>
      <c r="C532" s="247" t="s">
        <v>834</v>
      </c>
      <c r="D532" s="244" t="s">
        <v>10</v>
      </c>
      <c r="E532" s="244">
        <v>1000</v>
      </c>
      <c r="F532" s="132">
        <v>1</v>
      </c>
      <c r="G532" s="246">
        <f t="shared" si="17"/>
        <v>1000</v>
      </c>
      <c r="H532" s="246">
        <v>0</v>
      </c>
      <c r="I532" s="246">
        <v>0</v>
      </c>
      <c r="J532" s="246">
        <v>0</v>
      </c>
      <c r="K532" s="246">
        <v>0</v>
      </c>
      <c r="L532" s="246">
        <v>0</v>
      </c>
      <c r="M532" s="246">
        <v>0</v>
      </c>
      <c r="N532" s="246">
        <v>0</v>
      </c>
      <c r="O532" s="246">
        <v>0</v>
      </c>
    </row>
    <row r="533" spans="1:15">
      <c r="A533" s="244">
        <v>6</v>
      </c>
      <c r="B533" s="244"/>
      <c r="C533" s="247" t="s">
        <v>835</v>
      </c>
      <c r="D533" s="244" t="s">
        <v>10</v>
      </c>
      <c r="E533" s="244">
        <v>1000</v>
      </c>
      <c r="F533" s="132">
        <v>1</v>
      </c>
      <c r="G533" s="246">
        <f t="shared" si="17"/>
        <v>1000</v>
      </c>
      <c r="H533" s="246">
        <v>0</v>
      </c>
      <c r="I533" s="246">
        <v>0</v>
      </c>
      <c r="J533" s="246">
        <v>0</v>
      </c>
      <c r="K533" s="246">
        <v>0</v>
      </c>
      <c r="L533" s="246">
        <v>0</v>
      </c>
      <c r="M533" s="246">
        <v>0</v>
      </c>
      <c r="N533" s="246">
        <v>0</v>
      </c>
      <c r="O533" s="246">
        <v>0</v>
      </c>
    </row>
    <row r="534" spans="1:15">
      <c r="A534" s="244">
        <v>7</v>
      </c>
      <c r="B534" s="244"/>
      <c r="C534" s="247" t="s">
        <v>836</v>
      </c>
      <c r="D534" s="244" t="s">
        <v>10</v>
      </c>
      <c r="E534" s="244">
        <v>1000</v>
      </c>
      <c r="F534" s="132">
        <v>1</v>
      </c>
      <c r="G534" s="246">
        <f t="shared" si="17"/>
        <v>1000</v>
      </c>
      <c r="H534" s="246">
        <v>0</v>
      </c>
      <c r="I534" s="246">
        <v>0</v>
      </c>
      <c r="J534" s="246">
        <v>0</v>
      </c>
      <c r="K534" s="246">
        <v>0</v>
      </c>
      <c r="L534" s="246">
        <v>0</v>
      </c>
      <c r="M534" s="246">
        <v>0</v>
      </c>
      <c r="N534" s="246">
        <v>0</v>
      </c>
      <c r="O534" s="246">
        <v>0</v>
      </c>
    </row>
    <row r="535" spans="1:15">
      <c r="A535" s="244">
        <v>8</v>
      </c>
      <c r="B535" s="244"/>
      <c r="C535" s="247" t="s">
        <v>837</v>
      </c>
      <c r="D535" s="244" t="s">
        <v>10</v>
      </c>
      <c r="E535" s="244">
        <v>1000</v>
      </c>
      <c r="F535" s="132">
        <v>1</v>
      </c>
      <c r="G535" s="246">
        <f t="shared" si="17"/>
        <v>1000</v>
      </c>
      <c r="H535" s="246">
        <v>0</v>
      </c>
      <c r="I535" s="246">
        <v>0</v>
      </c>
      <c r="J535" s="246">
        <v>0</v>
      </c>
      <c r="K535" s="246">
        <v>0</v>
      </c>
      <c r="L535" s="246" t="s">
        <v>838</v>
      </c>
      <c r="M535" s="246">
        <v>0</v>
      </c>
      <c r="N535" s="246">
        <v>0</v>
      </c>
      <c r="O535" s="246">
        <v>0</v>
      </c>
    </row>
    <row r="536" spans="1:15">
      <c r="A536" s="244">
        <v>9</v>
      </c>
      <c r="B536" s="244"/>
      <c r="C536" s="247" t="s">
        <v>839</v>
      </c>
      <c r="D536" s="244" t="s">
        <v>10</v>
      </c>
      <c r="E536" s="244">
        <v>1000</v>
      </c>
      <c r="F536" s="132">
        <v>1</v>
      </c>
      <c r="G536" s="246">
        <f t="shared" si="17"/>
        <v>1000</v>
      </c>
      <c r="H536" s="246">
        <v>0</v>
      </c>
      <c r="I536" s="246">
        <v>0</v>
      </c>
      <c r="J536" s="246">
        <v>0</v>
      </c>
      <c r="K536" s="246">
        <v>0</v>
      </c>
      <c r="L536" s="246">
        <v>0</v>
      </c>
      <c r="M536" s="246">
        <v>0</v>
      </c>
      <c r="N536" s="246">
        <v>0</v>
      </c>
      <c r="O536" s="246">
        <v>0</v>
      </c>
    </row>
    <row r="537" spans="1:15">
      <c r="A537" s="244">
        <v>10</v>
      </c>
      <c r="B537" s="244" t="s">
        <v>840</v>
      </c>
      <c r="C537" s="247" t="s">
        <v>841</v>
      </c>
      <c r="D537" s="244" t="s">
        <v>10</v>
      </c>
      <c r="E537" s="244">
        <v>5000</v>
      </c>
      <c r="F537" s="132">
        <v>1</v>
      </c>
      <c r="G537" s="246">
        <f t="shared" si="17"/>
        <v>5000</v>
      </c>
      <c r="H537" s="246">
        <v>0</v>
      </c>
      <c r="I537" s="246">
        <v>0</v>
      </c>
      <c r="J537" s="246">
        <v>0</v>
      </c>
      <c r="K537" s="246">
        <v>0</v>
      </c>
      <c r="L537" s="246">
        <v>0</v>
      </c>
      <c r="M537" s="246">
        <v>0</v>
      </c>
      <c r="N537" s="246">
        <v>0</v>
      </c>
      <c r="O537" s="246">
        <v>0</v>
      </c>
    </row>
    <row r="538" spans="1:15">
      <c r="A538" s="244">
        <v>11</v>
      </c>
      <c r="B538" s="244" t="s">
        <v>842</v>
      </c>
      <c r="C538" s="247" t="s">
        <v>843</v>
      </c>
      <c r="D538" s="244" t="s">
        <v>10</v>
      </c>
      <c r="E538" s="244">
        <v>1000</v>
      </c>
      <c r="F538" s="132">
        <v>2</v>
      </c>
      <c r="G538" s="246">
        <f t="shared" si="17"/>
        <v>2000</v>
      </c>
      <c r="H538" s="246">
        <v>0</v>
      </c>
      <c r="I538" s="246">
        <v>0</v>
      </c>
      <c r="J538" s="246">
        <v>0</v>
      </c>
      <c r="K538" s="246">
        <v>0</v>
      </c>
      <c r="L538" s="246">
        <v>0</v>
      </c>
      <c r="M538" s="246">
        <v>0</v>
      </c>
      <c r="N538" s="246">
        <v>0</v>
      </c>
      <c r="O538" s="246">
        <v>0</v>
      </c>
    </row>
    <row r="539" spans="1:15">
      <c r="A539" s="244">
        <v>12</v>
      </c>
      <c r="B539" s="244"/>
      <c r="C539" s="247" t="s">
        <v>844</v>
      </c>
      <c r="D539" s="244" t="s">
        <v>10</v>
      </c>
      <c r="E539" s="244">
        <v>1000</v>
      </c>
      <c r="F539" s="132">
        <v>1</v>
      </c>
      <c r="G539" s="246">
        <f t="shared" si="17"/>
        <v>1000</v>
      </c>
      <c r="H539" s="246">
        <v>0</v>
      </c>
      <c r="I539" s="246">
        <v>0</v>
      </c>
      <c r="J539" s="246">
        <v>0</v>
      </c>
      <c r="K539" s="246">
        <v>0</v>
      </c>
      <c r="L539" s="246">
        <v>0</v>
      </c>
      <c r="M539" s="246">
        <v>0</v>
      </c>
      <c r="N539" s="246">
        <v>0</v>
      </c>
      <c r="O539" s="246">
        <v>0</v>
      </c>
    </row>
    <row r="540" spans="1:15">
      <c r="A540" s="244">
        <v>13</v>
      </c>
      <c r="B540" s="244" t="s">
        <v>845</v>
      </c>
      <c r="C540" s="247" t="s">
        <v>846</v>
      </c>
      <c r="D540" s="244" t="s">
        <v>10</v>
      </c>
      <c r="E540" s="244">
        <v>1000</v>
      </c>
      <c r="F540" s="132">
        <v>1</v>
      </c>
      <c r="G540" s="246">
        <f t="shared" si="17"/>
        <v>1000</v>
      </c>
      <c r="H540" s="246">
        <v>0</v>
      </c>
      <c r="I540" s="246">
        <v>0</v>
      </c>
      <c r="J540" s="246">
        <v>0</v>
      </c>
      <c r="K540" s="246">
        <v>0</v>
      </c>
      <c r="L540" s="246">
        <v>0</v>
      </c>
      <c r="M540" s="246">
        <v>0</v>
      </c>
      <c r="N540" s="246">
        <v>0</v>
      </c>
      <c r="O540" s="246">
        <v>0</v>
      </c>
    </row>
    <row r="541" spans="1:15">
      <c r="A541" s="244">
        <v>14</v>
      </c>
      <c r="B541" s="244" t="s">
        <v>847</v>
      </c>
      <c r="C541" s="247" t="s">
        <v>848</v>
      </c>
      <c r="D541" s="244" t="s">
        <v>10</v>
      </c>
      <c r="E541" s="244">
        <v>500</v>
      </c>
      <c r="F541" s="132">
        <v>1</v>
      </c>
      <c r="G541" s="246">
        <f t="shared" si="17"/>
        <v>500</v>
      </c>
      <c r="H541" s="246">
        <v>0</v>
      </c>
      <c r="I541" s="246">
        <v>0</v>
      </c>
      <c r="J541" s="246">
        <v>0</v>
      </c>
      <c r="K541" s="246">
        <v>0</v>
      </c>
      <c r="L541" s="246">
        <v>0</v>
      </c>
      <c r="M541" s="246">
        <v>0</v>
      </c>
      <c r="N541" s="246">
        <v>0</v>
      </c>
      <c r="O541" s="246">
        <v>0</v>
      </c>
    </row>
    <row r="542" spans="1:15">
      <c r="A542" s="244">
        <v>15</v>
      </c>
      <c r="B542" s="244"/>
      <c r="C542" s="247" t="s">
        <v>849</v>
      </c>
      <c r="D542" s="244" t="s">
        <v>10</v>
      </c>
      <c r="E542" s="244">
        <v>500</v>
      </c>
      <c r="F542" s="132">
        <v>1</v>
      </c>
      <c r="G542" s="246">
        <f t="shared" si="17"/>
        <v>500</v>
      </c>
      <c r="H542" s="246">
        <v>0</v>
      </c>
      <c r="I542" s="246">
        <v>0</v>
      </c>
      <c r="J542" s="246">
        <v>0</v>
      </c>
      <c r="K542" s="246">
        <v>0</v>
      </c>
      <c r="L542" s="246">
        <v>0</v>
      </c>
      <c r="M542" s="246">
        <v>0</v>
      </c>
      <c r="N542" s="246">
        <v>0</v>
      </c>
      <c r="O542" s="246">
        <v>0</v>
      </c>
    </row>
    <row r="543" spans="1:15">
      <c r="A543" s="244">
        <v>16</v>
      </c>
      <c r="B543" s="248" t="s">
        <v>850</v>
      </c>
      <c r="C543" s="247" t="s">
        <v>851</v>
      </c>
      <c r="D543" s="244" t="s">
        <v>10</v>
      </c>
      <c r="E543" s="244">
        <v>500</v>
      </c>
      <c r="F543" s="132">
        <v>1</v>
      </c>
      <c r="G543" s="246">
        <f t="shared" si="17"/>
        <v>500</v>
      </c>
      <c r="H543" s="246">
        <v>0</v>
      </c>
      <c r="I543" s="246">
        <v>0</v>
      </c>
      <c r="J543" s="246">
        <v>0</v>
      </c>
      <c r="K543" s="246">
        <v>0</v>
      </c>
      <c r="L543" s="246">
        <v>0</v>
      </c>
      <c r="M543" s="246">
        <v>0</v>
      </c>
      <c r="N543" s="246">
        <v>0</v>
      </c>
      <c r="O543" s="246">
        <v>0</v>
      </c>
    </row>
    <row r="544" spans="1:15">
      <c r="A544" s="244">
        <v>17</v>
      </c>
      <c r="B544" s="244"/>
      <c r="C544" s="247" t="s">
        <v>852</v>
      </c>
      <c r="D544" s="244" t="s">
        <v>10</v>
      </c>
      <c r="E544" s="244">
        <v>500</v>
      </c>
      <c r="F544" s="132">
        <v>1</v>
      </c>
      <c r="G544" s="246">
        <f t="shared" si="17"/>
        <v>500</v>
      </c>
      <c r="H544" s="246">
        <v>0</v>
      </c>
      <c r="I544" s="246">
        <v>0</v>
      </c>
      <c r="J544" s="246">
        <v>0</v>
      </c>
      <c r="K544" s="246">
        <v>0</v>
      </c>
      <c r="L544" s="246">
        <v>0</v>
      </c>
      <c r="M544" s="246">
        <v>0</v>
      </c>
      <c r="N544" s="246">
        <v>0</v>
      </c>
      <c r="O544" s="246">
        <v>0</v>
      </c>
    </row>
    <row r="545" spans="1:15">
      <c r="A545" s="244">
        <v>18</v>
      </c>
      <c r="B545" s="244" t="s">
        <v>853</v>
      </c>
      <c r="C545" s="247" t="s">
        <v>854</v>
      </c>
      <c r="D545" s="244" t="s">
        <v>10</v>
      </c>
      <c r="E545" s="244">
        <v>600</v>
      </c>
      <c r="F545" s="132">
        <v>6</v>
      </c>
      <c r="G545" s="246">
        <f t="shared" si="17"/>
        <v>3600</v>
      </c>
      <c r="H545" s="246">
        <v>0</v>
      </c>
      <c r="I545" s="246">
        <v>0</v>
      </c>
      <c r="J545" s="246">
        <v>0</v>
      </c>
      <c r="K545" s="246">
        <v>0</v>
      </c>
      <c r="L545" s="246">
        <v>0</v>
      </c>
      <c r="M545" s="246">
        <v>0</v>
      </c>
      <c r="N545" s="246">
        <v>0</v>
      </c>
      <c r="O545" s="246">
        <v>0</v>
      </c>
    </row>
    <row r="546" spans="1:15">
      <c r="A546" s="244">
        <v>19</v>
      </c>
      <c r="B546" s="244"/>
      <c r="C546" s="247" t="s">
        <v>830</v>
      </c>
      <c r="D546" s="244" t="s">
        <v>10</v>
      </c>
      <c r="E546" s="244">
        <v>6994</v>
      </c>
      <c r="F546" s="132">
        <v>1</v>
      </c>
      <c r="G546" s="246">
        <f t="shared" si="17"/>
        <v>6994</v>
      </c>
      <c r="H546" s="246">
        <v>0</v>
      </c>
      <c r="I546" s="246">
        <v>0</v>
      </c>
      <c r="J546" s="246">
        <v>0</v>
      </c>
      <c r="K546" s="246">
        <v>0</v>
      </c>
      <c r="L546" s="246">
        <v>0</v>
      </c>
      <c r="M546" s="246">
        <v>0</v>
      </c>
      <c r="N546" s="246">
        <v>0</v>
      </c>
      <c r="O546" s="246">
        <v>0</v>
      </c>
    </row>
    <row r="547" spans="1:15">
      <c r="A547" s="244">
        <v>20</v>
      </c>
      <c r="B547" s="244"/>
      <c r="C547" s="247" t="s">
        <v>855</v>
      </c>
      <c r="D547" s="244" t="s">
        <v>10</v>
      </c>
      <c r="E547" s="244">
        <v>2000</v>
      </c>
      <c r="F547" s="132">
        <v>1</v>
      </c>
      <c r="G547" s="246">
        <f t="shared" si="17"/>
        <v>2000</v>
      </c>
      <c r="H547" s="246">
        <v>0</v>
      </c>
      <c r="I547" s="246">
        <v>0</v>
      </c>
      <c r="J547" s="246">
        <v>0</v>
      </c>
      <c r="K547" s="246">
        <v>0</v>
      </c>
      <c r="L547" s="246">
        <v>0</v>
      </c>
      <c r="M547" s="246">
        <v>0</v>
      </c>
      <c r="N547" s="246">
        <v>0</v>
      </c>
      <c r="O547" s="246">
        <v>0</v>
      </c>
    </row>
    <row r="548" spans="1:15">
      <c r="A548" s="244">
        <v>21</v>
      </c>
      <c r="B548" s="244"/>
      <c r="C548" s="247" t="s">
        <v>831</v>
      </c>
      <c r="D548" s="244" t="s">
        <v>10</v>
      </c>
      <c r="E548" s="244">
        <v>2000</v>
      </c>
      <c r="F548" s="132">
        <v>1</v>
      </c>
      <c r="G548" s="246">
        <f t="shared" si="17"/>
        <v>2000</v>
      </c>
      <c r="H548" s="246">
        <v>0</v>
      </c>
      <c r="I548" s="246">
        <v>0</v>
      </c>
      <c r="J548" s="246">
        <v>0</v>
      </c>
      <c r="K548" s="246">
        <v>0</v>
      </c>
      <c r="L548" s="246">
        <v>0</v>
      </c>
      <c r="M548" s="246">
        <v>0</v>
      </c>
      <c r="N548" s="246">
        <v>0</v>
      </c>
      <c r="O548" s="246">
        <v>0</v>
      </c>
    </row>
    <row r="549" spans="1:15">
      <c r="A549" s="244">
        <v>22</v>
      </c>
      <c r="B549" s="244"/>
      <c r="C549" s="247" t="s">
        <v>832</v>
      </c>
      <c r="D549" s="244" t="s">
        <v>10</v>
      </c>
      <c r="E549" s="244">
        <v>1000</v>
      </c>
      <c r="F549" s="132">
        <v>1</v>
      </c>
      <c r="G549" s="246">
        <f t="shared" si="17"/>
        <v>1000</v>
      </c>
      <c r="H549" s="246">
        <v>0</v>
      </c>
      <c r="I549" s="246">
        <v>0</v>
      </c>
      <c r="J549" s="246">
        <v>0</v>
      </c>
      <c r="K549" s="246">
        <v>0</v>
      </c>
      <c r="L549" s="246">
        <v>0</v>
      </c>
      <c r="M549" s="246">
        <v>0</v>
      </c>
      <c r="N549" s="246">
        <v>0</v>
      </c>
      <c r="O549" s="246">
        <v>0</v>
      </c>
    </row>
    <row r="550" spans="1:15">
      <c r="A550" s="244">
        <v>23</v>
      </c>
      <c r="B550" s="244"/>
      <c r="C550" s="247" t="s">
        <v>833</v>
      </c>
      <c r="D550" s="244" t="s">
        <v>10</v>
      </c>
      <c r="E550" s="244">
        <v>1000</v>
      </c>
      <c r="F550" s="132">
        <v>1</v>
      </c>
      <c r="G550" s="246">
        <f t="shared" si="17"/>
        <v>1000</v>
      </c>
      <c r="H550" s="246">
        <v>0</v>
      </c>
      <c r="I550" s="246">
        <v>0</v>
      </c>
      <c r="J550" s="246">
        <v>0</v>
      </c>
      <c r="K550" s="246">
        <v>0</v>
      </c>
      <c r="L550" s="246">
        <v>0</v>
      </c>
      <c r="M550" s="246">
        <v>0</v>
      </c>
      <c r="N550" s="246">
        <v>0</v>
      </c>
      <c r="O550" s="246">
        <v>0</v>
      </c>
    </row>
    <row r="551" spans="1:15">
      <c r="A551" s="244">
        <v>24</v>
      </c>
      <c r="B551" s="244"/>
      <c r="C551" s="247" t="s">
        <v>834</v>
      </c>
      <c r="D551" s="244" t="s">
        <v>10</v>
      </c>
      <c r="E551" s="244">
        <v>1000</v>
      </c>
      <c r="F551" s="132">
        <v>1</v>
      </c>
      <c r="G551" s="246">
        <f t="shared" si="17"/>
        <v>1000</v>
      </c>
      <c r="H551" s="246">
        <v>0</v>
      </c>
      <c r="I551" s="246">
        <v>0</v>
      </c>
      <c r="J551" s="246">
        <v>0</v>
      </c>
      <c r="K551" s="246">
        <v>0</v>
      </c>
      <c r="L551" s="246">
        <v>0</v>
      </c>
      <c r="M551" s="246">
        <v>0</v>
      </c>
      <c r="N551" s="246">
        <v>0</v>
      </c>
      <c r="O551" s="246">
        <v>0</v>
      </c>
    </row>
    <row r="552" spans="1:15">
      <c r="A552" s="244">
        <v>25</v>
      </c>
      <c r="B552" s="244"/>
      <c r="C552" s="247" t="s">
        <v>835</v>
      </c>
      <c r="D552" s="244" t="s">
        <v>10</v>
      </c>
      <c r="E552" s="244">
        <v>1000</v>
      </c>
      <c r="F552" s="132">
        <v>1</v>
      </c>
      <c r="G552" s="246">
        <f t="shared" si="17"/>
        <v>1000</v>
      </c>
      <c r="H552" s="246">
        <v>0</v>
      </c>
      <c r="I552" s="246">
        <v>0</v>
      </c>
      <c r="J552" s="246">
        <v>0</v>
      </c>
      <c r="K552" s="246">
        <v>0</v>
      </c>
      <c r="L552" s="246">
        <v>0</v>
      </c>
      <c r="M552" s="246">
        <v>0</v>
      </c>
      <c r="N552" s="246">
        <v>0</v>
      </c>
      <c r="O552" s="246">
        <v>0</v>
      </c>
    </row>
    <row r="553" spans="1:15">
      <c r="A553" s="244">
        <v>26</v>
      </c>
      <c r="B553" s="244"/>
      <c r="C553" s="247" t="s">
        <v>836</v>
      </c>
      <c r="D553" s="244" t="s">
        <v>10</v>
      </c>
      <c r="E553" s="244">
        <v>1000</v>
      </c>
      <c r="F553" s="132">
        <v>1</v>
      </c>
      <c r="G553" s="246">
        <f t="shared" si="17"/>
        <v>1000</v>
      </c>
      <c r="H553" s="246">
        <v>0</v>
      </c>
      <c r="I553" s="246">
        <v>0</v>
      </c>
      <c r="J553" s="246">
        <v>0</v>
      </c>
      <c r="K553" s="246">
        <v>0</v>
      </c>
      <c r="L553" s="246">
        <v>0</v>
      </c>
      <c r="M553" s="246">
        <v>0</v>
      </c>
      <c r="N553" s="246">
        <v>0</v>
      </c>
      <c r="O553" s="246">
        <v>0</v>
      </c>
    </row>
    <row r="554" spans="1:15">
      <c r="A554" s="244">
        <v>27</v>
      </c>
      <c r="B554" s="244"/>
      <c r="C554" s="247" t="s">
        <v>856</v>
      </c>
      <c r="D554" s="244" t="s">
        <v>10</v>
      </c>
      <c r="E554" s="244">
        <v>1000</v>
      </c>
      <c r="F554" s="132">
        <v>1</v>
      </c>
      <c r="G554" s="246">
        <f t="shared" si="17"/>
        <v>1000</v>
      </c>
      <c r="H554" s="246">
        <v>0</v>
      </c>
      <c r="I554" s="246">
        <v>0</v>
      </c>
      <c r="J554" s="246">
        <v>0</v>
      </c>
      <c r="K554" s="246">
        <v>0</v>
      </c>
      <c r="L554" s="246">
        <v>0</v>
      </c>
      <c r="M554" s="246">
        <v>0</v>
      </c>
      <c r="N554" s="246">
        <v>0</v>
      </c>
      <c r="O554" s="246">
        <v>0</v>
      </c>
    </row>
    <row r="555" spans="1:15">
      <c r="A555" s="244">
        <v>28</v>
      </c>
      <c r="B555" s="244"/>
      <c r="C555" s="247" t="s">
        <v>839</v>
      </c>
      <c r="D555" s="244" t="s">
        <v>10</v>
      </c>
      <c r="E555" s="244">
        <v>1000</v>
      </c>
      <c r="F555" s="132">
        <v>1</v>
      </c>
      <c r="G555" s="246">
        <f t="shared" si="17"/>
        <v>1000</v>
      </c>
      <c r="H555" s="246">
        <v>0</v>
      </c>
      <c r="I555" s="246">
        <v>0</v>
      </c>
      <c r="J555" s="246">
        <v>0</v>
      </c>
      <c r="K555" s="246">
        <v>0</v>
      </c>
      <c r="L555" s="246">
        <v>0</v>
      </c>
      <c r="M555" s="246">
        <v>0</v>
      </c>
      <c r="N555" s="246">
        <v>0</v>
      </c>
      <c r="O555" s="246">
        <v>0</v>
      </c>
    </row>
    <row r="556" spans="1:15">
      <c r="A556" s="244">
        <v>29</v>
      </c>
      <c r="B556" s="244"/>
      <c r="C556" s="247" t="s">
        <v>857</v>
      </c>
      <c r="D556" s="244" t="s">
        <v>10</v>
      </c>
      <c r="E556" s="244">
        <v>5000</v>
      </c>
      <c r="F556" s="132">
        <v>1</v>
      </c>
      <c r="G556" s="246">
        <f t="shared" si="17"/>
        <v>5000</v>
      </c>
      <c r="H556" s="246">
        <v>0</v>
      </c>
      <c r="I556" s="246">
        <v>0</v>
      </c>
      <c r="J556" s="246">
        <v>0</v>
      </c>
      <c r="K556" s="246">
        <v>0</v>
      </c>
      <c r="L556" s="246">
        <v>0</v>
      </c>
      <c r="M556" s="246">
        <v>0</v>
      </c>
      <c r="N556" s="246">
        <v>0</v>
      </c>
      <c r="O556" s="246">
        <v>0</v>
      </c>
    </row>
    <row r="557" spans="1:15">
      <c r="A557" s="244">
        <v>30</v>
      </c>
      <c r="B557" s="244"/>
      <c r="C557" s="247" t="s">
        <v>841</v>
      </c>
      <c r="D557" s="244" t="s">
        <v>10</v>
      </c>
      <c r="E557" s="244">
        <v>5000</v>
      </c>
      <c r="F557" s="132">
        <v>1</v>
      </c>
      <c r="G557" s="246">
        <f t="shared" si="17"/>
        <v>5000</v>
      </c>
      <c r="H557" s="246">
        <v>0</v>
      </c>
      <c r="I557" s="246">
        <v>0</v>
      </c>
      <c r="J557" s="246">
        <v>0</v>
      </c>
      <c r="K557" s="246">
        <v>0</v>
      </c>
      <c r="L557" s="246">
        <v>0</v>
      </c>
      <c r="M557" s="246">
        <v>0</v>
      </c>
      <c r="N557" s="246">
        <v>0</v>
      </c>
      <c r="O557" s="246">
        <v>0</v>
      </c>
    </row>
    <row r="558" spans="1:15">
      <c r="A558" s="244">
        <v>31</v>
      </c>
      <c r="B558" s="244"/>
      <c r="C558" s="247" t="s">
        <v>858</v>
      </c>
      <c r="D558" s="244" t="s">
        <v>10</v>
      </c>
      <c r="E558" s="244">
        <v>5000</v>
      </c>
      <c r="F558" s="132">
        <v>1</v>
      </c>
      <c r="G558" s="246">
        <f t="shared" si="17"/>
        <v>5000</v>
      </c>
      <c r="H558" s="246">
        <v>0</v>
      </c>
      <c r="I558" s="246">
        <v>0</v>
      </c>
      <c r="J558" s="246">
        <v>0</v>
      </c>
      <c r="K558" s="246">
        <v>0</v>
      </c>
      <c r="L558" s="246">
        <v>0</v>
      </c>
      <c r="M558" s="246">
        <v>0</v>
      </c>
      <c r="N558" s="246">
        <v>0</v>
      </c>
      <c r="O558" s="246">
        <v>0</v>
      </c>
    </row>
    <row r="559" spans="1:15">
      <c r="A559" s="244">
        <v>32</v>
      </c>
      <c r="B559" s="248" t="s">
        <v>90</v>
      </c>
      <c r="C559" s="247" t="s">
        <v>843</v>
      </c>
      <c r="D559" s="244" t="s">
        <v>10</v>
      </c>
      <c r="E559" s="244">
        <v>1000</v>
      </c>
      <c r="F559" s="132">
        <v>2</v>
      </c>
      <c r="G559" s="246">
        <f t="shared" si="17"/>
        <v>2000</v>
      </c>
      <c r="H559" s="246">
        <v>0</v>
      </c>
      <c r="I559" s="246">
        <v>0</v>
      </c>
      <c r="J559" s="246">
        <v>0</v>
      </c>
      <c r="K559" s="246">
        <v>0</v>
      </c>
      <c r="L559" s="246">
        <v>0</v>
      </c>
      <c r="M559" s="246">
        <v>0</v>
      </c>
      <c r="N559" s="246">
        <v>0</v>
      </c>
      <c r="O559" s="246">
        <v>0</v>
      </c>
    </row>
    <row r="560" spans="1:15">
      <c r="A560" s="244">
        <v>33</v>
      </c>
      <c r="B560" s="244"/>
      <c r="C560" s="247" t="s">
        <v>859</v>
      </c>
      <c r="D560" s="244" t="s">
        <v>10</v>
      </c>
      <c r="E560" s="244">
        <v>1000</v>
      </c>
      <c r="F560" s="132">
        <v>1</v>
      </c>
      <c r="G560" s="246">
        <f t="shared" si="17"/>
        <v>1000</v>
      </c>
      <c r="H560" s="246">
        <v>0</v>
      </c>
      <c r="I560" s="246">
        <v>0</v>
      </c>
      <c r="J560" s="246">
        <v>0</v>
      </c>
      <c r="K560" s="246">
        <v>0</v>
      </c>
      <c r="L560" s="246">
        <v>0</v>
      </c>
      <c r="M560" s="246">
        <v>0</v>
      </c>
      <c r="N560" s="246">
        <v>0</v>
      </c>
      <c r="O560" s="246">
        <v>0</v>
      </c>
    </row>
    <row r="561" spans="1:15">
      <c r="A561" s="244">
        <v>34</v>
      </c>
      <c r="B561" s="244"/>
      <c r="C561" s="247" t="s">
        <v>844</v>
      </c>
      <c r="D561" s="244" t="s">
        <v>10</v>
      </c>
      <c r="E561" s="244">
        <v>1000</v>
      </c>
      <c r="F561" s="132">
        <v>1</v>
      </c>
      <c r="G561" s="246">
        <f t="shared" si="17"/>
        <v>1000</v>
      </c>
      <c r="H561" s="246">
        <v>0</v>
      </c>
      <c r="I561" s="246">
        <v>0</v>
      </c>
      <c r="J561" s="246">
        <v>0</v>
      </c>
      <c r="K561" s="246">
        <v>0</v>
      </c>
      <c r="L561" s="246">
        <v>0</v>
      </c>
      <c r="M561" s="246">
        <v>0</v>
      </c>
      <c r="N561" s="246">
        <v>0</v>
      </c>
      <c r="O561" s="246">
        <v>0</v>
      </c>
    </row>
    <row r="562" spans="1:15">
      <c r="A562" s="244">
        <v>35</v>
      </c>
      <c r="B562" s="248" t="s">
        <v>845</v>
      </c>
      <c r="C562" s="247" t="s">
        <v>846</v>
      </c>
      <c r="D562" s="244" t="s">
        <v>10</v>
      </c>
      <c r="E562" s="244">
        <v>1000</v>
      </c>
      <c r="F562" s="132">
        <v>1</v>
      </c>
      <c r="G562" s="246">
        <f t="shared" si="17"/>
        <v>1000</v>
      </c>
      <c r="H562" s="246">
        <v>0</v>
      </c>
      <c r="I562" s="246">
        <v>0</v>
      </c>
      <c r="J562" s="246">
        <v>0</v>
      </c>
      <c r="K562" s="246">
        <v>0</v>
      </c>
      <c r="L562" s="246">
        <v>0</v>
      </c>
      <c r="M562" s="246">
        <v>0</v>
      </c>
      <c r="N562" s="246">
        <v>0</v>
      </c>
      <c r="O562" s="246">
        <v>0</v>
      </c>
    </row>
    <row r="563" spans="1:15">
      <c r="A563" s="244">
        <v>36</v>
      </c>
      <c r="B563" s="244"/>
      <c r="C563" s="247" t="s">
        <v>848</v>
      </c>
      <c r="D563" s="244" t="s">
        <v>10</v>
      </c>
      <c r="E563" s="244">
        <v>500</v>
      </c>
      <c r="F563" s="132">
        <v>1</v>
      </c>
      <c r="G563" s="246">
        <f t="shared" si="17"/>
        <v>500</v>
      </c>
      <c r="H563" s="246">
        <v>0</v>
      </c>
      <c r="I563" s="246">
        <v>0</v>
      </c>
      <c r="J563" s="246">
        <v>0</v>
      </c>
      <c r="K563" s="246">
        <v>0</v>
      </c>
      <c r="L563" s="246">
        <v>0</v>
      </c>
      <c r="M563" s="246">
        <v>0</v>
      </c>
      <c r="N563" s="246">
        <v>0</v>
      </c>
      <c r="O563" s="246">
        <v>0</v>
      </c>
    </row>
    <row r="564" spans="1:15">
      <c r="A564" s="244">
        <v>37</v>
      </c>
      <c r="B564" s="244"/>
      <c r="C564" s="247" t="s">
        <v>849</v>
      </c>
      <c r="D564" s="244" t="s">
        <v>10</v>
      </c>
      <c r="E564" s="244">
        <v>500</v>
      </c>
      <c r="F564" s="132">
        <v>1</v>
      </c>
      <c r="G564" s="246">
        <f t="shared" si="17"/>
        <v>500</v>
      </c>
      <c r="H564" s="246">
        <v>0</v>
      </c>
      <c r="I564" s="246">
        <v>0</v>
      </c>
      <c r="J564" s="246">
        <v>0</v>
      </c>
      <c r="K564" s="246">
        <v>0</v>
      </c>
      <c r="L564" s="246">
        <v>0</v>
      </c>
      <c r="M564" s="246">
        <v>0</v>
      </c>
      <c r="N564" s="246">
        <v>0</v>
      </c>
      <c r="O564" s="246">
        <v>0</v>
      </c>
    </row>
    <row r="565" spans="1:15">
      <c r="A565" s="244">
        <v>38</v>
      </c>
      <c r="B565" s="244"/>
      <c r="C565" s="247" t="s">
        <v>860</v>
      </c>
      <c r="D565" s="244" t="s">
        <v>10</v>
      </c>
      <c r="E565" s="244">
        <v>500</v>
      </c>
      <c r="F565" s="132">
        <v>1</v>
      </c>
      <c r="G565" s="246">
        <f t="shared" si="17"/>
        <v>500</v>
      </c>
      <c r="H565" s="246">
        <v>0</v>
      </c>
      <c r="I565" s="246">
        <v>0</v>
      </c>
      <c r="J565" s="246">
        <v>0</v>
      </c>
      <c r="K565" s="246">
        <v>0</v>
      </c>
      <c r="L565" s="246">
        <v>0</v>
      </c>
      <c r="M565" s="246">
        <v>0</v>
      </c>
      <c r="N565" s="246">
        <v>0</v>
      </c>
      <c r="O565" s="246">
        <v>0</v>
      </c>
    </row>
    <row r="566" spans="1:15">
      <c r="A566" s="244">
        <v>39</v>
      </c>
      <c r="B566" s="244" t="s">
        <v>850</v>
      </c>
      <c r="C566" s="247" t="s">
        <v>861</v>
      </c>
      <c r="D566" s="244" t="s">
        <v>10</v>
      </c>
      <c r="E566" s="244">
        <v>500</v>
      </c>
      <c r="F566" s="132">
        <v>1</v>
      </c>
      <c r="G566" s="246">
        <f t="shared" si="17"/>
        <v>500</v>
      </c>
      <c r="H566" s="246">
        <v>0</v>
      </c>
      <c r="I566" s="246">
        <v>0</v>
      </c>
      <c r="J566" s="246">
        <v>0</v>
      </c>
      <c r="K566" s="246">
        <v>0</v>
      </c>
      <c r="L566" s="246">
        <v>0</v>
      </c>
      <c r="M566" s="246">
        <v>0</v>
      </c>
      <c r="N566" s="246">
        <v>0</v>
      </c>
      <c r="O566" s="246">
        <v>0</v>
      </c>
    </row>
    <row r="567" spans="1:15">
      <c r="A567" s="244">
        <v>40</v>
      </c>
      <c r="B567" s="244" t="s">
        <v>850</v>
      </c>
      <c r="C567" s="247" t="s">
        <v>851</v>
      </c>
      <c r="D567" s="244" t="s">
        <v>10</v>
      </c>
      <c r="E567" s="244">
        <v>500</v>
      </c>
      <c r="F567" s="132">
        <v>1</v>
      </c>
      <c r="G567" s="246">
        <f t="shared" si="17"/>
        <v>500</v>
      </c>
      <c r="H567" s="246">
        <v>0</v>
      </c>
      <c r="I567" s="246">
        <v>0</v>
      </c>
      <c r="J567" s="246">
        <v>0</v>
      </c>
      <c r="K567" s="246">
        <v>0</v>
      </c>
      <c r="L567" s="246">
        <v>0</v>
      </c>
      <c r="M567" s="246">
        <v>0</v>
      </c>
      <c r="N567" s="246">
        <v>0</v>
      </c>
      <c r="O567" s="246">
        <v>0</v>
      </c>
    </row>
    <row r="568" spans="1:15">
      <c r="A568" s="244">
        <v>41</v>
      </c>
      <c r="B568" s="244"/>
      <c r="C568" s="247" t="s">
        <v>852</v>
      </c>
      <c r="D568" s="244" t="s">
        <v>10</v>
      </c>
      <c r="E568" s="244">
        <v>1000</v>
      </c>
      <c r="F568" s="132">
        <v>1</v>
      </c>
      <c r="G568" s="246">
        <f t="shared" si="17"/>
        <v>1000</v>
      </c>
      <c r="H568" s="246">
        <v>0</v>
      </c>
      <c r="I568" s="246">
        <v>0</v>
      </c>
      <c r="J568" s="246">
        <v>0</v>
      </c>
      <c r="K568" s="246">
        <v>0</v>
      </c>
      <c r="L568" s="246">
        <v>0</v>
      </c>
      <c r="M568" s="246">
        <v>0</v>
      </c>
      <c r="N568" s="246">
        <v>0</v>
      </c>
      <c r="O568" s="246">
        <v>0</v>
      </c>
    </row>
    <row r="569" spans="1:15">
      <c r="A569" s="244">
        <v>42</v>
      </c>
      <c r="B569" s="244" t="s">
        <v>862</v>
      </c>
      <c r="C569" s="247" t="s">
        <v>225</v>
      </c>
      <c r="D569" s="244" t="s">
        <v>10</v>
      </c>
      <c r="E569" s="244">
        <v>1000</v>
      </c>
      <c r="F569" s="132">
        <v>1</v>
      </c>
      <c r="G569" s="246">
        <f t="shared" si="17"/>
        <v>1000</v>
      </c>
      <c r="H569" s="246">
        <v>0</v>
      </c>
      <c r="I569" s="246">
        <v>0</v>
      </c>
      <c r="J569" s="246">
        <v>0</v>
      </c>
      <c r="K569" s="246">
        <v>0</v>
      </c>
      <c r="L569" s="246">
        <v>0</v>
      </c>
      <c r="M569" s="246">
        <v>0</v>
      </c>
      <c r="N569" s="246">
        <v>0</v>
      </c>
      <c r="O569" s="246">
        <v>0</v>
      </c>
    </row>
    <row r="570" spans="1:15" ht="28.5">
      <c r="A570" s="244">
        <v>43</v>
      </c>
      <c r="B570" s="244"/>
      <c r="C570" s="247" t="s">
        <v>863</v>
      </c>
      <c r="D570" s="244" t="s">
        <v>10</v>
      </c>
      <c r="E570" s="244">
        <v>5000</v>
      </c>
      <c r="F570" s="132">
        <v>1</v>
      </c>
      <c r="G570" s="246">
        <f t="shared" si="17"/>
        <v>5000</v>
      </c>
      <c r="H570" s="246">
        <v>0</v>
      </c>
      <c r="I570" s="246">
        <v>0</v>
      </c>
      <c r="J570" s="246">
        <v>0</v>
      </c>
      <c r="K570" s="246">
        <v>0</v>
      </c>
      <c r="L570" s="246">
        <v>0</v>
      </c>
      <c r="M570" s="246">
        <v>0</v>
      </c>
      <c r="N570" s="246">
        <v>0</v>
      </c>
      <c r="O570" s="246">
        <v>0</v>
      </c>
    </row>
    <row r="571" spans="1:15" ht="28.5">
      <c r="A571" s="244">
        <v>44</v>
      </c>
      <c r="B571" s="244"/>
      <c r="C571" s="247" t="s">
        <v>864</v>
      </c>
      <c r="D571" s="244" t="s">
        <v>10</v>
      </c>
      <c r="E571" s="244">
        <v>20000</v>
      </c>
      <c r="F571" s="132">
        <v>1</v>
      </c>
      <c r="G571" s="246">
        <f t="shared" si="17"/>
        <v>20000</v>
      </c>
      <c r="H571" s="246">
        <v>0</v>
      </c>
      <c r="I571" s="246">
        <v>0</v>
      </c>
      <c r="J571" s="246">
        <v>0</v>
      </c>
      <c r="K571" s="246">
        <v>0</v>
      </c>
      <c r="L571" s="246">
        <v>0</v>
      </c>
      <c r="M571" s="246">
        <v>0</v>
      </c>
      <c r="N571" s="246">
        <v>0</v>
      </c>
      <c r="O571" s="246">
        <v>0</v>
      </c>
    </row>
    <row r="572" spans="1:15">
      <c r="A572" s="244">
        <v>45</v>
      </c>
      <c r="B572" s="244"/>
      <c r="C572" s="247" t="s">
        <v>865</v>
      </c>
      <c r="D572" s="244" t="s">
        <v>10</v>
      </c>
      <c r="E572" s="244">
        <v>2500</v>
      </c>
      <c r="F572" s="132">
        <v>1</v>
      </c>
      <c r="G572" s="246">
        <f t="shared" si="17"/>
        <v>2500</v>
      </c>
      <c r="H572" s="246">
        <v>0</v>
      </c>
      <c r="I572" s="246">
        <v>0</v>
      </c>
      <c r="J572" s="246">
        <v>0</v>
      </c>
      <c r="K572" s="246">
        <v>0</v>
      </c>
      <c r="L572" s="246">
        <v>0</v>
      </c>
      <c r="M572" s="246">
        <v>0</v>
      </c>
      <c r="N572" s="246">
        <v>0</v>
      </c>
      <c r="O572" s="246">
        <v>0</v>
      </c>
    </row>
    <row r="573" spans="1:15">
      <c r="A573" s="244">
        <v>46</v>
      </c>
      <c r="B573" s="244"/>
      <c r="C573" s="247" t="s">
        <v>866</v>
      </c>
      <c r="D573" s="244" t="s">
        <v>10</v>
      </c>
      <c r="E573" s="244">
        <v>500</v>
      </c>
      <c r="F573" s="132">
        <v>1</v>
      </c>
      <c r="G573" s="246">
        <f t="shared" si="17"/>
        <v>500</v>
      </c>
      <c r="H573" s="246">
        <v>0</v>
      </c>
      <c r="I573" s="246">
        <v>0</v>
      </c>
      <c r="J573" s="246">
        <v>0</v>
      </c>
      <c r="K573" s="246">
        <v>0</v>
      </c>
      <c r="L573" s="246">
        <v>0</v>
      </c>
      <c r="M573" s="246">
        <v>0</v>
      </c>
      <c r="N573" s="246">
        <v>0</v>
      </c>
      <c r="O573" s="246">
        <v>0</v>
      </c>
    </row>
    <row r="574" spans="1:15" ht="28.5">
      <c r="A574" s="244">
        <v>47</v>
      </c>
      <c r="B574" s="244"/>
      <c r="C574" s="247" t="s">
        <v>867</v>
      </c>
      <c r="D574" s="244" t="s">
        <v>10</v>
      </c>
      <c r="E574" s="244">
        <v>500</v>
      </c>
      <c r="F574" s="132">
        <v>1</v>
      </c>
      <c r="G574" s="246">
        <f t="shared" si="17"/>
        <v>500</v>
      </c>
      <c r="H574" s="246">
        <v>0</v>
      </c>
      <c r="I574" s="246">
        <v>0</v>
      </c>
      <c r="J574" s="246">
        <v>0</v>
      </c>
      <c r="K574" s="246">
        <v>0</v>
      </c>
      <c r="L574" s="246">
        <v>0</v>
      </c>
      <c r="M574" s="246">
        <v>0</v>
      </c>
      <c r="N574" s="246">
        <v>0</v>
      </c>
      <c r="O574" s="246">
        <v>0</v>
      </c>
    </row>
    <row r="575" spans="1:15">
      <c r="A575" s="244">
        <v>48</v>
      </c>
      <c r="B575" s="244"/>
      <c r="C575" s="247" t="s">
        <v>868</v>
      </c>
      <c r="D575" s="244" t="s">
        <v>10</v>
      </c>
      <c r="E575" s="244">
        <v>10000</v>
      </c>
      <c r="F575" s="132">
        <v>1</v>
      </c>
      <c r="G575" s="246">
        <f t="shared" si="17"/>
        <v>10000</v>
      </c>
      <c r="H575" s="246">
        <v>0</v>
      </c>
      <c r="I575" s="246">
        <v>0</v>
      </c>
      <c r="J575" s="246">
        <v>0</v>
      </c>
      <c r="K575" s="246">
        <v>0</v>
      </c>
      <c r="L575" s="246">
        <v>0</v>
      </c>
      <c r="M575" s="246">
        <v>0</v>
      </c>
      <c r="N575" s="246">
        <v>0</v>
      </c>
      <c r="O575" s="246">
        <v>0</v>
      </c>
    </row>
    <row r="576" spans="1:15">
      <c r="A576" s="244">
        <v>49</v>
      </c>
      <c r="B576" s="244"/>
      <c r="C576" s="247" t="s">
        <v>869</v>
      </c>
      <c r="D576" s="244" t="s">
        <v>10</v>
      </c>
      <c r="E576" s="244">
        <v>20000</v>
      </c>
      <c r="F576" s="132">
        <v>1</v>
      </c>
      <c r="G576" s="246">
        <f t="shared" si="17"/>
        <v>20000</v>
      </c>
      <c r="H576" s="246">
        <v>0</v>
      </c>
      <c r="I576" s="246">
        <v>0</v>
      </c>
      <c r="J576" s="246">
        <v>0</v>
      </c>
      <c r="K576" s="246">
        <v>0</v>
      </c>
      <c r="L576" s="246">
        <v>0</v>
      </c>
      <c r="M576" s="246">
        <v>0</v>
      </c>
      <c r="N576" s="246">
        <v>0</v>
      </c>
      <c r="O576" s="246">
        <v>0</v>
      </c>
    </row>
    <row r="577" spans="1:15">
      <c r="A577" s="244">
        <v>50</v>
      </c>
      <c r="B577" s="244"/>
      <c r="C577" s="247" t="s">
        <v>870</v>
      </c>
      <c r="D577" s="244" t="s">
        <v>10</v>
      </c>
      <c r="E577" s="244">
        <v>100000</v>
      </c>
      <c r="F577" s="132">
        <v>2</v>
      </c>
      <c r="G577" s="246">
        <f t="shared" si="17"/>
        <v>200000</v>
      </c>
      <c r="H577" s="246">
        <v>0</v>
      </c>
      <c r="I577" s="246">
        <v>0</v>
      </c>
      <c r="J577" s="246">
        <v>0</v>
      </c>
      <c r="K577" s="246">
        <v>0</v>
      </c>
      <c r="L577" s="246">
        <v>0</v>
      </c>
      <c r="M577" s="246">
        <v>0</v>
      </c>
      <c r="N577" s="246">
        <v>0</v>
      </c>
      <c r="O577" s="246">
        <v>0</v>
      </c>
    </row>
    <row r="578" spans="1:15" ht="42.75">
      <c r="A578" s="244">
        <v>51</v>
      </c>
      <c r="B578" s="244"/>
      <c r="C578" s="247" t="s">
        <v>871</v>
      </c>
      <c r="D578" s="244" t="s">
        <v>23</v>
      </c>
      <c r="E578" s="244">
        <v>65500</v>
      </c>
      <c r="F578" s="132">
        <v>1</v>
      </c>
      <c r="G578" s="246">
        <f t="shared" si="17"/>
        <v>65500</v>
      </c>
      <c r="H578" s="246">
        <v>0</v>
      </c>
      <c r="I578" s="246">
        <v>0</v>
      </c>
      <c r="J578" s="246">
        <v>0</v>
      </c>
      <c r="K578" s="246">
        <v>0</v>
      </c>
      <c r="L578" s="246">
        <v>0</v>
      </c>
      <c r="M578" s="246">
        <v>0</v>
      </c>
      <c r="N578" s="246">
        <v>0</v>
      </c>
      <c r="O578" s="246">
        <v>0</v>
      </c>
    </row>
    <row r="579" spans="1:15" ht="28.5">
      <c r="A579" s="244">
        <v>52</v>
      </c>
      <c r="B579" s="244"/>
      <c r="C579" s="247" t="s">
        <v>872</v>
      </c>
      <c r="D579" s="244" t="s">
        <v>10</v>
      </c>
      <c r="E579" s="244">
        <v>55000</v>
      </c>
      <c r="F579" s="132">
        <v>1</v>
      </c>
      <c r="G579" s="246">
        <f t="shared" si="17"/>
        <v>55000</v>
      </c>
      <c r="H579" s="246">
        <v>0</v>
      </c>
      <c r="I579" s="246">
        <v>0</v>
      </c>
      <c r="J579" s="246">
        <v>0</v>
      </c>
      <c r="K579" s="246">
        <v>0</v>
      </c>
      <c r="L579" s="246">
        <v>0</v>
      </c>
      <c r="M579" s="246">
        <v>0</v>
      </c>
      <c r="N579" s="246">
        <v>0</v>
      </c>
      <c r="O579" s="246">
        <v>0</v>
      </c>
    </row>
    <row r="580" spans="1:15">
      <c r="A580" s="244">
        <v>53</v>
      </c>
      <c r="B580" s="244"/>
      <c r="C580" s="247" t="s">
        <v>873</v>
      </c>
      <c r="D580" s="244" t="s">
        <v>10</v>
      </c>
      <c r="E580" s="244">
        <v>1000</v>
      </c>
      <c r="F580" s="132">
        <v>1</v>
      </c>
      <c r="G580" s="246">
        <f t="shared" si="17"/>
        <v>1000</v>
      </c>
      <c r="H580" s="246">
        <v>0</v>
      </c>
      <c r="I580" s="246">
        <v>0</v>
      </c>
      <c r="J580" s="246">
        <v>0</v>
      </c>
      <c r="K580" s="246">
        <v>0</v>
      </c>
      <c r="L580" s="246">
        <v>0</v>
      </c>
      <c r="M580" s="246">
        <v>0</v>
      </c>
      <c r="N580" s="246">
        <v>0</v>
      </c>
      <c r="O580" s="246">
        <v>0</v>
      </c>
    </row>
    <row r="581" spans="1:15" ht="28.5">
      <c r="A581" s="244">
        <v>54</v>
      </c>
      <c r="B581" s="244"/>
      <c r="C581" s="247" t="s">
        <v>874</v>
      </c>
      <c r="D581" s="244" t="s">
        <v>10</v>
      </c>
      <c r="E581" s="244">
        <v>100000</v>
      </c>
      <c r="F581" s="132">
        <v>1</v>
      </c>
      <c r="G581" s="246">
        <f t="shared" si="17"/>
        <v>100000</v>
      </c>
      <c r="H581" s="246">
        <v>0</v>
      </c>
      <c r="I581" s="246">
        <v>0</v>
      </c>
      <c r="J581" s="246">
        <v>0</v>
      </c>
      <c r="K581" s="246">
        <v>0</v>
      </c>
      <c r="L581" s="246">
        <v>0</v>
      </c>
      <c r="M581" s="246">
        <v>0</v>
      </c>
      <c r="N581" s="246">
        <v>0</v>
      </c>
      <c r="O581" s="246">
        <v>0</v>
      </c>
    </row>
    <row r="582" spans="1:15" ht="28.5">
      <c r="A582" s="244">
        <v>55</v>
      </c>
      <c r="B582" s="244"/>
      <c r="C582" s="247" t="s">
        <v>875</v>
      </c>
      <c r="D582" s="244" t="s">
        <v>10</v>
      </c>
      <c r="E582" s="244">
        <v>100000</v>
      </c>
      <c r="F582" s="132">
        <v>1</v>
      </c>
      <c r="G582" s="246">
        <f t="shared" si="17"/>
        <v>100000</v>
      </c>
      <c r="H582" s="246">
        <v>0</v>
      </c>
      <c r="I582" s="246">
        <v>0</v>
      </c>
      <c r="J582" s="246">
        <v>0</v>
      </c>
      <c r="K582" s="246">
        <v>0</v>
      </c>
      <c r="L582" s="246">
        <v>0</v>
      </c>
      <c r="M582" s="246">
        <v>0</v>
      </c>
      <c r="N582" s="246">
        <v>0</v>
      </c>
      <c r="O582" s="246">
        <v>0</v>
      </c>
    </row>
    <row r="583" spans="1:15">
      <c r="A583" s="244">
        <v>56</v>
      </c>
      <c r="B583" s="244"/>
      <c r="C583" s="247" t="s">
        <v>876</v>
      </c>
      <c r="D583" s="244" t="s">
        <v>10</v>
      </c>
      <c r="E583" s="244">
        <v>8000</v>
      </c>
      <c r="F583" s="132">
        <v>1</v>
      </c>
      <c r="G583" s="246">
        <f t="shared" si="17"/>
        <v>8000</v>
      </c>
      <c r="H583" s="246">
        <v>0</v>
      </c>
      <c r="I583" s="246">
        <v>0</v>
      </c>
      <c r="J583" s="246">
        <v>0</v>
      </c>
      <c r="K583" s="246">
        <v>0</v>
      </c>
      <c r="L583" s="246">
        <v>0</v>
      </c>
      <c r="M583" s="246">
        <v>0</v>
      </c>
      <c r="N583" s="246">
        <v>0</v>
      </c>
      <c r="O583" s="246">
        <v>0</v>
      </c>
    </row>
    <row r="584" spans="1:15">
      <c r="A584" s="244">
        <v>57</v>
      </c>
      <c r="B584" s="244"/>
      <c r="C584" s="247" t="s">
        <v>877</v>
      </c>
      <c r="D584" s="244" t="s">
        <v>10</v>
      </c>
      <c r="E584" s="244">
        <v>8000</v>
      </c>
      <c r="F584" s="132">
        <v>1</v>
      </c>
      <c r="G584" s="246">
        <f t="shared" si="17"/>
        <v>8000</v>
      </c>
      <c r="H584" s="246">
        <v>0</v>
      </c>
      <c r="I584" s="246">
        <v>0</v>
      </c>
      <c r="J584" s="246">
        <v>0</v>
      </c>
      <c r="K584" s="246">
        <v>0</v>
      </c>
      <c r="L584" s="246">
        <v>0</v>
      </c>
      <c r="M584" s="246">
        <v>0</v>
      </c>
      <c r="N584" s="246">
        <v>0</v>
      </c>
      <c r="O584" s="246">
        <v>0</v>
      </c>
    </row>
    <row r="585" spans="1:15">
      <c r="A585" s="244">
        <v>58</v>
      </c>
      <c r="B585" s="244"/>
      <c r="C585" s="247" t="s">
        <v>878</v>
      </c>
      <c r="D585" s="244" t="s">
        <v>10</v>
      </c>
      <c r="E585" s="244">
        <v>8000</v>
      </c>
      <c r="F585" s="132">
        <v>1</v>
      </c>
      <c r="G585" s="246">
        <f t="shared" si="17"/>
        <v>8000</v>
      </c>
      <c r="H585" s="246">
        <v>0</v>
      </c>
      <c r="I585" s="246">
        <v>0</v>
      </c>
      <c r="J585" s="246">
        <v>0</v>
      </c>
      <c r="K585" s="246">
        <v>0</v>
      </c>
      <c r="L585" s="246">
        <v>0</v>
      </c>
      <c r="M585" s="246">
        <v>0</v>
      </c>
      <c r="N585" s="246">
        <v>0</v>
      </c>
      <c r="O585" s="246">
        <v>0</v>
      </c>
    </row>
    <row r="586" spans="1:15">
      <c r="A586" s="244">
        <v>59</v>
      </c>
      <c r="B586" s="244"/>
      <c r="C586" s="247" t="s">
        <v>879</v>
      </c>
      <c r="D586" s="244" t="s">
        <v>392</v>
      </c>
      <c r="E586" s="244">
        <v>50000</v>
      </c>
      <c r="F586" s="132">
        <v>1</v>
      </c>
      <c r="G586" s="246">
        <f t="shared" si="17"/>
        <v>50000</v>
      </c>
      <c r="H586" s="246">
        <v>0</v>
      </c>
      <c r="I586" s="246">
        <v>0</v>
      </c>
      <c r="J586" s="246">
        <v>0</v>
      </c>
      <c r="K586" s="246">
        <v>0</v>
      </c>
      <c r="L586" s="246">
        <v>0</v>
      </c>
      <c r="M586" s="246">
        <v>0</v>
      </c>
      <c r="N586" s="246">
        <v>0</v>
      </c>
      <c r="O586" s="246">
        <v>0</v>
      </c>
    </row>
    <row r="587" spans="1:15">
      <c r="A587" s="244">
        <v>60</v>
      </c>
      <c r="B587" s="244"/>
      <c r="C587" s="247" t="s">
        <v>880</v>
      </c>
      <c r="D587" s="244" t="s">
        <v>392</v>
      </c>
      <c r="E587" s="244">
        <v>26550</v>
      </c>
      <c r="F587" s="132">
        <v>1</v>
      </c>
      <c r="G587" s="246">
        <f t="shared" si="17"/>
        <v>26550</v>
      </c>
      <c r="H587" s="246">
        <v>0</v>
      </c>
      <c r="I587" s="246">
        <v>0</v>
      </c>
      <c r="J587" s="246">
        <v>0</v>
      </c>
      <c r="K587" s="246">
        <v>0</v>
      </c>
      <c r="L587" s="246">
        <v>0</v>
      </c>
      <c r="M587" s="246">
        <v>0</v>
      </c>
      <c r="N587" s="246">
        <v>0</v>
      </c>
      <c r="O587" s="246">
        <v>0</v>
      </c>
    </row>
    <row r="588" spans="1:15">
      <c r="A588" s="244">
        <v>61</v>
      </c>
      <c r="B588" s="244"/>
      <c r="C588" s="247" t="s">
        <v>881</v>
      </c>
      <c r="D588" s="244" t="s">
        <v>23</v>
      </c>
      <c r="E588" s="244">
        <v>24000</v>
      </c>
      <c r="F588" s="132">
        <v>1</v>
      </c>
      <c r="G588" s="246">
        <f t="shared" si="17"/>
        <v>24000</v>
      </c>
      <c r="H588" s="246">
        <v>0</v>
      </c>
      <c r="I588" s="246">
        <v>0</v>
      </c>
      <c r="J588" s="246">
        <v>0</v>
      </c>
      <c r="K588" s="246">
        <v>0</v>
      </c>
      <c r="L588" s="246">
        <v>0</v>
      </c>
      <c r="M588" s="246">
        <v>0</v>
      </c>
      <c r="N588" s="246">
        <v>0</v>
      </c>
      <c r="O588" s="246">
        <v>0</v>
      </c>
    </row>
    <row r="589" spans="1:15">
      <c r="A589" s="244">
        <v>62</v>
      </c>
      <c r="B589" s="244"/>
      <c r="C589" s="247" t="s">
        <v>882</v>
      </c>
      <c r="D589" s="244" t="s">
        <v>10</v>
      </c>
      <c r="E589" s="244">
        <v>1000</v>
      </c>
      <c r="F589" s="132">
        <v>2</v>
      </c>
      <c r="G589" s="246">
        <f t="shared" si="17"/>
        <v>2000</v>
      </c>
      <c r="H589" s="246">
        <v>0</v>
      </c>
      <c r="I589" s="246">
        <v>0</v>
      </c>
      <c r="J589" s="246">
        <v>0</v>
      </c>
      <c r="K589" s="246">
        <v>0</v>
      </c>
      <c r="L589" s="246">
        <v>0</v>
      </c>
      <c r="M589" s="246">
        <v>0</v>
      </c>
      <c r="N589" s="246">
        <v>0</v>
      </c>
      <c r="O589" s="246">
        <v>0</v>
      </c>
    </row>
    <row r="590" spans="1:15" ht="28.5">
      <c r="A590" s="244">
        <v>63</v>
      </c>
      <c r="B590" s="244" t="s">
        <v>883</v>
      </c>
      <c r="C590" s="247" t="s">
        <v>884</v>
      </c>
      <c r="D590" s="244" t="s">
        <v>10</v>
      </c>
      <c r="E590" s="244">
        <v>5400</v>
      </c>
      <c r="F590" s="132">
        <v>1</v>
      </c>
      <c r="G590" s="246">
        <f t="shared" si="17"/>
        <v>5400</v>
      </c>
      <c r="H590" s="246">
        <v>0</v>
      </c>
      <c r="I590" s="246">
        <v>0</v>
      </c>
      <c r="J590" s="246">
        <v>0</v>
      </c>
      <c r="K590" s="246">
        <v>0</v>
      </c>
      <c r="L590" s="246">
        <v>0</v>
      </c>
      <c r="M590" s="246">
        <v>0</v>
      </c>
      <c r="N590" s="246">
        <v>0</v>
      </c>
      <c r="O590" s="246">
        <v>0</v>
      </c>
    </row>
    <row r="591" spans="1:15">
      <c r="A591" s="244">
        <v>64</v>
      </c>
      <c r="B591" s="244" t="s">
        <v>883</v>
      </c>
      <c r="C591" s="247" t="s">
        <v>885</v>
      </c>
      <c r="D591" s="244" t="s">
        <v>10</v>
      </c>
      <c r="E591" s="244">
        <v>5400</v>
      </c>
      <c r="F591" s="132">
        <v>1</v>
      </c>
      <c r="G591" s="246">
        <f t="shared" si="17"/>
        <v>5400</v>
      </c>
      <c r="H591" s="246">
        <v>0</v>
      </c>
      <c r="I591" s="246">
        <v>0</v>
      </c>
      <c r="J591" s="246">
        <v>0</v>
      </c>
      <c r="K591" s="246">
        <v>0</v>
      </c>
      <c r="L591" s="246">
        <v>0</v>
      </c>
      <c r="M591" s="246">
        <v>0</v>
      </c>
      <c r="N591" s="246">
        <v>0</v>
      </c>
      <c r="O591" s="246">
        <v>0</v>
      </c>
    </row>
    <row r="592" spans="1:15" ht="28.5">
      <c r="A592" s="244">
        <v>65</v>
      </c>
      <c r="B592" s="244" t="s">
        <v>883</v>
      </c>
      <c r="C592" s="247" t="s">
        <v>886</v>
      </c>
      <c r="D592" s="244" t="s">
        <v>10</v>
      </c>
      <c r="E592" s="244">
        <v>5400</v>
      </c>
      <c r="F592" s="132">
        <v>1</v>
      </c>
      <c r="G592" s="246">
        <f t="shared" si="17"/>
        <v>5400</v>
      </c>
      <c r="H592" s="246">
        <v>0</v>
      </c>
      <c r="I592" s="246">
        <v>0</v>
      </c>
      <c r="J592" s="246">
        <v>0</v>
      </c>
      <c r="K592" s="246">
        <v>0</v>
      </c>
      <c r="L592" s="246">
        <v>0</v>
      </c>
      <c r="M592" s="246">
        <v>0</v>
      </c>
      <c r="N592" s="246">
        <v>0</v>
      </c>
      <c r="O592" s="246">
        <v>0</v>
      </c>
    </row>
    <row r="593" spans="1:15">
      <c r="A593" s="244">
        <v>66</v>
      </c>
      <c r="B593" s="248" t="s">
        <v>887</v>
      </c>
      <c r="C593" s="247" t="s">
        <v>888</v>
      </c>
      <c r="D593" s="244" t="s">
        <v>10</v>
      </c>
      <c r="E593" s="244">
        <v>5400</v>
      </c>
      <c r="F593" s="132">
        <v>1</v>
      </c>
      <c r="G593" s="246">
        <f t="shared" ref="G593:G656" si="18">E593*F593</f>
        <v>5400</v>
      </c>
      <c r="H593" s="246">
        <v>0</v>
      </c>
      <c r="I593" s="246">
        <v>0</v>
      </c>
      <c r="J593" s="246">
        <v>0</v>
      </c>
      <c r="K593" s="246">
        <v>0</v>
      </c>
      <c r="L593" s="246">
        <v>0</v>
      </c>
      <c r="M593" s="246">
        <v>0</v>
      </c>
      <c r="N593" s="246">
        <v>0</v>
      </c>
      <c r="O593" s="246">
        <v>0</v>
      </c>
    </row>
    <row r="594" spans="1:15">
      <c r="A594" s="244">
        <v>67</v>
      </c>
      <c r="B594" s="248" t="s">
        <v>887</v>
      </c>
      <c r="C594" s="247" t="s">
        <v>889</v>
      </c>
      <c r="D594" s="244" t="s">
        <v>10</v>
      </c>
      <c r="E594" s="244">
        <v>5400</v>
      </c>
      <c r="F594" s="132">
        <v>1</v>
      </c>
      <c r="G594" s="246">
        <f t="shared" si="18"/>
        <v>5400</v>
      </c>
      <c r="H594" s="246">
        <v>0</v>
      </c>
      <c r="I594" s="246">
        <v>0</v>
      </c>
      <c r="J594" s="246">
        <v>0</v>
      </c>
      <c r="K594" s="246">
        <v>0</v>
      </c>
      <c r="L594" s="246">
        <v>0</v>
      </c>
      <c r="M594" s="246">
        <v>0</v>
      </c>
      <c r="N594" s="246">
        <v>0</v>
      </c>
      <c r="O594" s="246">
        <v>0</v>
      </c>
    </row>
    <row r="595" spans="1:15">
      <c r="A595" s="244">
        <v>68</v>
      </c>
      <c r="B595" s="244" t="s">
        <v>238</v>
      </c>
      <c r="C595" s="247" t="s">
        <v>890</v>
      </c>
      <c r="D595" s="244" t="s">
        <v>10</v>
      </c>
      <c r="E595" s="244">
        <v>10000</v>
      </c>
      <c r="F595" s="132">
        <v>1</v>
      </c>
      <c r="G595" s="246">
        <f t="shared" si="18"/>
        <v>10000</v>
      </c>
      <c r="H595" s="246">
        <v>0</v>
      </c>
      <c r="I595" s="246">
        <v>0</v>
      </c>
      <c r="J595" s="246">
        <v>0</v>
      </c>
      <c r="K595" s="246">
        <v>0</v>
      </c>
      <c r="L595" s="246">
        <v>0</v>
      </c>
      <c r="M595" s="246">
        <v>0</v>
      </c>
      <c r="N595" s="246">
        <v>0</v>
      </c>
      <c r="O595" s="246">
        <v>0</v>
      </c>
    </row>
    <row r="596" spans="1:15" ht="28.5">
      <c r="A596" s="244">
        <v>69</v>
      </c>
      <c r="B596" s="248" t="s">
        <v>891</v>
      </c>
      <c r="C596" s="247" t="s">
        <v>892</v>
      </c>
      <c r="D596" s="244" t="s">
        <v>10</v>
      </c>
      <c r="E596" s="244">
        <v>20000</v>
      </c>
      <c r="F596" s="132">
        <v>1</v>
      </c>
      <c r="G596" s="246">
        <f t="shared" si="18"/>
        <v>20000</v>
      </c>
      <c r="H596" s="246">
        <v>0</v>
      </c>
      <c r="I596" s="246">
        <v>0</v>
      </c>
      <c r="J596" s="246">
        <v>0</v>
      </c>
      <c r="K596" s="246">
        <v>0</v>
      </c>
      <c r="L596" s="246">
        <v>0</v>
      </c>
      <c r="M596" s="246">
        <v>0</v>
      </c>
      <c r="N596" s="246">
        <v>0</v>
      </c>
      <c r="O596" s="246">
        <v>0</v>
      </c>
    </row>
    <row r="597" spans="1:15" ht="28.5">
      <c r="A597" s="244">
        <v>70</v>
      </c>
      <c r="B597" s="244" t="s">
        <v>893</v>
      </c>
      <c r="C597" s="247" t="s">
        <v>894</v>
      </c>
      <c r="D597" s="244" t="s">
        <v>10</v>
      </c>
      <c r="E597" s="244">
        <v>10000</v>
      </c>
      <c r="F597" s="132">
        <v>1</v>
      </c>
      <c r="G597" s="246">
        <f t="shared" si="18"/>
        <v>10000</v>
      </c>
      <c r="H597" s="246">
        <v>0</v>
      </c>
      <c r="I597" s="246">
        <v>0</v>
      </c>
      <c r="J597" s="246">
        <v>0</v>
      </c>
      <c r="K597" s="246">
        <v>0</v>
      </c>
      <c r="L597" s="246">
        <v>0</v>
      </c>
      <c r="M597" s="246">
        <v>0</v>
      </c>
      <c r="N597" s="246">
        <v>0</v>
      </c>
      <c r="O597" s="246">
        <v>0</v>
      </c>
    </row>
    <row r="598" spans="1:15" ht="28.5">
      <c r="A598" s="244">
        <v>71</v>
      </c>
      <c r="B598" s="248" t="s">
        <v>341</v>
      </c>
      <c r="C598" s="247" t="s">
        <v>895</v>
      </c>
      <c r="D598" s="244" t="s">
        <v>10</v>
      </c>
      <c r="E598" s="244">
        <v>10000</v>
      </c>
      <c r="F598" s="132">
        <v>1</v>
      </c>
      <c r="G598" s="246">
        <f t="shared" si="18"/>
        <v>10000</v>
      </c>
      <c r="H598" s="246">
        <v>0</v>
      </c>
      <c r="I598" s="246">
        <v>0</v>
      </c>
      <c r="J598" s="246">
        <v>0</v>
      </c>
      <c r="K598" s="246">
        <v>0</v>
      </c>
      <c r="L598" s="246">
        <v>0</v>
      </c>
      <c r="M598" s="246">
        <v>0</v>
      </c>
      <c r="N598" s="246">
        <v>0</v>
      </c>
      <c r="O598" s="246">
        <v>0</v>
      </c>
    </row>
    <row r="599" spans="1:15">
      <c r="A599" s="244">
        <v>72</v>
      </c>
      <c r="B599" s="248" t="s">
        <v>255</v>
      </c>
      <c r="C599" s="247" t="s">
        <v>896</v>
      </c>
      <c r="D599" s="244" t="s">
        <v>10</v>
      </c>
      <c r="E599" s="244">
        <v>10000</v>
      </c>
      <c r="F599" s="132">
        <v>1</v>
      </c>
      <c r="G599" s="246">
        <f t="shared" si="18"/>
        <v>10000</v>
      </c>
      <c r="H599" s="246">
        <v>0</v>
      </c>
      <c r="I599" s="246">
        <v>0</v>
      </c>
      <c r="J599" s="246">
        <v>0</v>
      </c>
      <c r="K599" s="246">
        <v>0</v>
      </c>
      <c r="L599" s="246">
        <v>0</v>
      </c>
      <c r="M599" s="246">
        <v>0</v>
      </c>
      <c r="N599" s="246">
        <v>0</v>
      </c>
      <c r="O599" s="246">
        <v>0</v>
      </c>
    </row>
    <row r="600" spans="1:15">
      <c r="A600" s="244">
        <v>73</v>
      </c>
      <c r="B600" s="248" t="s">
        <v>21</v>
      </c>
      <c r="C600" s="247" t="s">
        <v>897</v>
      </c>
      <c r="D600" s="244" t="s">
        <v>10</v>
      </c>
      <c r="E600" s="244">
        <v>10000</v>
      </c>
      <c r="F600" s="132">
        <v>1</v>
      </c>
      <c r="G600" s="246">
        <f t="shared" si="18"/>
        <v>10000</v>
      </c>
      <c r="H600" s="246">
        <v>0</v>
      </c>
      <c r="I600" s="246">
        <v>0</v>
      </c>
      <c r="J600" s="246">
        <v>0</v>
      </c>
      <c r="K600" s="246">
        <v>0</v>
      </c>
      <c r="L600" s="246">
        <v>0</v>
      </c>
      <c r="M600" s="246">
        <v>0</v>
      </c>
      <c r="N600" s="246">
        <v>0</v>
      </c>
      <c r="O600" s="246">
        <v>0</v>
      </c>
    </row>
    <row r="601" spans="1:15" ht="28.5">
      <c r="A601" s="244">
        <v>74</v>
      </c>
      <c r="B601" s="244"/>
      <c r="C601" s="247" t="s">
        <v>898</v>
      </c>
      <c r="D601" s="244" t="s">
        <v>10</v>
      </c>
      <c r="E601" s="244">
        <v>50000</v>
      </c>
      <c r="F601" s="132">
        <v>1</v>
      </c>
      <c r="G601" s="246">
        <f t="shared" si="18"/>
        <v>50000</v>
      </c>
      <c r="H601" s="246">
        <v>0</v>
      </c>
      <c r="I601" s="246">
        <v>0</v>
      </c>
      <c r="J601" s="246">
        <v>0</v>
      </c>
      <c r="K601" s="246">
        <v>0</v>
      </c>
      <c r="L601" s="246">
        <v>0</v>
      </c>
      <c r="M601" s="246">
        <v>0</v>
      </c>
      <c r="N601" s="246">
        <v>0</v>
      </c>
      <c r="O601" s="246">
        <v>0</v>
      </c>
    </row>
    <row r="602" spans="1:15" ht="28.5">
      <c r="A602" s="244">
        <v>75</v>
      </c>
      <c r="B602" s="244"/>
      <c r="C602" s="247" t="s">
        <v>899</v>
      </c>
      <c r="D602" s="244" t="s">
        <v>10</v>
      </c>
      <c r="E602" s="244">
        <v>1000</v>
      </c>
      <c r="F602" s="132">
        <v>1</v>
      </c>
      <c r="G602" s="246">
        <f t="shared" si="18"/>
        <v>1000</v>
      </c>
      <c r="H602" s="246">
        <v>0</v>
      </c>
      <c r="I602" s="246">
        <v>0</v>
      </c>
      <c r="J602" s="246">
        <v>0</v>
      </c>
      <c r="K602" s="246">
        <v>0</v>
      </c>
      <c r="L602" s="246">
        <v>0</v>
      </c>
      <c r="M602" s="246">
        <v>0</v>
      </c>
      <c r="N602" s="246">
        <v>0</v>
      </c>
      <c r="O602" s="246">
        <v>0</v>
      </c>
    </row>
    <row r="603" spans="1:15" ht="28.5">
      <c r="A603" s="244">
        <v>76</v>
      </c>
      <c r="B603" s="244"/>
      <c r="C603" s="247" t="s">
        <v>900</v>
      </c>
      <c r="D603" s="244" t="s">
        <v>10</v>
      </c>
      <c r="E603" s="244">
        <v>1000</v>
      </c>
      <c r="F603" s="132">
        <v>1</v>
      </c>
      <c r="G603" s="246">
        <f t="shared" si="18"/>
        <v>1000</v>
      </c>
      <c r="H603" s="246">
        <v>0</v>
      </c>
      <c r="I603" s="246">
        <v>0</v>
      </c>
      <c r="J603" s="246">
        <v>0</v>
      </c>
      <c r="K603" s="246">
        <v>0</v>
      </c>
      <c r="L603" s="246">
        <v>0</v>
      </c>
      <c r="M603" s="246">
        <v>0</v>
      </c>
      <c r="N603" s="246">
        <v>0</v>
      </c>
      <c r="O603" s="246">
        <v>0</v>
      </c>
    </row>
    <row r="604" spans="1:15" ht="28.5">
      <c r="A604" s="244">
        <v>77</v>
      </c>
      <c r="B604" s="244"/>
      <c r="C604" s="247" t="s">
        <v>901</v>
      </c>
      <c r="D604" s="244" t="s">
        <v>10</v>
      </c>
      <c r="E604" s="244">
        <v>1000</v>
      </c>
      <c r="F604" s="132">
        <v>1</v>
      </c>
      <c r="G604" s="246">
        <f t="shared" si="18"/>
        <v>1000</v>
      </c>
      <c r="H604" s="246">
        <v>0</v>
      </c>
      <c r="I604" s="246">
        <v>0</v>
      </c>
      <c r="J604" s="246">
        <v>0</v>
      </c>
      <c r="K604" s="246">
        <v>0</v>
      </c>
      <c r="L604" s="246">
        <v>0</v>
      </c>
      <c r="M604" s="246">
        <v>0</v>
      </c>
      <c r="N604" s="246">
        <v>0</v>
      </c>
      <c r="O604" s="246">
        <v>0</v>
      </c>
    </row>
    <row r="605" spans="1:15" ht="28.5">
      <c r="A605" s="244">
        <v>78</v>
      </c>
      <c r="B605" s="244"/>
      <c r="C605" s="247" t="s">
        <v>902</v>
      </c>
      <c r="D605" s="244" t="s">
        <v>10</v>
      </c>
      <c r="E605" s="244">
        <v>1000</v>
      </c>
      <c r="F605" s="132">
        <v>1</v>
      </c>
      <c r="G605" s="246">
        <f t="shared" si="18"/>
        <v>1000</v>
      </c>
      <c r="H605" s="246">
        <v>0</v>
      </c>
      <c r="I605" s="246">
        <v>0</v>
      </c>
      <c r="J605" s="246">
        <v>0</v>
      </c>
      <c r="K605" s="246">
        <v>0</v>
      </c>
      <c r="L605" s="246">
        <v>0</v>
      </c>
      <c r="M605" s="246">
        <v>0</v>
      </c>
      <c r="N605" s="246">
        <v>0</v>
      </c>
      <c r="O605" s="246">
        <v>0</v>
      </c>
    </row>
    <row r="606" spans="1:15" ht="28.5">
      <c r="A606" s="244">
        <v>79</v>
      </c>
      <c r="B606" s="244"/>
      <c r="C606" s="247" t="s">
        <v>903</v>
      </c>
      <c r="D606" s="244" t="s">
        <v>10</v>
      </c>
      <c r="E606" s="244">
        <v>1000</v>
      </c>
      <c r="F606" s="132">
        <v>1</v>
      </c>
      <c r="G606" s="246">
        <f t="shared" si="18"/>
        <v>1000</v>
      </c>
      <c r="H606" s="246">
        <v>0</v>
      </c>
      <c r="I606" s="246">
        <v>0</v>
      </c>
      <c r="J606" s="246">
        <v>0</v>
      </c>
      <c r="K606" s="246">
        <v>0</v>
      </c>
      <c r="L606" s="246">
        <v>0</v>
      </c>
      <c r="M606" s="246">
        <v>0</v>
      </c>
      <c r="N606" s="246">
        <v>0</v>
      </c>
      <c r="O606" s="246">
        <v>0</v>
      </c>
    </row>
    <row r="607" spans="1:15" ht="28.5">
      <c r="A607" s="244">
        <v>80</v>
      </c>
      <c r="B607" s="244"/>
      <c r="C607" s="247" t="s">
        <v>904</v>
      </c>
      <c r="D607" s="244" t="s">
        <v>10</v>
      </c>
      <c r="E607" s="244">
        <v>1000</v>
      </c>
      <c r="F607" s="132">
        <v>1</v>
      </c>
      <c r="G607" s="246">
        <f t="shared" si="18"/>
        <v>1000</v>
      </c>
      <c r="H607" s="246">
        <v>0</v>
      </c>
      <c r="I607" s="246">
        <v>0</v>
      </c>
      <c r="J607" s="246">
        <v>0</v>
      </c>
      <c r="K607" s="246">
        <v>0</v>
      </c>
      <c r="L607" s="246">
        <v>0</v>
      </c>
      <c r="M607" s="246">
        <v>0</v>
      </c>
      <c r="N607" s="246">
        <v>0</v>
      </c>
      <c r="O607" s="246">
        <v>0</v>
      </c>
    </row>
    <row r="608" spans="1:15" ht="42.75">
      <c r="A608" s="244">
        <v>81</v>
      </c>
      <c r="B608" s="244"/>
      <c r="C608" s="247" t="s">
        <v>905</v>
      </c>
      <c r="D608" s="244" t="s">
        <v>10</v>
      </c>
      <c r="E608" s="244">
        <v>1000</v>
      </c>
      <c r="F608" s="132">
        <v>1</v>
      </c>
      <c r="G608" s="246">
        <f t="shared" si="18"/>
        <v>1000</v>
      </c>
      <c r="H608" s="246"/>
      <c r="I608" s="246"/>
      <c r="J608" s="246"/>
      <c r="K608" s="246"/>
      <c r="L608" s="246"/>
      <c r="M608" s="246"/>
      <c r="N608" s="246"/>
      <c r="O608" s="246"/>
    </row>
    <row r="609" spans="1:15" ht="42.75">
      <c r="A609" s="244">
        <v>82</v>
      </c>
      <c r="B609" s="244"/>
      <c r="C609" s="247" t="s">
        <v>905</v>
      </c>
      <c r="D609" s="244" t="s">
        <v>10</v>
      </c>
      <c r="E609" s="244">
        <v>1000</v>
      </c>
      <c r="F609" s="132">
        <v>1</v>
      </c>
      <c r="G609" s="246">
        <f t="shared" si="18"/>
        <v>1000</v>
      </c>
      <c r="H609" s="246">
        <v>0</v>
      </c>
      <c r="I609" s="246">
        <v>0</v>
      </c>
      <c r="J609" s="246">
        <v>0</v>
      </c>
      <c r="K609" s="246">
        <v>0</v>
      </c>
      <c r="L609" s="246">
        <v>0</v>
      </c>
      <c r="M609" s="246">
        <v>0</v>
      </c>
      <c r="N609" s="246">
        <v>0</v>
      </c>
      <c r="O609" s="246">
        <v>0</v>
      </c>
    </row>
    <row r="610" spans="1:15" ht="28.5">
      <c r="A610" s="244">
        <v>83</v>
      </c>
      <c r="B610" s="244"/>
      <c r="C610" s="247" t="s">
        <v>906</v>
      </c>
      <c r="D610" s="244" t="s">
        <v>10</v>
      </c>
      <c r="E610" s="244">
        <v>1000</v>
      </c>
      <c r="F610" s="132">
        <v>1</v>
      </c>
      <c r="G610" s="246">
        <f t="shared" si="18"/>
        <v>1000</v>
      </c>
      <c r="H610" s="246">
        <v>0</v>
      </c>
      <c r="I610" s="246">
        <v>0</v>
      </c>
      <c r="J610" s="246">
        <v>0</v>
      </c>
      <c r="K610" s="246">
        <v>0</v>
      </c>
      <c r="L610" s="246">
        <v>0</v>
      </c>
      <c r="M610" s="246">
        <v>0</v>
      </c>
      <c r="N610" s="246">
        <v>0</v>
      </c>
      <c r="O610" s="246">
        <v>0</v>
      </c>
    </row>
    <row r="611" spans="1:15" ht="28.5">
      <c r="A611" s="244">
        <v>84</v>
      </c>
      <c r="B611" s="244"/>
      <c r="C611" s="247" t="s">
        <v>907</v>
      </c>
      <c r="D611" s="244" t="s">
        <v>10</v>
      </c>
      <c r="E611" s="244">
        <v>1000</v>
      </c>
      <c r="F611" s="132">
        <v>1</v>
      </c>
      <c r="G611" s="246">
        <f t="shared" si="18"/>
        <v>1000</v>
      </c>
      <c r="H611" s="246">
        <v>0</v>
      </c>
      <c r="I611" s="246">
        <v>0</v>
      </c>
      <c r="J611" s="246">
        <v>0</v>
      </c>
      <c r="K611" s="246">
        <v>0</v>
      </c>
      <c r="L611" s="246">
        <v>0</v>
      </c>
      <c r="M611" s="246">
        <v>0</v>
      </c>
      <c r="N611" s="246">
        <v>0</v>
      </c>
      <c r="O611" s="246">
        <v>0</v>
      </c>
    </row>
    <row r="612" spans="1:15" ht="28.5">
      <c r="A612" s="244">
        <v>85</v>
      </c>
      <c r="B612" s="244"/>
      <c r="C612" s="247" t="s">
        <v>908</v>
      </c>
      <c r="D612" s="244" t="s">
        <v>10</v>
      </c>
      <c r="E612" s="244">
        <v>1000</v>
      </c>
      <c r="F612" s="132">
        <v>1</v>
      </c>
      <c r="G612" s="246">
        <f t="shared" si="18"/>
        <v>1000</v>
      </c>
      <c r="H612" s="246">
        <v>0</v>
      </c>
      <c r="I612" s="246">
        <v>0</v>
      </c>
      <c r="J612" s="246">
        <v>0</v>
      </c>
      <c r="K612" s="246">
        <v>0</v>
      </c>
      <c r="L612" s="246">
        <v>0</v>
      </c>
      <c r="M612" s="246">
        <v>0</v>
      </c>
      <c r="N612" s="246">
        <v>0</v>
      </c>
      <c r="O612" s="246">
        <v>0</v>
      </c>
    </row>
    <row r="613" spans="1:15" ht="28.5">
      <c r="A613" s="244">
        <v>86</v>
      </c>
      <c r="B613" s="248" t="s">
        <v>909</v>
      </c>
      <c r="C613" s="247" t="s">
        <v>910</v>
      </c>
      <c r="D613" s="244" t="s">
        <v>10</v>
      </c>
      <c r="E613" s="244">
        <v>1000</v>
      </c>
      <c r="F613" s="132">
        <v>1</v>
      </c>
      <c r="G613" s="246">
        <f t="shared" si="18"/>
        <v>1000</v>
      </c>
      <c r="H613" s="246">
        <v>0</v>
      </c>
      <c r="I613" s="246">
        <v>0</v>
      </c>
      <c r="J613" s="246">
        <v>0</v>
      </c>
      <c r="K613" s="246">
        <v>0</v>
      </c>
      <c r="L613" s="246">
        <v>0</v>
      </c>
      <c r="M613" s="246">
        <v>0</v>
      </c>
      <c r="N613" s="246">
        <v>0</v>
      </c>
      <c r="O613" s="246">
        <v>0</v>
      </c>
    </row>
    <row r="614" spans="1:15" ht="28.5">
      <c r="A614" s="244">
        <v>87</v>
      </c>
      <c r="B614" s="244"/>
      <c r="C614" s="247" t="s">
        <v>911</v>
      </c>
      <c r="D614" s="244" t="s">
        <v>10</v>
      </c>
      <c r="E614" s="244">
        <v>1000</v>
      </c>
      <c r="F614" s="132">
        <v>1</v>
      </c>
      <c r="G614" s="246">
        <f t="shared" si="18"/>
        <v>1000</v>
      </c>
      <c r="H614" s="246">
        <v>0</v>
      </c>
      <c r="I614" s="246">
        <v>0</v>
      </c>
      <c r="J614" s="246">
        <v>0</v>
      </c>
      <c r="K614" s="246">
        <v>0</v>
      </c>
      <c r="L614" s="246">
        <v>0</v>
      </c>
      <c r="M614" s="246">
        <v>0</v>
      </c>
      <c r="N614" s="246">
        <v>0</v>
      </c>
      <c r="O614" s="246">
        <v>0</v>
      </c>
    </row>
    <row r="615" spans="1:15" ht="28.5">
      <c r="A615" s="244">
        <v>88</v>
      </c>
      <c r="B615" s="244"/>
      <c r="C615" s="247" t="s">
        <v>912</v>
      </c>
      <c r="D615" s="244" t="s">
        <v>10</v>
      </c>
      <c r="E615" s="244">
        <v>1000</v>
      </c>
      <c r="F615" s="132">
        <v>1</v>
      </c>
      <c r="G615" s="246">
        <f t="shared" si="18"/>
        <v>1000</v>
      </c>
      <c r="H615" s="246">
        <v>0</v>
      </c>
      <c r="I615" s="246">
        <v>0</v>
      </c>
      <c r="J615" s="246">
        <v>0</v>
      </c>
      <c r="K615" s="246">
        <v>0</v>
      </c>
      <c r="L615" s="246">
        <v>0</v>
      </c>
      <c r="M615" s="246">
        <v>0</v>
      </c>
      <c r="N615" s="246">
        <v>0</v>
      </c>
      <c r="O615" s="246">
        <v>0</v>
      </c>
    </row>
    <row r="616" spans="1:15" ht="28.5">
      <c r="A616" s="244">
        <v>89</v>
      </c>
      <c r="B616" s="244"/>
      <c r="C616" s="247" t="s">
        <v>913</v>
      </c>
      <c r="D616" s="244" t="s">
        <v>10</v>
      </c>
      <c r="E616" s="244">
        <v>1000</v>
      </c>
      <c r="F616" s="132">
        <v>1</v>
      </c>
      <c r="G616" s="246">
        <f t="shared" si="18"/>
        <v>1000</v>
      </c>
      <c r="H616" s="246">
        <v>0</v>
      </c>
      <c r="I616" s="246">
        <v>0</v>
      </c>
      <c r="J616" s="246">
        <v>0</v>
      </c>
      <c r="K616" s="246">
        <v>0</v>
      </c>
      <c r="L616" s="246">
        <v>0</v>
      </c>
      <c r="M616" s="246">
        <v>0</v>
      </c>
      <c r="N616" s="246">
        <v>0</v>
      </c>
      <c r="O616" s="246">
        <v>0</v>
      </c>
    </row>
    <row r="617" spans="1:15" ht="42.75">
      <c r="A617" s="244">
        <v>90</v>
      </c>
      <c r="B617" s="248" t="s">
        <v>909</v>
      </c>
      <c r="C617" s="247" t="s">
        <v>914</v>
      </c>
      <c r="D617" s="244" t="s">
        <v>10</v>
      </c>
      <c r="E617" s="244">
        <v>1000</v>
      </c>
      <c r="F617" s="132">
        <v>1</v>
      </c>
      <c r="G617" s="246">
        <f t="shared" si="18"/>
        <v>1000</v>
      </c>
      <c r="H617" s="246">
        <v>0</v>
      </c>
      <c r="I617" s="246">
        <v>0</v>
      </c>
      <c r="J617" s="246">
        <v>0</v>
      </c>
      <c r="K617" s="246">
        <v>0</v>
      </c>
      <c r="L617" s="246">
        <v>0</v>
      </c>
      <c r="M617" s="246">
        <v>0</v>
      </c>
      <c r="N617" s="246">
        <v>0</v>
      </c>
      <c r="O617" s="246">
        <v>0</v>
      </c>
    </row>
    <row r="618" spans="1:15" ht="28.5">
      <c r="A618" s="244">
        <v>91</v>
      </c>
      <c r="B618" s="248" t="s">
        <v>909</v>
      </c>
      <c r="C618" s="247" t="s">
        <v>915</v>
      </c>
      <c r="D618" s="244" t="s">
        <v>10</v>
      </c>
      <c r="E618" s="244">
        <v>1000</v>
      </c>
      <c r="F618" s="132">
        <v>1</v>
      </c>
      <c r="G618" s="246">
        <f t="shared" si="18"/>
        <v>1000</v>
      </c>
      <c r="H618" s="246">
        <v>0</v>
      </c>
      <c r="I618" s="246">
        <v>0</v>
      </c>
      <c r="J618" s="246">
        <v>0</v>
      </c>
      <c r="K618" s="246">
        <v>0</v>
      </c>
      <c r="L618" s="246">
        <v>0</v>
      </c>
      <c r="M618" s="246">
        <v>0</v>
      </c>
      <c r="N618" s="246">
        <v>0</v>
      </c>
      <c r="O618" s="246">
        <v>0</v>
      </c>
    </row>
    <row r="619" spans="1:15">
      <c r="A619" s="244">
        <v>92</v>
      </c>
      <c r="B619" s="244" t="s">
        <v>22</v>
      </c>
      <c r="C619" s="247" t="s">
        <v>916</v>
      </c>
      <c r="D619" s="244" t="s">
        <v>10</v>
      </c>
      <c r="E619" s="244">
        <v>1000</v>
      </c>
      <c r="F619" s="132">
        <v>1</v>
      </c>
      <c r="G619" s="246">
        <f t="shared" si="18"/>
        <v>1000</v>
      </c>
      <c r="H619" s="246">
        <v>0</v>
      </c>
      <c r="I619" s="246">
        <v>0</v>
      </c>
      <c r="J619" s="246">
        <v>0</v>
      </c>
      <c r="K619" s="246">
        <v>0</v>
      </c>
      <c r="L619" s="246">
        <v>0</v>
      </c>
      <c r="M619" s="246">
        <v>0</v>
      </c>
      <c r="N619" s="246">
        <v>0</v>
      </c>
      <c r="O619" s="246">
        <v>0</v>
      </c>
    </row>
    <row r="620" spans="1:15" ht="28.5">
      <c r="A620" s="244">
        <v>93</v>
      </c>
      <c r="B620" s="244" t="s">
        <v>917</v>
      </c>
      <c r="C620" s="247" t="s">
        <v>918</v>
      </c>
      <c r="D620" s="244" t="s">
        <v>10</v>
      </c>
      <c r="E620" s="244">
        <v>4166.67</v>
      </c>
      <c r="F620" s="132">
        <v>12</v>
      </c>
      <c r="G620" s="246">
        <f t="shared" si="18"/>
        <v>50000.04</v>
      </c>
      <c r="H620" s="246">
        <v>0</v>
      </c>
      <c r="I620" s="246">
        <v>0</v>
      </c>
      <c r="J620" s="246">
        <v>0</v>
      </c>
      <c r="K620" s="246">
        <v>0</v>
      </c>
      <c r="L620" s="246">
        <v>0</v>
      </c>
      <c r="M620" s="246">
        <v>0</v>
      </c>
      <c r="N620" s="246">
        <v>0</v>
      </c>
      <c r="O620" s="246">
        <v>0</v>
      </c>
    </row>
    <row r="621" spans="1:15">
      <c r="A621" s="244">
        <v>94</v>
      </c>
      <c r="B621" s="244" t="s">
        <v>34</v>
      </c>
      <c r="C621" s="247" t="s">
        <v>919</v>
      </c>
      <c r="D621" s="244" t="s">
        <v>10</v>
      </c>
      <c r="E621" s="244">
        <v>10000</v>
      </c>
      <c r="F621" s="132">
        <v>1</v>
      </c>
      <c r="G621" s="246">
        <f t="shared" si="18"/>
        <v>10000</v>
      </c>
      <c r="H621" s="246">
        <v>0</v>
      </c>
      <c r="I621" s="246">
        <v>0</v>
      </c>
      <c r="J621" s="246">
        <v>0</v>
      </c>
      <c r="K621" s="246">
        <v>0</v>
      </c>
      <c r="L621" s="246">
        <v>0</v>
      </c>
      <c r="M621" s="246">
        <v>0</v>
      </c>
      <c r="N621" s="246">
        <v>0</v>
      </c>
      <c r="O621" s="246">
        <v>0</v>
      </c>
    </row>
    <row r="622" spans="1:15">
      <c r="A622" s="244">
        <v>95</v>
      </c>
      <c r="B622" s="248" t="s">
        <v>920</v>
      </c>
      <c r="C622" s="247" t="s">
        <v>921</v>
      </c>
      <c r="D622" s="244" t="s">
        <v>10</v>
      </c>
      <c r="E622" s="244">
        <v>45000</v>
      </c>
      <c r="F622" s="132">
        <v>1</v>
      </c>
      <c r="G622" s="246">
        <f t="shared" si="18"/>
        <v>45000</v>
      </c>
      <c r="H622" s="246">
        <v>0</v>
      </c>
      <c r="I622" s="246">
        <v>0</v>
      </c>
      <c r="J622" s="246">
        <v>0</v>
      </c>
      <c r="K622" s="246">
        <v>0</v>
      </c>
      <c r="L622" s="246">
        <v>0</v>
      </c>
      <c r="M622" s="246">
        <v>0</v>
      </c>
      <c r="N622" s="246">
        <v>0</v>
      </c>
      <c r="O622" s="246">
        <v>0</v>
      </c>
    </row>
    <row r="623" spans="1:15">
      <c r="A623" s="244">
        <v>96</v>
      </c>
      <c r="B623" s="244"/>
      <c r="C623" s="247" t="s">
        <v>922</v>
      </c>
      <c r="D623" s="244" t="s">
        <v>23</v>
      </c>
      <c r="E623" s="244">
        <v>5750</v>
      </c>
      <c r="F623" s="132">
        <v>2</v>
      </c>
      <c r="G623" s="246">
        <f t="shared" si="18"/>
        <v>11500</v>
      </c>
      <c r="H623" s="246">
        <v>0</v>
      </c>
      <c r="I623" s="246">
        <v>0</v>
      </c>
      <c r="J623" s="246">
        <v>0</v>
      </c>
      <c r="K623" s="246">
        <v>0</v>
      </c>
      <c r="L623" s="246">
        <v>0</v>
      </c>
      <c r="M623" s="246">
        <v>0</v>
      </c>
      <c r="N623" s="246">
        <v>0</v>
      </c>
      <c r="O623" s="246">
        <v>0</v>
      </c>
    </row>
    <row r="624" spans="1:15" ht="28.5">
      <c r="A624" s="244">
        <v>97</v>
      </c>
      <c r="B624" s="244" t="s">
        <v>923</v>
      </c>
      <c r="C624" s="247" t="s">
        <v>924</v>
      </c>
      <c r="D624" s="244" t="s">
        <v>10</v>
      </c>
      <c r="E624" s="244">
        <v>1000</v>
      </c>
      <c r="F624" s="132">
        <v>1</v>
      </c>
      <c r="G624" s="246">
        <f t="shared" si="18"/>
        <v>1000</v>
      </c>
      <c r="H624" s="246">
        <v>0</v>
      </c>
      <c r="I624" s="246">
        <v>0</v>
      </c>
      <c r="J624" s="246">
        <v>0</v>
      </c>
      <c r="K624" s="246">
        <v>0</v>
      </c>
      <c r="L624" s="246">
        <v>0</v>
      </c>
      <c r="M624" s="246">
        <v>0</v>
      </c>
      <c r="N624" s="246">
        <v>0</v>
      </c>
      <c r="O624" s="246">
        <v>0</v>
      </c>
    </row>
    <row r="625" spans="1:15" ht="28.5">
      <c r="A625" s="244">
        <v>98</v>
      </c>
      <c r="B625" s="244"/>
      <c r="C625" s="247" t="s">
        <v>925</v>
      </c>
      <c r="D625" s="244" t="s">
        <v>10</v>
      </c>
      <c r="E625" s="244">
        <v>20000</v>
      </c>
      <c r="F625" s="132">
        <v>1</v>
      </c>
      <c r="G625" s="246">
        <f t="shared" si="18"/>
        <v>20000</v>
      </c>
      <c r="H625" s="246">
        <v>0</v>
      </c>
      <c r="I625" s="246">
        <v>0</v>
      </c>
      <c r="J625" s="246">
        <v>0</v>
      </c>
      <c r="K625" s="246">
        <v>0</v>
      </c>
      <c r="L625" s="246">
        <v>0</v>
      </c>
      <c r="M625" s="246">
        <v>0</v>
      </c>
      <c r="N625" s="246">
        <v>0</v>
      </c>
      <c r="O625" s="246">
        <v>0</v>
      </c>
    </row>
    <row r="626" spans="1:15">
      <c r="A626" s="244">
        <v>99</v>
      </c>
      <c r="B626" s="248" t="s">
        <v>926</v>
      </c>
      <c r="C626" s="247" t="s">
        <v>927</v>
      </c>
      <c r="D626" s="244" t="s">
        <v>10</v>
      </c>
      <c r="E626" s="244">
        <v>100000</v>
      </c>
      <c r="F626" s="132">
        <v>1</v>
      </c>
      <c r="G626" s="246">
        <f t="shared" si="18"/>
        <v>100000</v>
      </c>
      <c r="H626" s="246">
        <v>0</v>
      </c>
      <c r="I626" s="246">
        <v>0</v>
      </c>
      <c r="J626" s="246">
        <v>0</v>
      </c>
      <c r="K626" s="246">
        <v>0</v>
      </c>
      <c r="L626" s="246">
        <v>0</v>
      </c>
      <c r="M626" s="246">
        <v>0</v>
      </c>
      <c r="N626" s="246">
        <v>0</v>
      </c>
      <c r="O626" s="246">
        <v>0</v>
      </c>
    </row>
    <row r="627" spans="1:15" ht="28.5">
      <c r="A627" s="244">
        <v>100</v>
      </c>
      <c r="B627" s="248" t="s">
        <v>928</v>
      </c>
      <c r="C627" s="247" t="s">
        <v>929</v>
      </c>
      <c r="D627" s="244" t="s">
        <v>10</v>
      </c>
      <c r="E627" s="244">
        <v>60000</v>
      </c>
      <c r="F627" s="132">
        <v>1</v>
      </c>
      <c r="G627" s="246">
        <f t="shared" si="18"/>
        <v>60000</v>
      </c>
      <c r="H627" s="246">
        <v>0</v>
      </c>
      <c r="I627" s="246">
        <v>0</v>
      </c>
      <c r="J627" s="246">
        <v>0</v>
      </c>
      <c r="K627" s="246">
        <v>0</v>
      </c>
      <c r="L627" s="246">
        <v>0</v>
      </c>
      <c r="M627" s="246">
        <v>0</v>
      </c>
      <c r="N627" s="246">
        <v>0</v>
      </c>
      <c r="O627" s="246">
        <v>0</v>
      </c>
    </row>
    <row r="628" spans="1:15" ht="28.5">
      <c r="A628" s="244">
        <v>101</v>
      </c>
      <c r="B628" s="244" t="s">
        <v>930</v>
      </c>
      <c r="C628" s="247" t="s">
        <v>931</v>
      </c>
      <c r="D628" s="244" t="s">
        <v>10</v>
      </c>
      <c r="E628" s="244">
        <v>40000</v>
      </c>
      <c r="F628" s="132">
        <v>1</v>
      </c>
      <c r="G628" s="246">
        <f t="shared" si="18"/>
        <v>40000</v>
      </c>
      <c r="H628" s="246">
        <v>0</v>
      </c>
      <c r="I628" s="246">
        <v>0</v>
      </c>
      <c r="J628" s="246">
        <v>0</v>
      </c>
      <c r="K628" s="246">
        <v>0</v>
      </c>
      <c r="L628" s="246">
        <v>0</v>
      </c>
      <c r="M628" s="246">
        <v>0</v>
      </c>
      <c r="N628" s="246">
        <v>0</v>
      </c>
      <c r="O628" s="246">
        <v>0</v>
      </c>
    </row>
    <row r="629" spans="1:15" ht="28.5">
      <c r="A629" s="244">
        <v>102</v>
      </c>
      <c r="B629" s="244"/>
      <c r="C629" s="247" t="s">
        <v>932</v>
      </c>
      <c r="D629" s="244" t="s">
        <v>10</v>
      </c>
      <c r="E629" s="244">
        <v>739000</v>
      </c>
      <c r="F629" s="132">
        <v>1</v>
      </c>
      <c r="G629" s="246">
        <f t="shared" si="18"/>
        <v>739000</v>
      </c>
      <c r="H629" s="246">
        <v>0</v>
      </c>
      <c r="I629" s="246">
        <v>0</v>
      </c>
      <c r="J629" s="246">
        <v>0</v>
      </c>
      <c r="K629" s="246">
        <v>0</v>
      </c>
      <c r="L629" s="246">
        <v>0</v>
      </c>
      <c r="M629" s="246">
        <v>0</v>
      </c>
      <c r="N629" s="246">
        <v>0</v>
      </c>
      <c r="O629" s="246">
        <v>0</v>
      </c>
    </row>
    <row r="630" spans="1:15">
      <c r="A630" s="244">
        <v>103</v>
      </c>
      <c r="B630" s="244" t="s">
        <v>933</v>
      </c>
      <c r="C630" s="247" t="s">
        <v>934</v>
      </c>
      <c r="D630" s="244" t="s">
        <v>10</v>
      </c>
      <c r="E630" s="244">
        <v>500</v>
      </c>
      <c r="F630" s="132">
        <v>4</v>
      </c>
      <c r="G630" s="246">
        <f t="shared" si="18"/>
        <v>2000</v>
      </c>
      <c r="H630" s="246">
        <v>0</v>
      </c>
      <c r="I630" s="246">
        <v>0</v>
      </c>
      <c r="J630" s="246">
        <v>0</v>
      </c>
      <c r="K630" s="246">
        <v>0</v>
      </c>
      <c r="L630" s="246">
        <v>0</v>
      </c>
      <c r="M630" s="246">
        <v>0</v>
      </c>
      <c r="N630" s="246">
        <v>0</v>
      </c>
      <c r="O630" s="246">
        <v>0</v>
      </c>
    </row>
    <row r="631" spans="1:15">
      <c r="A631" s="244">
        <v>104</v>
      </c>
      <c r="B631" s="244" t="s">
        <v>935</v>
      </c>
      <c r="C631" s="247" t="s">
        <v>936</v>
      </c>
      <c r="D631" s="244" t="s">
        <v>10</v>
      </c>
      <c r="E631" s="244">
        <v>3000</v>
      </c>
      <c r="F631" s="132">
        <v>1</v>
      </c>
      <c r="G631" s="246">
        <f t="shared" si="18"/>
        <v>3000</v>
      </c>
      <c r="H631" s="246">
        <v>0</v>
      </c>
      <c r="I631" s="246">
        <v>0</v>
      </c>
      <c r="J631" s="246">
        <v>0</v>
      </c>
      <c r="K631" s="246">
        <v>0</v>
      </c>
      <c r="L631" s="246">
        <v>0</v>
      </c>
      <c r="M631" s="246">
        <v>0</v>
      </c>
      <c r="N631" s="246">
        <v>0</v>
      </c>
      <c r="O631" s="246">
        <v>0</v>
      </c>
    </row>
    <row r="632" spans="1:15">
      <c r="A632" s="244">
        <v>105</v>
      </c>
      <c r="B632" s="244" t="s">
        <v>937</v>
      </c>
      <c r="C632" s="247" t="s">
        <v>938</v>
      </c>
      <c r="D632" s="244" t="s">
        <v>10</v>
      </c>
      <c r="E632" s="244">
        <v>100000</v>
      </c>
      <c r="F632" s="132">
        <v>1</v>
      </c>
      <c r="G632" s="246">
        <f t="shared" si="18"/>
        <v>100000</v>
      </c>
      <c r="H632" s="246">
        <v>0</v>
      </c>
      <c r="I632" s="246">
        <v>0</v>
      </c>
      <c r="J632" s="246">
        <v>0</v>
      </c>
      <c r="K632" s="246">
        <v>0</v>
      </c>
      <c r="L632" s="246">
        <v>0</v>
      </c>
      <c r="M632" s="246">
        <v>0</v>
      </c>
      <c r="N632" s="246">
        <v>0</v>
      </c>
      <c r="O632" s="246">
        <v>0</v>
      </c>
    </row>
    <row r="633" spans="1:15" ht="28.5">
      <c r="A633" s="244">
        <v>106</v>
      </c>
      <c r="B633" s="244" t="s">
        <v>276</v>
      </c>
      <c r="C633" s="247" t="s">
        <v>939</v>
      </c>
      <c r="D633" s="244" t="s">
        <v>392</v>
      </c>
      <c r="E633" s="244">
        <v>100000</v>
      </c>
      <c r="F633" s="132">
        <v>1</v>
      </c>
      <c r="G633" s="246">
        <f t="shared" si="18"/>
        <v>100000</v>
      </c>
      <c r="H633" s="246">
        <v>0</v>
      </c>
      <c r="I633" s="246">
        <v>0</v>
      </c>
      <c r="J633" s="246">
        <v>0</v>
      </c>
      <c r="K633" s="246">
        <v>0</v>
      </c>
      <c r="L633" s="246">
        <v>0</v>
      </c>
      <c r="M633" s="246">
        <v>0</v>
      </c>
      <c r="N633" s="246">
        <v>0</v>
      </c>
      <c r="O633" s="246">
        <v>0</v>
      </c>
    </row>
    <row r="634" spans="1:15">
      <c r="A634" s="244">
        <v>107</v>
      </c>
      <c r="B634" s="248" t="s">
        <v>940</v>
      </c>
      <c r="C634" s="247" t="s">
        <v>941</v>
      </c>
      <c r="D634" s="244" t="s">
        <v>392</v>
      </c>
      <c r="E634" s="244">
        <v>5000</v>
      </c>
      <c r="F634" s="132">
        <v>1</v>
      </c>
      <c r="G634" s="246">
        <f t="shared" si="18"/>
        <v>5000</v>
      </c>
      <c r="H634" s="246">
        <v>0</v>
      </c>
      <c r="I634" s="246">
        <v>0</v>
      </c>
      <c r="J634" s="246">
        <v>0</v>
      </c>
      <c r="K634" s="246">
        <v>0</v>
      </c>
      <c r="L634" s="246">
        <v>0</v>
      </c>
      <c r="M634" s="246">
        <v>0</v>
      </c>
      <c r="N634" s="246">
        <v>0</v>
      </c>
      <c r="O634" s="246">
        <v>0</v>
      </c>
    </row>
    <row r="635" spans="1:15">
      <c r="A635" s="244">
        <v>108</v>
      </c>
      <c r="B635" s="248" t="s">
        <v>942</v>
      </c>
      <c r="C635" s="247" t="s">
        <v>943</v>
      </c>
      <c r="D635" s="244" t="s">
        <v>392</v>
      </c>
      <c r="E635" s="244">
        <v>5000</v>
      </c>
      <c r="F635" s="132">
        <v>1</v>
      </c>
      <c r="G635" s="246">
        <f t="shared" si="18"/>
        <v>5000</v>
      </c>
      <c r="H635" s="246">
        <v>0</v>
      </c>
      <c r="I635" s="246">
        <v>0</v>
      </c>
      <c r="J635" s="246">
        <v>0</v>
      </c>
      <c r="K635" s="246">
        <v>0</v>
      </c>
      <c r="L635" s="246">
        <v>0</v>
      </c>
      <c r="M635" s="246">
        <v>0</v>
      </c>
      <c r="N635" s="246">
        <v>0</v>
      </c>
      <c r="O635" s="246">
        <v>0</v>
      </c>
    </row>
    <row r="636" spans="1:15">
      <c r="A636" s="244">
        <v>109</v>
      </c>
      <c r="B636" s="244" t="s">
        <v>944</v>
      </c>
      <c r="C636" s="247" t="s">
        <v>945</v>
      </c>
      <c r="D636" s="244" t="s">
        <v>10</v>
      </c>
      <c r="E636" s="244">
        <v>100000</v>
      </c>
      <c r="F636" s="132">
        <v>1</v>
      </c>
      <c r="G636" s="246">
        <f t="shared" si="18"/>
        <v>100000</v>
      </c>
      <c r="H636" s="246">
        <v>0</v>
      </c>
      <c r="I636" s="246">
        <v>0</v>
      </c>
      <c r="J636" s="246">
        <v>0</v>
      </c>
      <c r="K636" s="246">
        <v>0</v>
      </c>
      <c r="L636" s="246">
        <v>0</v>
      </c>
      <c r="M636" s="246">
        <v>0</v>
      </c>
      <c r="N636" s="246">
        <v>0</v>
      </c>
      <c r="O636" s="246">
        <v>0</v>
      </c>
    </row>
    <row r="637" spans="1:15">
      <c r="A637" s="244">
        <v>110</v>
      </c>
      <c r="B637" s="248" t="s">
        <v>255</v>
      </c>
      <c r="C637" s="247" t="s">
        <v>938</v>
      </c>
      <c r="D637" s="244" t="s">
        <v>10</v>
      </c>
      <c r="E637" s="244">
        <v>135000</v>
      </c>
      <c r="F637" s="132">
        <v>1</v>
      </c>
      <c r="G637" s="246">
        <f t="shared" si="18"/>
        <v>135000</v>
      </c>
      <c r="H637" s="246">
        <v>0</v>
      </c>
      <c r="I637" s="246">
        <v>0</v>
      </c>
      <c r="J637" s="246">
        <v>0</v>
      </c>
      <c r="K637" s="246">
        <v>0</v>
      </c>
      <c r="L637" s="246">
        <v>0</v>
      </c>
      <c r="M637" s="246">
        <v>0</v>
      </c>
      <c r="N637" s="246">
        <v>0</v>
      </c>
      <c r="O637" s="246">
        <v>0</v>
      </c>
    </row>
    <row r="638" spans="1:15" ht="28.5">
      <c r="A638" s="244">
        <v>111</v>
      </c>
      <c r="B638" s="244" t="s">
        <v>276</v>
      </c>
      <c r="C638" s="247" t="s">
        <v>939</v>
      </c>
      <c r="D638" s="244" t="s">
        <v>392</v>
      </c>
      <c r="E638" s="244">
        <v>135000</v>
      </c>
      <c r="F638" s="132">
        <v>1</v>
      </c>
      <c r="G638" s="246">
        <f t="shared" si="18"/>
        <v>135000</v>
      </c>
      <c r="H638" s="246">
        <v>0</v>
      </c>
      <c r="I638" s="246">
        <v>0</v>
      </c>
      <c r="J638" s="246">
        <v>0</v>
      </c>
      <c r="K638" s="246">
        <v>0</v>
      </c>
      <c r="L638" s="246">
        <v>0</v>
      </c>
      <c r="M638" s="246">
        <v>0</v>
      </c>
      <c r="N638" s="246">
        <v>0</v>
      </c>
      <c r="O638" s="246">
        <v>0</v>
      </c>
    </row>
    <row r="639" spans="1:15">
      <c r="A639" s="244">
        <v>112</v>
      </c>
      <c r="B639" s="248" t="s">
        <v>940</v>
      </c>
      <c r="C639" s="247" t="s">
        <v>941</v>
      </c>
      <c r="D639" s="244" t="s">
        <v>392</v>
      </c>
      <c r="E639" s="244">
        <v>5000</v>
      </c>
      <c r="F639" s="132">
        <v>1</v>
      </c>
      <c r="G639" s="246">
        <f t="shared" si="18"/>
        <v>5000</v>
      </c>
      <c r="H639" s="246">
        <v>0</v>
      </c>
      <c r="I639" s="246">
        <v>0</v>
      </c>
      <c r="J639" s="246">
        <v>0</v>
      </c>
      <c r="K639" s="246">
        <v>0</v>
      </c>
      <c r="L639" s="246">
        <v>0</v>
      </c>
      <c r="M639" s="246">
        <v>0</v>
      </c>
      <c r="N639" s="246">
        <v>0</v>
      </c>
      <c r="O639" s="246">
        <v>0</v>
      </c>
    </row>
    <row r="640" spans="1:15">
      <c r="A640" s="244">
        <v>113</v>
      </c>
      <c r="B640" s="248" t="s">
        <v>942</v>
      </c>
      <c r="C640" s="247" t="s">
        <v>943</v>
      </c>
      <c r="D640" s="244" t="s">
        <v>392</v>
      </c>
      <c r="E640" s="244">
        <v>5000</v>
      </c>
      <c r="F640" s="132">
        <v>1</v>
      </c>
      <c r="G640" s="246">
        <f t="shared" si="18"/>
        <v>5000</v>
      </c>
      <c r="H640" s="246">
        <v>0</v>
      </c>
      <c r="I640" s="246">
        <v>0</v>
      </c>
      <c r="J640" s="246">
        <v>0</v>
      </c>
      <c r="K640" s="246">
        <v>0</v>
      </c>
      <c r="L640" s="246">
        <v>0</v>
      </c>
      <c r="M640" s="246">
        <v>0</v>
      </c>
      <c r="N640" s="246">
        <v>0</v>
      </c>
      <c r="O640" s="246">
        <v>0</v>
      </c>
    </row>
    <row r="641" spans="1:15">
      <c r="A641" s="244">
        <v>114</v>
      </c>
      <c r="B641" s="244" t="s">
        <v>944</v>
      </c>
      <c r="C641" s="247" t="s">
        <v>945</v>
      </c>
      <c r="D641" s="244" t="s">
        <v>10</v>
      </c>
      <c r="E641" s="244">
        <v>10000</v>
      </c>
      <c r="F641" s="132">
        <v>1</v>
      </c>
      <c r="G641" s="246">
        <f t="shared" si="18"/>
        <v>10000</v>
      </c>
      <c r="H641" s="246">
        <v>0</v>
      </c>
      <c r="I641" s="246">
        <v>0</v>
      </c>
      <c r="J641" s="246">
        <v>0</v>
      </c>
      <c r="K641" s="246">
        <v>0</v>
      </c>
      <c r="L641" s="246">
        <v>0</v>
      </c>
      <c r="M641" s="246">
        <v>0</v>
      </c>
      <c r="N641" s="246">
        <v>0</v>
      </c>
      <c r="O641" s="246">
        <v>0</v>
      </c>
    </row>
    <row r="642" spans="1:15">
      <c r="A642" s="244">
        <v>115</v>
      </c>
      <c r="B642" s="248" t="s">
        <v>301</v>
      </c>
      <c r="C642" s="247" t="s">
        <v>946</v>
      </c>
      <c r="D642" s="244" t="s">
        <v>392</v>
      </c>
      <c r="E642" s="244">
        <v>10000</v>
      </c>
      <c r="F642" s="132">
        <v>1</v>
      </c>
      <c r="G642" s="246">
        <f t="shared" si="18"/>
        <v>10000</v>
      </c>
      <c r="H642" s="246">
        <v>0</v>
      </c>
      <c r="I642" s="246">
        <v>0</v>
      </c>
      <c r="J642" s="246">
        <v>0</v>
      </c>
      <c r="K642" s="246">
        <v>0</v>
      </c>
      <c r="L642" s="246">
        <v>0</v>
      </c>
      <c r="M642" s="246">
        <v>0</v>
      </c>
      <c r="N642" s="246">
        <v>0</v>
      </c>
      <c r="O642" s="246">
        <v>0</v>
      </c>
    </row>
    <row r="643" spans="1:15" ht="28.5">
      <c r="A643" s="244">
        <v>116</v>
      </c>
      <c r="B643" s="244" t="s">
        <v>51</v>
      </c>
      <c r="C643" s="245" t="s">
        <v>947</v>
      </c>
      <c r="D643" s="244" t="s">
        <v>10</v>
      </c>
      <c r="E643" s="244">
        <v>250000</v>
      </c>
      <c r="F643" s="132">
        <v>3</v>
      </c>
      <c r="G643" s="246">
        <v>550000</v>
      </c>
      <c r="H643" s="246">
        <v>0</v>
      </c>
      <c r="I643" s="246">
        <v>0</v>
      </c>
      <c r="J643" s="246">
        <v>0</v>
      </c>
      <c r="K643" s="246">
        <v>0</v>
      </c>
      <c r="L643" s="246">
        <v>0</v>
      </c>
      <c r="M643" s="246">
        <v>0</v>
      </c>
      <c r="N643" s="246">
        <v>0</v>
      </c>
      <c r="O643" s="246">
        <v>0</v>
      </c>
    </row>
    <row r="644" spans="1:15" ht="28.5">
      <c r="A644" s="244">
        <v>117</v>
      </c>
      <c r="B644" s="244"/>
      <c r="C644" s="247" t="s">
        <v>948</v>
      </c>
      <c r="D644" s="244" t="s">
        <v>392</v>
      </c>
      <c r="E644" s="244">
        <v>1000000</v>
      </c>
      <c r="F644" s="132">
        <v>1</v>
      </c>
      <c r="G644" s="246">
        <f t="shared" si="18"/>
        <v>1000000</v>
      </c>
      <c r="H644" s="246">
        <v>0</v>
      </c>
      <c r="I644" s="246">
        <v>0</v>
      </c>
      <c r="J644" s="246">
        <v>0</v>
      </c>
      <c r="K644" s="246">
        <v>0</v>
      </c>
      <c r="L644" s="246">
        <v>0</v>
      </c>
      <c r="M644" s="246">
        <v>0</v>
      </c>
      <c r="N644" s="246">
        <v>0</v>
      </c>
      <c r="O644" s="246">
        <v>0</v>
      </c>
    </row>
    <row r="645" spans="1:15">
      <c r="A645" s="244">
        <v>118</v>
      </c>
      <c r="B645" s="244" t="s">
        <v>949</v>
      </c>
      <c r="C645" s="247" t="s">
        <v>950</v>
      </c>
      <c r="D645" s="244" t="s">
        <v>10</v>
      </c>
      <c r="E645" s="244">
        <v>379650</v>
      </c>
      <c r="F645" s="132">
        <v>1</v>
      </c>
      <c r="G645" s="246">
        <f t="shared" si="18"/>
        <v>379650</v>
      </c>
      <c r="H645" s="246">
        <v>0</v>
      </c>
      <c r="I645" s="246">
        <v>0</v>
      </c>
      <c r="J645" s="246">
        <v>0</v>
      </c>
      <c r="K645" s="246">
        <v>0</v>
      </c>
      <c r="L645" s="246">
        <v>0</v>
      </c>
      <c r="M645" s="246">
        <v>0</v>
      </c>
      <c r="N645" s="246">
        <v>0</v>
      </c>
      <c r="O645" s="246">
        <v>0</v>
      </c>
    </row>
    <row r="646" spans="1:15">
      <c r="A646" s="244">
        <v>119</v>
      </c>
      <c r="B646" s="244"/>
      <c r="C646" s="247" t="s">
        <v>951</v>
      </c>
      <c r="D646" s="244" t="s">
        <v>392</v>
      </c>
      <c r="E646" s="244">
        <v>305527</v>
      </c>
      <c r="F646" s="132">
        <v>1</v>
      </c>
      <c r="G646" s="246">
        <f t="shared" si="18"/>
        <v>305527</v>
      </c>
      <c r="H646" s="246">
        <v>0</v>
      </c>
      <c r="I646" s="246">
        <v>0</v>
      </c>
      <c r="J646" s="246">
        <v>0</v>
      </c>
      <c r="K646" s="246">
        <v>0</v>
      </c>
      <c r="L646" s="246">
        <v>0</v>
      </c>
      <c r="M646" s="246">
        <v>0</v>
      </c>
      <c r="N646" s="246">
        <v>0</v>
      </c>
      <c r="O646" s="246">
        <v>0</v>
      </c>
    </row>
    <row r="647" spans="1:15">
      <c r="A647" s="244">
        <v>120</v>
      </c>
      <c r="B647" s="248" t="s">
        <v>940</v>
      </c>
      <c r="C647" s="245" t="s">
        <v>952</v>
      </c>
      <c r="D647" s="244" t="s">
        <v>392</v>
      </c>
      <c r="E647" s="244">
        <v>5000</v>
      </c>
      <c r="F647" s="132">
        <v>1</v>
      </c>
      <c r="G647" s="246">
        <f t="shared" si="18"/>
        <v>5000</v>
      </c>
      <c r="H647" s="246">
        <v>0</v>
      </c>
      <c r="I647" s="246">
        <v>0</v>
      </c>
      <c r="J647" s="246">
        <v>0</v>
      </c>
      <c r="K647" s="246">
        <v>0</v>
      </c>
      <c r="L647" s="246">
        <v>0</v>
      </c>
      <c r="M647" s="246">
        <v>0</v>
      </c>
      <c r="N647" s="246">
        <v>0</v>
      </c>
      <c r="O647" s="246">
        <v>0</v>
      </c>
    </row>
    <row r="648" spans="1:15">
      <c r="A648" s="244">
        <v>121</v>
      </c>
      <c r="B648" s="248" t="s">
        <v>953</v>
      </c>
      <c r="C648" s="245" t="s">
        <v>954</v>
      </c>
      <c r="D648" s="244" t="s">
        <v>10</v>
      </c>
      <c r="E648" s="244">
        <v>5000</v>
      </c>
      <c r="F648" s="132">
        <v>1</v>
      </c>
      <c r="G648" s="246">
        <f t="shared" si="18"/>
        <v>5000</v>
      </c>
      <c r="H648" s="246">
        <v>0</v>
      </c>
      <c r="I648" s="246">
        <v>0</v>
      </c>
      <c r="J648" s="246">
        <v>0</v>
      </c>
      <c r="K648" s="246">
        <v>0</v>
      </c>
      <c r="L648" s="246">
        <v>0</v>
      </c>
      <c r="M648" s="246">
        <v>0</v>
      </c>
      <c r="N648" s="246">
        <v>0</v>
      </c>
      <c r="O648" s="246">
        <v>0</v>
      </c>
    </row>
    <row r="649" spans="1:15">
      <c r="A649" s="244">
        <v>122</v>
      </c>
      <c r="B649" s="248" t="s">
        <v>955</v>
      </c>
      <c r="C649" s="245" t="s">
        <v>956</v>
      </c>
      <c r="D649" s="244" t="s">
        <v>10</v>
      </c>
      <c r="E649" s="244">
        <v>5000</v>
      </c>
      <c r="F649" s="132">
        <v>1</v>
      </c>
      <c r="G649" s="246">
        <f t="shared" si="18"/>
        <v>5000</v>
      </c>
      <c r="H649" s="246">
        <v>0</v>
      </c>
      <c r="I649" s="246">
        <v>0</v>
      </c>
      <c r="J649" s="246">
        <v>0</v>
      </c>
      <c r="K649" s="246">
        <v>0</v>
      </c>
      <c r="L649" s="246">
        <v>0</v>
      </c>
      <c r="M649" s="246">
        <v>0</v>
      </c>
      <c r="N649" s="246">
        <v>0</v>
      </c>
      <c r="O649" s="246">
        <v>0</v>
      </c>
    </row>
    <row r="650" spans="1:15">
      <c r="A650" s="244">
        <v>123</v>
      </c>
      <c r="B650" s="248" t="s">
        <v>957</v>
      </c>
      <c r="C650" s="247" t="s">
        <v>958</v>
      </c>
      <c r="D650" s="244" t="s">
        <v>10</v>
      </c>
      <c r="E650" s="244">
        <v>10000</v>
      </c>
      <c r="F650" s="132">
        <v>1</v>
      </c>
      <c r="G650" s="246">
        <f t="shared" si="18"/>
        <v>10000</v>
      </c>
      <c r="H650" s="246">
        <v>0</v>
      </c>
      <c r="I650" s="246">
        <v>0</v>
      </c>
      <c r="J650" s="246">
        <v>0</v>
      </c>
      <c r="K650" s="246">
        <v>0</v>
      </c>
      <c r="L650" s="246">
        <v>0</v>
      </c>
      <c r="M650" s="246">
        <v>0</v>
      </c>
      <c r="N650" s="246">
        <v>0</v>
      </c>
      <c r="O650" s="246">
        <v>0</v>
      </c>
    </row>
    <row r="651" spans="1:15" ht="28.5">
      <c r="A651" s="244">
        <v>124</v>
      </c>
      <c r="B651" s="244" t="s">
        <v>959</v>
      </c>
      <c r="C651" s="247" t="s">
        <v>960</v>
      </c>
      <c r="D651" s="244" t="s">
        <v>392</v>
      </c>
      <c r="E651" s="244">
        <v>30000</v>
      </c>
      <c r="F651" s="132">
        <v>1</v>
      </c>
      <c r="G651" s="246">
        <f t="shared" si="18"/>
        <v>30000</v>
      </c>
      <c r="H651" s="246">
        <v>0</v>
      </c>
      <c r="I651" s="246">
        <v>0</v>
      </c>
      <c r="J651" s="246">
        <v>0</v>
      </c>
      <c r="K651" s="246">
        <v>0</v>
      </c>
      <c r="L651" s="246">
        <v>0</v>
      </c>
      <c r="M651" s="246">
        <v>0</v>
      </c>
      <c r="N651" s="246">
        <v>0</v>
      </c>
      <c r="O651" s="246">
        <v>0</v>
      </c>
    </row>
    <row r="652" spans="1:15">
      <c r="A652" s="244">
        <v>125</v>
      </c>
      <c r="B652" s="244"/>
      <c r="C652" s="247" t="s">
        <v>961</v>
      </c>
      <c r="D652" s="244" t="s">
        <v>10</v>
      </c>
      <c r="E652" s="244">
        <v>30000</v>
      </c>
      <c r="F652" s="132">
        <v>1</v>
      </c>
      <c r="G652" s="246">
        <f t="shared" si="18"/>
        <v>30000</v>
      </c>
      <c r="H652" s="246">
        <v>0</v>
      </c>
      <c r="I652" s="246">
        <v>0</v>
      </c>
      <c r="J652" s="246">
        <v>0</v>
      </c>
      <c r="K652" s="246">
        <v>0</v>
      </c>
      <c r="L652" s="246">
        <v>0</v>
      </c>
      <c r="M652" s="246">
        <v>0</v>
      </c>
      <c r="N652" s="246">
        <v>0</v>
      </c>
      <c r="O652" s="246">
        <v>0</v>
      </c>
    </row>
    <row r="653" spans="1:15">
      <c r="A653" s="244">
        <v>126</v>
      </c>
      <c r="B653" s="244"/>
      <c r="C653" s="247" t="s">
        <v>962</v>
      </c>
      <c r="D653" s="244" t="s">
        <v>10</v>
      </c>
      <c r="E653" s="244">
        <v>30000</v>
      </c>
      <c r="F653" s="132">
        <v>1</v>
      </c>
      <c r="G653" s="246">
        <f t="shared" si="18"/>
        <v>30000</v>
      </c>
      <c r="H653" s="246">
        <v>0</v>
      </c>
      <c r="I653" s="246">
        <v>0</v>
      </c>
      <c r="J653" s="246">
        <v>0</v>
      </c>
      <c r="K653" s="246">
        <v>0</v>
      </c>
      <c r="L653" s="246">
        <v>0</v>
      </c>
      <c r="M653" s="246">
        <v>0</v>
      </c>
      <c r="N653" s="246">
        <v>0</v>
      </c>
      <c r="O653" s="246">
        <v>0</v>
      </c>
    </row>
    <row r="654" spans="1:15">
      <c r="A654" s="244">
        <v>127</v>
      </c>
      <c r="B654" s="248" t="s">
        <v>963</v>
      </c>
      <c r="C654" s="247" t="s">
        <v>964</v>
      </c>
      <c r="D654" s="244" t="s">
        <v>392</v>
      </c>
      <c r="E654" s="244">
        <v>5000</v>
      </c>
      <c r="F654" s="132">
        <v>1</v>
      </c>
      <c r="G654" s="246">
        <f t="shared" si="18"/>
        <v>5000</v>
      </c>
      <c r="H654" s="246">
        <v>0</v>
      </c>
      <c r="I654" s="246">
        <v>0</v>
      </c>
      <c r="J654" s="246">
        <v>0</v>
      </c>
      <c r="K654" s="246">
        <v>0</v>
      </c>
      <c r="L654" s="246">
        <v>0</v>
      </c>
      <c r="M654" s="246">
        <v>0</v>
      </c>
      <c r="N654" s="246">
        <v>0</v>
      </c>
      <c r="O654" s="246">
        <v>0</v>
      </c>
    </row>
    <row r="655" spans="1:15">
      <c r="A655" s="244">
        <v>128</v>
      </c>
      <c r="B655" s="248" t="s">
        <v>965</v>
      </c>
      <c r="C655" s="247" t="s">
        <v>966</v>
      </c>
      <c r="D655" s="244" t="s">
        <v>392</v>
      </c>
      <c r="E655" s="244">
        <v>10000</v>
      </c>
      <c r="F655" s="132">
        <v>1</v>
      </c>
      <c r="G655" s="246">
        <f t="shared" si="18"/>
        <v>10000</v>
      </c>
      <c r="H655" s="246">
        <v>0</v>
      </c>
      <c r="I655" s="246">
        <v>0</v>
      </c>
      <c r="J655" s="246">
        <v>0</v>
      </c>
      <c r="K655" s="246">
        <v>0</v>
      </c>
      <c r="L655" s="246">
        <v>0</v>
      </c>
      <c r="M655" s="246">
        <v>0</v>
      </c>
      <c r="N655" s="246">
        <v>0</v>
      </c>
      <c r="O655" s="246">
        <v>0</v>
      </c>
    </row>
    <row r="656" spans="1:15">
      <c r="A656" s="244">
        <v>129</v>
      </c>
      <c r="B656" s="248" t="s">
        <v>967</v>
      </c>
      <c r="C656" s="247" t="s">
        <v>968</v>
      </c>
      <c r="D656" s="244" t="s">
        <v>10</v>
      </c>
      <c r="E656" s="244">
        <v>5000</v>
      </c>
      <c r="F656" s="132">
        <v>1</v>
      </c>
      <c r="G656" s="246">
        <f t="shared" si="18"/>
        <v>5000</v>
      </c>
      <c r="H656" s="246">
        <v>0</v>
      </c>
      <c r="I656" s="246">
        <v>0</v>
      </c>
      <c r="J656" s="246">
        <v>0</v>
      </c>
      <c r="K656" s="246">
        <v>0</v>
      </c>
      <c r="L656" s="246">
        <v>0</v>
      </c>
      <c r="M656" s="246">
        <v>0</v>
      </c>
      <c r="N656" s="246">
        <v>0</v>
      </c>
      <c r="O656" s="246">
        <v>0</v>
      </c>
    </row>
    <row r="657" spans="1:15">
      <c r="A657" s="244">
        <v>130</v>
      </c>
      <c r="B657" s="244"/>
      <c r="C657" s="247" t="s">
        <v>969</v>
      </c>
      <c r="D657" s="244" t="s">
        <v>392</v>
      </c>
      <c r="E657" s="244">
        <v>20000</v>
      </c>
      <c r="F657" s="132">
        <v>1</v>
      </c>
      <c r="G657" s="246">
        <f t="shared" ref="G657:G720" si="19">E657*F657</f>
        <v>20000</v>
      </c>
      <c r="H657" s="246">
        <v>0</v>
      </c>
      <c r="I657" s="246">
        <v>0</v>
      </c>
      <c r="J657" s="246">
        <v>0</v>
      </c>
      <c r="K657" s="246">
        <v>0</v>
      </c>
      <c r="L657" s="246">
        <v>0</v>
      </c>
      <c r="M657" s="246">
        <v>0</v>
      </c>
      <c r="N657" s="246">
        <v>0</v>
      </c>
      <c r="O657" s="246">
        <v>0</v>
      </c>
    </row>
    <row r="658" spans="1:15">
      <c r="A658" s="244">
        <v>131</v>
      </c>
      <c r="B658" s="244"/>
      <c r="C658" s="247" t="s">
        <v>970</v>
      </c>
      <c r="D658" s="244" t="s">
        <v>392</v>
      </c>
      <c r="E658" s="244">
        <v>20000</v>
      </c>
      <c r="F658" s="132">
        <v>1</v>
      </c>
      <c r="G658" s="246">
        <f t="shared" si="19"/>
        <v>20000</v>
      </c>
      <c r="H658" s="246">
        <v>0</v>
      </c>
      <c r="I658" s="246">
        <v>0</v>
      </c>
      <c r="J658" s="246">
        <v>0</v>
      </c>
      <c r="K658" s="246">
        <v>0</v>
      </c>
      <c r="L658" s="246">
        <v>0</v>
      </c>
      <c r="M658" s="246">
        <v>0</v>
      </c>
      <c r="N658" s="246">
        <v>0</v>
      </c>
      <c r="O658" s="246">
        <v>0</v>
      </c>
    </row>
    <row r="659" spans="1:15">
      <c r="A659" s="244">
        <v>132</v>
      </c>
      <c r="B659" s="248" t="s">
        <v>971</v>
      </c>
      <c r="C659" s="247" t="s">
        <v>972</v>
      </c>
      <c r="D659" s="244" t="s">
        <v>392</v>
      </c>
      <c r="E659" s="244">
        <v>5000</v>
      </c>
      <c r="F659" s="132">
        <v>1</v>
      </c>
      <c r="G659" s="246">
        <f t="shared" si="19"/>
        <v>5000</v>
      </c>
      <c r="H659" s="246">
        <v>0</v>
      </c>
      <c r="I659" s="246">
        <v>0</v>
      </c>
      <c r="J659" s="246">
        <v>0</v>
      </c>
      <c r="K659" s="246">
        <v>0</v>
      </c>
      <c r="L659" s="246">
        <v>0</v>
      </c>
      <c r="M659" s="246">
        <v>0</v>
      </c>
      <c r="N659" s="246">
        <v>0</v>
      </c>
      <c r="O659" s="246">
        <v>0</v>
      </c>
    </row>
    <row r="660" spans="1:15" ht="28.5">
      <c r="A660" s="244">
        <v>133</v>
      </c>
      <c r="B660" s="244"/>
      <c r="C660" s="247" t="s">
        <v>973</v>
      </c>
      <c r="D660" s="244" t="s">
        <v>392</v>
      </c>
      <c r="E660" s="244">
        <v>100691.67</v>
      </c>
      <c r="F660" s="132">
        <v>3</v>
      </c>
      <c r="G660" s="246">
        <f t="shared" si="19"/>
        <v>302075.01</v>
      </c>
      <c r="H660" s="246">
        <v>0</v>
      </c>
      <c r="I660" s="246">
        <v>0</v>
      </c>
      <c r="J660" s="246">
        <v>0</v>
      </c>
      <c r="K660" s="246">
        <v>0</v>
      </c>
      <c r="L660" s="246">
        <v>0</v>
      </c>
      <c r="M660" s="246">
        <v>0</v>
      </c>
      <c r="N660" s="246">
        <v>0</v>
      </c>
      <c r="O660" s="246">
        <v>0</v>
      </c>
    </row>
    <row r="661" spans="1:15" ht="28.5">
      <c r="A661" s="244">
        <v>134</v>
      </c>
      <c r="B661" s="244"/>
      <c r="C661" s="247" t="s">
        <v>974</v>
      </c>
      <c r="D661" s="244" t="s">
        <v>10</v>
      </c>
      <c r="E661" s="244">
        <v>1055823.6599999999</v>
      </c>
      <c r="F661" s="132">
        <v>3</v>
      </c>
      <c r="G661" s="246">
        <f t="shared" si="19"/>
        <v>3167470.9799999995</v>
      </c>
      <c r="H661" s="246">
        <v>0</v>
      </c>
      <c r="I661" s="246">
        <v>0</v>
      </c>
      <c r="J661" s="246">
        <v>0</v>
      </c>
      <c r="K661" s="246">
        <v>0</v>
      </c>
      <c r="L661" s="246">
        <v>0</v>
      </c>
      <c r="M661" s="246">
        <v>0</v>
      </c>
      <c r="N661" s="246">
        <v>0</v>
      </c>
      <c r="O661" s="246">
        <v>0</v>
      </c>
    </row>
    <row r="662" spans="1:15">
      <c r="A662" s="244">
        <v>135</v>
      </c>
      <c r="B662" s="244" t="s">
        <v>343</v>
      </c>
      <c r="C662" s="247" t="s">
        <v>975</v>
      </c>
      <c r="D662" s="244" t="s">
        <v>976</v>
      </c>
      <c r="E662" s="244">
        <v>264088.3</v>
      </c>
      <c r="F662" s="132">
        <v>1</v>
      </c>
      <c r="G662" s="246">
        <f t="shared" si="19"/>
        <v>264088.3</v>
      </c>
      <c r="H662" s="246">
        <v>0</v>
      </c>
      <c r="I662" s="246">
        <v>0</v>
      </c>
      <c r="J662" s="246">
        <v>0</v>
      </c>
      <c r="K662" s="246">
        <v>0</v>
      </c>
      <c r="L662" s="246">
        <v>0</v>
      </c>
      <c r="M662" s="246">
        <v>0</v>
      </c>
      <c r="N662" s="246">
        <v>0</v>
      </c>
      <c r="O662" s="246">
        <v>0</v>
      </c>
    </row>
    <row r="663" spans="1:15">
      <c r="A663" s="244">
        <v>136</v>
      </c>
      <c r="B663" s="244" t="s">
        <v>977</v>
      </c>
      <c r="C663" s="247" t="s">
        <v>978</v>
      </c>
      <c r="D663" s="244" t="s">
        <v>10</v>
      </c>
      <c r="E663" s="244">
        <v>5000.1000000000004</v>
      </c>
      <c r="F663" s="132">
        <v>1</v>
      </c>
      <c r="G663" s="246">
        <f t="shared" si="19"/>
        <v>5000.1000000000004</v>
      </c>
      <c r="H663" s="246">
        <v>0</v>
      </c>
      <c r="I663" s="246">
        <v>0</v>
      </c>
      <c r="J663" s="246">
        <v>0</v>
      </c>
      <c r="K663" s="246">
        <v>0</v>
      </c>
      <c r="L663" s="246">
        <v>0</v>
      </c>
      <c r="M663" s="246">
        <v>0</v>
      </c>
      <c r="N663" s="246">
        <v>0</v>
      </c>
      <c r="O663" s="246">
        <v>0</v>
      </c>
    </row>
    <row r="664" spans="1:15">
      <c r="A664" s="244">
        <v>137</v>
      </c>
      <c r="B664" s="244" t="s">
        <v>321</v>
      </c>
      <c r="C664" s="247" t="s">
        <v>979</v>
      </c>
      <c r="D664" s="244" t="s">
        <v>23</v>
      </c>
      <c r="E664" s="244">
        <v>50000</v>
      </c>
      <c r="F664" s="132">
        <v>3</v>
      </c>
      <c r="G664" s="246">
        <f t="shared" si="19"/>
        <v>150000</v>
      </c>
      <c r="H664" s="246">
        <v>0</v>
      </c>
      <c r="I664" s="246">
        <v>0</v>
      </c>
      <c r="J664" s="246">
        <v>0</v>
      </c>
      <c r="K664" s="246">
        <v>0</v>
      </c>
      <c r="L664" s="246">
        <v>0</v>
      </c>
      <c r="M664" s="246">
        <v>0</v>
      </c>
      <c r="N664" s="246">
        <v>0</v>
      </c>
      <c r="O664" s="246">
        <v>0</v>
      </c>
    </row>
    <row r="665" spans="1:15">
      <c r="A665" s="244">
        <v>138</v>
      </c>
      <c r="B665" s="244" t="s">
        <v>980</v>
      </c>
      <c r="C665" s="247" t="s">
        <v>981</v>
      </c>
      <c r="D665" s="244" t="s">
        <v>10</v>
      </c>
      <c r="E665" s="244">
        <v>50.33</v>
      </c>
      <c r="F665" s="132">
        <v>9</v>
      </c>
      <c r="G665" s="246">
        <f t="shared" si="19"/>
        <v>452.96999999999997</v>
      </c>
      <c r="H665" s="246">
        <v>0</v>
      </c>
      <c r="I665" s="246">
        <v>0</v>
      </c>
      <c r="J665" s="246">
        <v>0</v>
      </c>
      <c r="K665" s="246">
        <v>0</v>
      </c>
      <c r="L665" s="246">
        <v>0</v>
      </c>
      <c r="M665" s="246">
        <v>0</v>
      </c>
      <c r="N665" s="246">
        <v>0</v>
      </c>
      <c r="O665" s="246">
        <v>0</v>
      </c>
    </row>
    <row r="666" spans="1:15">
      <c r="A666" s="244">
        <v>139</v>
      </c>
      <c r="B666" s="244" t="s">
        <v>142</v>
      </c>
      <c r="C666" s="247" t="s">
        <v>982</v>
      </c>
      <c r="D666" s="244" t="s">
        <v>10</v>
      </c>
      <c r="E666" s="244">
        <v>1500</v>
      </c>
      <c r="F666" s="132">
        <v>3</v>
      </c>
      <c r="G666" s="246">
        <f t="shared" si="19"/>
        <v>4500</v>
      </c>
      <c r="H666" s="246">
        <v>0</v>
      </c>
      <c r="I666" s="246">
        <v>0</v>
      </c>
      <c r="J666" s="246">
        <v>0</v>
      </c>
      <c r="K666" s="246">
        <v>0</v>
      </c>
      <c r="L666" s="246">
        <v>0</v>
      </c>
      <c r="M666" s="246">
        <v>0</v>
      </c>
      <c r="N666" s="246">
        <v>0</v>
      </c>
      <c r="O666" s="246">
        <v>0</v>
      </c>
    </row>
    <row r="667" spans="1:15">
      <c r="A667" s="244">
        <v>140</v>
      </c>
      <c r="B667" s="244" t="s">
        <v>983</v>
      </c>
      <c r="C667" s="247" t="s">
        <v>984</v>
      </c>
      <c r="D667" s="244" t="s">
        <v>10</v>
      </c>
      <c r="E667" s="244">
        <v>1500</v>
      </c>
      <c r="F667" s="132">
        <v>3</v>
      </c>
      <c r="G667" s="246">
        <f t="shared" si="19"/>
        <v>4500</v>
      </c>
      <c r="H667" s="246">
        <v>0</v>
      </c>
      <c r="I667" s="246">
        <v>0</v>
      </c>
      <c r="J667" s="246">
        <v>0</v>
      </c>
      <c r="K667" s="246">
        <v>0</v>
      </c>
      <c r="L667" s="246">
        <v>0</v>
      </c>
      <c r="M667" s="246">
        <v>0</v>
      </c>
      <c r="N667" s="246">
        <v>0</v>
      </c>
      <c r="O667" s="246">
        <v>0</v>
      </c>
    </row>
    <row r="668" spans="1:15" ht="42.75">
      <c r="A668" s="244">
        <v>141</v>
      </c>
      <c r="B668" s="244" t="s">
        <v>985</v>
      </c>
      <c r="C668" s="247" t="s">
        <v>986</v>
      </c>
      <c r="D668" s="244" t="s">
        <v>10</v>
      </c>
      <c r="E668" s="244">
        <v>42347.839999999997</v>
      </c>
      <c r="F668" s="132">
        <v>1</v>
      </c>
      <c r="G668" s="246">
        <f t="shared" si="19"/>
        <v>42347.839999999997</v>
      </c>
      <c r="H668" s="246">
        <v>0</v>
      </c>
      <c r="I668" s="246">
        <v>0</v>
      </c>
      <c r="J668" s="246">
        <v>0</v>
      </c>
      <c r="K668" s="246">
        <v>0</v>
      </c>
      <c r="L668" s="246">
        <v>0</v>
      </c>
      <c r="M668" s="246">
        <v>0</v>
      </c>
      <c r="N668" s="246">
        <v>0</v>
      </c>
      <c r="O668" s="246">
        <v>0</v>
      </c>
    </row>
    <row r="669" spans="1:15" ht="42.75">
      <c r="A669" s="244">
        <v>142</v>
      </c>
      <c r="B669" s="244" t="s">
        <v>987</v>
      </c>
      <c r="C669" s="247" t="s">
        <v>988</v>
      </c>
      <c r="D669" s="244" t="s">
        <v>10</v>
      </c>
      <c r="E669" s="244">
        <v>42347.839999999997</v>
      </c>
      <c r="F669" s="132">
        <v>1</v>
      </c>
      <c r="G669" s="246">
        <f t="shared" si="19"/>
        <v>42347.839999999997</v>
      </c>
      <c r="H669" s="246">
        <v>0</v>
      </c>
      <c r="I669" s="246">
        <v>0</v>
      </c>
      <c r="J669" s="246">
        <v>0</v>
      </c>
      <c r="K669" s="246">
        <v>0</v>
      </c>
      <c r="L669" s="246">
        <v>0</v>
      </c>
      <c r="M669" s="246">
        <v>0</v>
      </c>
      <c r="N669" s="246">
        <v>0</v>
      </c>
      <c r="O669" s="246">
        <v>0</v>
      </c>
    </row>
    <row r="670" spans="1:15" ht="42.75">
      <c r="A670" s="244">
        <v>143</v>
      </c>
      <c r="B670" s="244" t="s">
        <v>989</v>
      </c>
      <c r="C670" s="247" t="s">
        <v>990</v>
      </c>
      <c r="D670" s="244" t="s">
        <v>10</v>
      </c>
      <c r="E670" s="244">
        <v>42347.839999999997</v>
      </c>
      <c r="F670" s="132">
        <v>1</v>
      </c>
      <c r="G670" s="246">
        <f t="shared" si="19"/>
        <v>42347.839999999997</v>
      </c>
      <c r="H670" s="246">
        <v>0</v>
      </c>
      <c r="I670" s="246">
        <v>0</v>
      </c>
      <c r="J670" s="246">
        <v>0</v>
      </c>
      <c r="K670" s="246">
        <v>0</v>
      </c>
      <c r="L670" s="246">
        <v>0</v>
      </c>
      <c r="M670" s="246">
        <v>0</v>
      </c>
      <c r="N670" s="246">
        <v>0</v>
      </c>
      <c r="O670" s="246">
        <v>0</v>
      </c>
    </row>
    <row r="671" spans="1:15" ht="28.5">
      <c r="A671" s="244">
        <v>144</v>
      </c>
      <c r="B671" s="244"/>
      <c r="C671" s="247" t="s">
        <v>991</v>
      </c>
      <c r="D671" s="244" t="s">
        <v>10</v>
      </c>
      <c r="E671" s="244">
        <v>21173.919999999998</v>
      </c>
      <c r="F671" s="132">
        <v>1</v>
      </c>
      <c r="G671" s="246">
        <f t="shared" si="19"/>
        <v>21173.919999999998</v>
      </c>
      <c r="H671" s="246">
        <v>0</v>
      </c>
      <c r="I671" s="246">
        <v>0</v>
      </c>
      <c r="J671" s="246">
        <v>0</v>
      </c>
      <c r="K671" s="246">
        <v>0</v>
      </c>
      <c r="L671" s="246">
        <v>0</v>
      </c>
      <c r="M671" s="246">
        <v>0</v>
      </c>
      <c r="N671" s="246">
        <v>0</v>
      </c>
      <c r="O671" s="246">
        <v>0</v>
      </c>
    </row>
    <row r="672" spans="1:15" ht="28.5">
      <c r="A672" s="244">
        <v>145</v>
      </c>
      <c r="B672" s="244"/>
      <c r="C672" s="247" t="s">
        <v>992</v>
      </c>
      <c r="D672" s="244" t="s">
        <v>10</v>
      </c>
      <c r="E672" s="244">
        <v>63521.760000000002</v>
      </c>
      <c r="F672" s="132">
        <v>1</v>
      </c>
      <c r="G672" s="246">
        <f t="shared" si="19"/>
        <v>63521.760000000002</v>
      </c>
      <c r="H672" s="246">
        <v>0</v>
      </c>
      <c r="I672" s="246">
        <v>0</v>
      </c>
      <c r="J672" s="246">
        <v>0</v>
      </c>
      <c r="K672" s="246">
        <v>0</v>
      </c>
      <c r="L672" s="246">
        <v>0</v>
      </c>
      <c r="M672" s="246">
        <v>0</v>
      </c>
      <c r="N672" s="246">
        <v>0</v>
      </c>
      <c r="O672" s="246">
        <v>0</v>
      </c>
    </row>
    <row r="673" spans="1:15" ht="57">
      <c r="A673" s="244">
        <v>146</v>
      </c>
      <c r="B673" s="244"/>
      <c r="C673" s="247" t="s">
        <v>993</v>
      </c>
      <c r="D673" s="244" t="s">
        <v>10</v>
      </c>
      <c r="E673" s="244">
        <v>31760.880000000001</v>
      </c>
      <c r="F673" s="132">
        <v>1</v>
      </c>
      <c r="G673" s="246">
        <f t="shared" si="19"/>
        <v>31760.880000000001</v>
      </c>
      <c r="H673" s="246">
        <v>0</v>
      </c>
      <c r="I673" s="246">
        <v>0</v>
      </c>
      <c r="J673" s="246">
        <v>0</v>
      </c>
      <c r="K673" s="246">
        <v>0</v>
      </c>
      <c r="L673" s="246">
        <v>0</v>
      </c>
      <c r="M673" s="246">
        <v>0</v>
      </c>
      <c r="N673" s="246">
        <v>0</v>
      </c>
      <c r="O673" s="246">
        <v>0</v>
      </c>
    </row>
    <row r="674" spans="1:15" ht="42.75">
      <c r="A674" s="244">
        <v>147</v>
      </c>
      <c r="B674" s="244" t="s">
        <v>994</v>
      </c>
      <c r="C674" s="247" t="s">
        <v>995</v>
      </c>
      <c r="D674" s="244" t="s">
        <v>10</v>
      </c>
      <c r="E674" s="244">
        <v>5293.48</v>
      </c>
      <c r="F674" s="132">
        <v>1</v>
      </c>
      <c r="G674" s="246">
        <f t="shared" si="19"/>
        <v>5293.48</v>
      </c>
      <c r="H674" s="246">
        <v>0</v>
      </c>
      <c r="I674" s="246">
        <v>0</v>
      </c>
      <c r="J674" s="246">
        <v>0</v>
      </c>
      <c r="K674" s="246">
        <v>0</v>
      </c>
      <c r="L674" s="246">
        <v>0</v>
      </c>
      <c r="M674" s="246">
        <v>0</v>
      </c>
      <c r="N674" s="246">
        <v>0</v>
      </c>
      <c r="O674" s="246">
        <v>0</v>
      </c>
    </row>
    <row r="675" spans="1:15" ht="42.75">
      <c r="A675" s="244">
        <v>148</v>
      </c>
      <c r="B675" s="248" t="s">
        <v>996</v>
      </c>
      <c r="C675" s="247" t="s">
        <v>997</v>
      </c>
      <c r="D675" s="244" t="s">
        <v>10</v>
      </c>
      <c r="E675" s="244">
        <v>5293.48</v>
      </c>
      <c r="F675" s="132">
        <v>1</v>
      </c>
      <c r="G675" s="246">
        <f t="shared" si="19"/>
        <v>5293.48</v>
      </c>
      <c r="H675" s="246">
        <v>0</v>
      </c>
      <c r="I675" s="246">
        <v>0</v>
      </c>
      <c r="J675" s="246">
        <v>0</v>
      </c>
      <c r="K675" s="246">
        <v>0</v>
      </c>
      <c r="L675" s="246">
        <v>0</v>
      </c>
      <c r="M675" s="246">
        <v>0</v>
      </c>
      <c r="N675" s="246">
        <v>0</v>
      </c>
      <c r="O675" s="246">
        <v>0</v>
      </c>
    </row>
    <row r="676" spans="1:15" ht="28.5">
      <c r="A676" s="244">
        <v>149</v>
      </c>
      <c r="B676" s="244"/>
      <c r="C676" s="247" t="s">
        <v>998</v>
      </c>
      <c r="D676" s="244" t="s">
        <v>10</v>
      </c>
      <c r="E676" s="244">
        <v>5293.48</v>
      </c>
      <c r="F676" s="132">
        <v>1</v>
      </c>
      <c r="G676" s="246">
        <f t="shared" si="19"/>
        <v>5293.48</v>
      </c>
      <c r="H676" s="246">
        <v>0</v>
      </c>
      <c r="I676" s="246">
        <v>0</v>
      </c>
      <c r="J676" s="246">
        <v>0</v>
      </c>
      <c r="K676" s="246">
        <v>0</v>
      </c>
      <c r="L676" s="246">
        <v>0</v>
      </c>
      <c r="M676" s="246">
        <v>0</v>
      </c>
      <c r="N676" s="246">
        <v>0</v>
      </c>
      <c r="O676" s="246">
        <v>0</v>
      </c>
    </row>
    <row r="677" spans="1:15" ht="42.75">
      <c r="A677" s="244">
        <v>150</v>
      </c>
      <c r="B677" s="248" t="s">
        <v>996</v>
      </c>
      <c r="C677" s="247" t="s">
        <v>999</v>
      </c>
      <c r="D677" s="244" t="s">
        <v>10</v>
      </c>
      <c r="E677" s="244">
        <v>5293.48</v>
      </c>
      <c r="F677" s="132">
        <v>1</v>
      </c>
      <c r="G677" s="246">
        <f t="shared" si="19"/>
        <v>5293.48</v>
      </c>
      <c r="H677" s="246">
        <v>0</v>
      </c>
      <c r="I677" s="246">
        <v>0</v>
      </c>
      <c r="J677" s="246">
        <v>0</v>
      </c>
      <c r="K677" s="246">
        <v>0</v>
      </c>
      <c r="L677" s="246">
        <v>0</v>
      </c>
      <c r="M677" s="246">
        <v>0</v>
      </c>
      <c r="N677" s="246">
        <v>0</v>
      </c>
      <c r="O677" s="246">
        <v>0</v>
      </c>
    </row>
    <row r="678" spans="1:15" ht="42.75">
      <c r="A678" s="244">
        <v>151</v>
      </c>
      <c r="B678" s="248" t="s">
        <v>996</v>
      </c>
      <c r="C678" s="247" t="s">
        <v>1000</v>
      </c>
      <c r="D678" s="244" t="s">
        <v>10</v>
      </c>
      <c r="E678" s="244">
        <v>5293.48</v>
      </c>
      <c r="F678" s="132">
        <v>1</v>
      </c>
      <c r="G678" s="246">
        <f t="shared" si="19"/>
        <v>5293.48</v>
      </c>
      <c r="H678" s="246">
        <v>0</v>
      </c>
      <c r="I678" s="246">
        <v>0</v>
      </c>
      <c r="J678" s="246">
        <v>0</v>
      </c>
      <c r="K678" s="246">
        <v>0</v>
      </c>
      <c r="L678" s="246">
        <v>0</v>
      </c>
      <c r="M678" s="246">
        <v>0</v>
      </c>
      <c r="N678" s="246">
        <v>0</v>
      </c>
      <c r="O678" s="246">
        <v>0</v>
      </c>
    </row>
    <row r="679" spans="1:15">
      <c r="A679" s="244">
        <v>152</v>
      </c>
      <c r="B679" s="244"/>
      <c r="C679" s="247" t="s">
        <v>1001</v>
      </c>
      <c r="D679" s="244" t="s">
        <v>10</v>
      </c>
      <c r="E679" s="244">
        <v>12704.35</v>
      </c>
      <c r="F679" s="132">
        <v>1</v>
      </c>
      <c r="G679" s="246">
        <f t="shared" si="19"/>
        <v>12704.35</v>
      </c>
      <c r="H679" s="246">
        <v>0</v>
      </c>
      <c r="I679" s="246">
        <v>0</v>
      </c>
      <c r="J679" s="246">
        <v>0</v>
      </c>
      <c r="K679" s="246">
        <v>0</v>
      </c>
      <c r="L679" s="246">
        <v>0</v>
      </c>
      <c r="M679" s="246">
        <v>0</v>
      </c>
      <c r="N679" s="246">
        <v>0</v>
      </c>
      <c r="O679" s="246">
        <v>0</v>
      </c>
    </row>
    <row r="680" spans="1:15">
      <c r="A680" s="244">
        <v>153</v>
      </c>
      <c r="B680" s="244"/>
      <c r="C680" s="247" t="s">
        <v>1002</v>
      </c>
      <c r="D680" s="244" t="s">
        <v>10</v>
      </c>
      <c r="E680" s="244">
        <v>12704.35</v>
      </c>
      <c r="F680" s="132">
        <v>1</v>
      </c>
      <c r="G680" s="246">
        <f t="shared" si="19"/>
        <v>12704.35</v>
      </c>
      <c r="H680" s="246">
        <v>0</v>
      </c>
      <c r="I680" s="246">
        <v>0</v>
      </c>
      <c r="J680" s="246">
        <v>0</v>
      </c>
      <c r="K680" s="246">
        <v>0</v>
      </c>
      <c r="L680" s="246">
        <v>0</v>
      </c>
      <c r="M680" s="246">
        <v>0</v>
      </c>
      <c r="N680" s="246">
        <v>0</v>
      </c>
      <c r="O680" s="246">
        <v>0</v>
      </c>
    </row>
    <row r="681" spans="1:15" ht="28.5">
      <c r="A681" s="244">
        <v>154</v>
      </c>
      <c r="B681" s="244"/>
      <c r="C681" s="247" t="s">
        <v>1003</v>
      </c>
      <c r="D681" s="244" t="s">
        <v>10</v>
      </c>
      <c r="E681" s="244">
        <v>12704.35</v>
      </c>
      <c r="F681" s="132">
        <v>1</v>
      </c>
      <c r="G681" s="246">
        <f t="shared" si="19"/>
        <v>12704.35</v>
      </c>
      <c r="H681" s="246">
        <v>0</v>
      </c>
      <c r="I681" s="246">
        <v>0</v>
      </c>
      <c r="J681" s="246">
        <v>0</v>
      </c>
      <c r="K681" s="246">
        <v>0</v>
      </c>
      <c r="L681" s="246">
        <v>0</v>
      </c>
      <c r="M681" s="246">
        <v>0</v>
      </c>
      <c r="N681" s="246">
        <v>0</v>
      </c>
      <c r="O681" s="246">
        <v>0</v>
      </c>
    </row>
    <row r="682" spans="1:15" ht="28.5">
      <c r="A682" s="244">
        <v>155</v>
      </c>
      <c r="B682" s="244"/>
      <c r="C682" s="247" t="s">
        <v>1004</v>
      </c>
      <c r="D682" s="244" t="s">
        <v>10</v>
      </c>
      <c r="E682" s="244">
        <v>12704.35</v>
      </c>
      <c r="F682" s="132">
        <v>1</v>
      </c>
      <c r="G682" s="246">
        <f t="shared" si="19"/>
        <v>12704.35</v>
      </c>
      <c r="H682" s="246">
        <v>0</v>
      </c>
      <c r="I682" s="246">
        <v>0</v>
      </c>
      <c r="J682" s="246">
        <v>0</v>
      </c>
      <c r="K682" s="246">
        <v>0</v>
      </c>
      <c r="L682" s="246">
        <v>0</v>
      </c>
      <c r="M682" s="246">
        <v>0</v>
      </c>
      <c r="N682" s="246">
        <v>0</v>
      </c>
      <c r="O682" s="246">
        <v>0</v>
      </c>
    </row>
    <row r="683" spans="1:15">
      <c r="A683" s="244">
        <v>156</v>
      </c>
      <c r="B683" s="244"/>
      <c r="C683" s="247" t="s">
        <v>1005</v>
      </c>
      <c r="D683" s="244" t="s">
        <v>10</v>
      </c>
      <c r="E683" s="244">
        <v>12704.35</v>
      </c>
      <c r="F683" s="132">
        <v>1</v>
      </c>
      <c r="G683" s="246">
        <f t="shared" si="19"/>
        <v>12704.35</v>
      </c>
      <c r="H683" s="246">
        <v>0</v>
      </c>
      <c r="I683" s="246">
        <v>0</v>
      </c>
      <c r="J683" s="246">
        <v>0</v>
      </c>
      <c r="K683" s="246">
        <v>0</v>
      </c>
      <c r="L683" s="246">
        <v>0</v>
      </c>
      <c r="M683" s="246">
        <v>0</v>
      </c>
      <c r="N683" s="246">
        <v>0</v>
      </c>
      <c r="O683" s="246">
        <v>0</v>
      </c>
    </row>
    <row r="684" spans="1:15" ht="28.5">
      <c r="A684" s="244">
        <v>157</v>
      </c>
      <c r="B684" s="244"/>
      <c r="C684" s="247" t="s">
        <v>1006</v>
      </c>
      <c r="D684" s="244" t="s">
        <v>10</v>
      </c>
      <c r="E684" s="244">
        <v>21173.919999999998</v>
      </c>
      <c r="F684" s="132">
        <v>1</v>
      </c>
      <c r="G684" s="246">
        <f t="shared" si="19"/>
        <v>21173.919999999998</v>
      </c>
      <c r="H684" s="246">
        <v>0</v>
      </c>
      <c r="I684" s="246">
        <v>0</v>
      </c>
      <c r="J684" s="246">
        <v>0</v>
      </c>
      <c r="K684" s="246">
        <v>0</v>
      </c>
      <c r="L684" s="246">
        <v>0</v>
      </c>
      <c r="M684" s="246">
        <v>0</v>
      </c>
      <c r="N684" s="246">
        <v>0</v>
      </c>
      <c r="O684" s="246">
        <v>0</v>
      </c>
    </row>
    <row r="685" spans="1:15">
      <c r="A685" s="244">
        <v>158</v>
      </c>
      <c r="B685" s="244" t="s">
        <v>1007</v>
      </c>
      <c r="C685" s="247" t="s">
        <v>1008</v>
      </c>
      <c r="D685" s="244" t="s">
        <v>10</v>
      </c>
      <c r="E685" s="244">
        <v>5293.48</v>
      </c>
      <c r="F685" s="132">
        <v>1</v>
      </c>
      <c r="G685" s="246">
        <f t="shared" si="19"/>
        <v>5293.48</v>
      </c>
      <c r="H685" s="246">
        <v>0</v>
      </c>
      <c r="I685" s="246">
        <v>0</v>
      </c>
      <c r="J685" s="246">
        <v>0</v>
      </c>
      <c r="K685" s="246">
        <v>0</v>
      </c>
      <c r="L685" s="246">
        <v>0</v>
      </c>
      <c r="M685" s="246">
        <v>0</v>
      </c>
      <c r="N685" s="246">
        <v>0</v>
      </c>
      <c r="O685" s="246">
        <v>0</v>
      </c>
    </row>
    <row r="686" spans="1:15" ht="28.5">
      <c r="A686" s="244">
        <v>159</v>
      </c>
      <c r="B686" s="244" t="s">
        <v>1009</v>
      </c>
      <c r="C686" s="247" t="s">
        <v>1010</v>
      </c>
      <c r="D686" s="244" t="s">
        <v>10</v>
      </c>
      <c r="E686" s="244">
        <v>5293.48</v>
      </c>
      <c r="F686" s="132">
        <v>1</v>
      </c>
      <c r="G686" s="246">
        <f t="shared" si="19"/>
        <v>5293.48</v>
      </c>
      <c r="H686" s="246">
        <v>0</v>
      </c>
      <c r="I686" s="246">
        <v>0</v>
      </c>
      <c r="J686" s="246">
        <v>0</v>
      </c>
      <c r="K686" s="246">
        <v>0</v>
      </c>
      <c r="L686" s="246">
        <v>0</v>
      </c>
      <c r="M686" s="246">
        <v>0</v>
      </c>
      <c r="N686" s="246">
        <v>0</v>
      </c>
      <c r="O686" s="246">
        <v>0</v>
      </c>
    </row>
    <row r="687" spans="1:15" ht="28.5">
      <c r="A687" s="244">
        <v>160</v>
      </c>
      <c r="B687" s="244"/>
      <c r="C687" s="247" t="s">
        <v>1011</v>
      </c>
      <c r="D687" s="244" t="s">
        <v>10</v>
      </c>
      <c r="E687" s="244">
        <v>5293.48</v>
      </c>
      <c r="F687" s="132">
        <v>1</v>
      </c>
      <c r="G687" s="246">
        <f t="shared" si="19"/>
        <v>5293.48</v>
      </c>
      <c r="H687" s="246">
        <v>0</v>
      </c>
      <c r="I687" s="246">
        <v>0</v>
      </c>
      <c r="J687" s="246">
        <v>0</v>
      </c>
      <c r="K687" s="246">
        <v>0</v>
      </c>
      <c r="L687" s="246">
        <v>0</v>
      </c>
      <c r="M687" s="246">
        <v>0</v>
      </c>
      <c r="N687" s="246">
        <v>0</v>
      </c>
      <c r="O687" s="246">
        <v>0</v>
      </c>
    </row>
    <row r="688" spans="1:15" ht="28.5">
      <c r="A688" s="244">
        <v>161</v>
      </c>
      <c r="B688" s="244" t="s">
        <v>1012</v>
      </c>
      <c r="C688" s="247" t="s">
        <v>1013</v>
      </c>
      <c r="D688" s="244" t="s">
        <v>10</v>
      </c>
      <c r="E688" s="244">
        <v>5293.48</v>
      </c>
      <c r="F688" s="132">
        <v>1</v>
      </c>
      <c r="G688" s="246">
        <f t="shared" si="19"/>
        <v>5293.48</v>
      </c>
      <c r="H688" s="246">
        <v>0</v>
      </c>
      <c r="I688" s="246">
        <v>0</v>
      </c>
      <c r="J688" s="246">
        <v>0</v>
      </c>
      <c r="K688" s="246">
        <v>0</v>
      </c>
      <c r="L688" s="246">
        <v>0</v>
      </c>
      <c r="M688" s="246">
        <v>0</v>
      </c>
      <c r="N688" s="246">
        <v>0</v>
      </c>
      <c r="O688" s="246">
        <v>0</v>
      </c>
    </row>
    <row r="689" spans="1:15" ht="28.5">
      <c r="A689" s="244">
        <v>162</v>
      </c>
      <c r="B689" s="244"/>
      <c r="C689" s="247" t="s">
        <v>1014</v>
      </c>
      <c r="D689" s="244" t="s">
        <v>10</v>
      </c>
      <c r="E689" s="244">
        <v>21173.919999999998</v>
      </c>
      <c r="F689" s="132">
        <v>1</v>
      </c>
      <c r="G689" s="246">
        <f t="shared" si="19"/>
        <v>21173.919999999998</v>
      </c>
      <c r="H689" s="246">
        <v>0</v>
      </c>
      <c r="I689" s="246">
        <v>0</v>
      </c>
      <c r="J689" s="246">
        <v>0</v>
      </c>
      <c r="K689" s="246">
        <v>0</v>
      </c>
      <c r="L689" s="246">
        <v>0</v>
      </c>
      <c r="M689" s="246">
        <v>0</v>
      </c>
      <c r="N689" s="246">
        <v>0</v>
      </c>
      <c r="O689" s="246">
        <v>0</v>
      </c>
    </row>
    <row r="690" spans="1:15" ht="28.5">
      <c r="A690" s="244">
        <v>163</v>
      </c>
      <c r="B690" s="244" t="s">
        <v>1015</v>
      </c>
      <c r="C690" s="247" t="s">
        <v>1016</v>
      </c>
      <c r="D690" s="244" t="s">
        <v>10</v>
      </c>
      <c r="E690" s="244">
        <v>5293.48</v>
      </c>
      <c r="F690" s="132">
        <v>1</v>
      </c>
      <c r="G690" s="246">
        <f t="shared" si="19"/>
        <v>5293.48</v>
      </c>
      <c r="H690" s="246">
        <v>0</v>
      </c>
      <c r="I690" s="246">
        <v>0</v>
      </c>
      <c r="J690" s="246">
        <v>0</v>
      </c>
      <c r="K690" s="246">
        <v>0</v>
      </c>
      <c r="L690" s="246">
        <v>0</v>
      </c>
      <c r="M690" s="246">
        <v>0</v>
      </c>
      <c r="N690" s="246">
        <v>0</v>
      </c>
      <c r="O690" s="246">
        <v>0</v>
      </c>
    </row>
    <row r="691" spans="1:15">
      <c r="A691" s="244">
        <v>164</v>
      </c>
      <c r="B691" s="244" t="s">
        <v>1017</v>
      </c>
      <c r="C691" s="247" t="s">
        <v>1018</v>
      </c>
      <c r="D691" s="244" t="s">
        <v>10</v>
      </c>
      <c r="E691" s="244">
        <v>5293.48</v>
      </c>
      <c r="F691" s="132">
        <v>1</v>
      </c>
      <c r="G691" s="246">
        <f t="shared" si="19"/>
        <v>5293.48</v>
      </c>
      <c r="H691" s="246">
        <v>0</v>
      </c>
      <c r="I691" s="246">
        <v>0</v>
      </c>
      <c r="J691" s="246">
        <v>0</v>
      </c>
      <c r="K691" s="246">
        <v>0</v>
      </c>
      <c r="L691" s="246">
        <v>0</v>
      </c>
      <c r="M691" s="246">
        <v>0</v>
      </c>
      <c r="N691" s="246">
        <v>0</v>
      </c>
      <c r="O691" s="246">
        <v>0</v>
      </c>
    </row>
    <row r="692" spans="1:15">
      <c r="A692" s="244">
        <v>165</v>
      </c>
      <c r="B692" s="244" t="s">
        <v>1019</v>
      </c>
      <c r="C692" s="247" t="s">
        <v>1020</v>
      </c>
      <c r="D692" s="244" t="s">
        <v>10</v>
      </c>
      <c r="E692" s="244">
        <v>5293.48</v>
      </c>
      <c r="F692" s="132">
        <v>1</v>
      </c>
      <c r="G692" s="246">
        <f t="shared" si="19"/>
        <v>5293.48</v>
      </c>
      <c r="H692" s="246">
        <v>0</v>
      </c>
      <c r="I692" s="246">
        <v>0</v>
      </c>
      <c r="J692" s="246">
        <v>0</v>
      </c>
      <c r="K692" s="246">
        <v>0</v>
      </c>
      <c r="L692" s="246">
        <v>0</v>
      </c>
      <c r="M692" s="246">
        <v>0</v>
      </c>
      <c r="N692" s="246">
        <v>0</v>
      </c>
      <c r="O692" s="246">
        <v>0</v>
      </c>
    </row>
    <row r="693" spans="1:15" ht="28.5">
      <c r="A693" s="244">
        <v>166</v>
      </c>
      <c r="B693" s="244"/>
      <c r="C693" s="247" t="s">
        <v>1021</v>
      </c>
      <c r="D693" s="244" t="s">
        <v>10</v>
      </c>
      <c r="E693" s="244">
        <v>4234.8</v>
      </c>
      <c r="F693" s="132">
        <v>1</v>
      </c>
      <c r="G693" s="246">
        <f t="shared" si="19"/>
        <v>4234.8</v>
      </c>
      <c r="H693" s="246">
        <v>0</v>
      </c>
      <c r="I693" s="246">
        <v>0</v>
      </c>
      <c r="J693" s="246">
        <v>0</v>
      </c>
      <c r="K693" s="246">
        <v>0</v>
      </c>
      <c r="L693" s="246">
        <v>0</v>
      </c>
      <c r="M693" s="246">
        <v>0</v>
      </c>
      <c r="N693" s="246">
        <v>0</v>
      </c>
      <c r="O693" s="246">
        <v>0</v>
      </c>
    </row>
    <row r="694" spans="1:15">
      <c r="A694" s="244">
        <v>167</v>
      </c>
      <c r="B694" s="244" t="s">
        <v>1022</v>
      </c>
      <c r="C694" s="247" t="s">
        <v>1023</v>
      </c>
      <c r="D694" s="244" t="s">
        <v>10</v>
      </c>
      <c r="E694" s="244">
        <v>529.35</v>
      </c>
      <c r="F694" s="132">
        <v>1</v>
      </c>
      <c r="G694" s="246">
        <f t="shared" si="19"/>
        <v>529.35</v>
      </c>
      <c r="H694" s="246">
        <v>0</v>
      </c>
      <c r="I694" s="246">
        <v>0</v>
      </c>
      <c r="J694" s="246">
        <v>0</v>
      </c>
      <c r="K694" s="246">
        <v>0</v>
      </c>
      <c r="L694" s="246">
        <v>0</v>
      </c>
      <c r="M694" s="246">
        <v>0</v>
      </c>
      <c r="N694" s="246">
        <v>0</v>
      </c>
      <c r="O694" s="246">
        <v>0</v>
      </c>
    </row>
    <row r="695" spans="1:15">
      <c r="A695" s="244">
        <v>168</v>
      </c>
      <c r="B695" s="244" t="s">
        <v>1024</v>
      </c>
      <c r="C695" s="247" t="s">
        <v>1025</v>
      </c>
      <c r="D695" s="244" t="s">
        <v>10</v>
      </c>
      <c r="E695" s="244">
        <v>529.35</v>
      </c>
      <c r="F695" s="132">
        <v>1</v>
      </c>
      <c r="G695" s="246">
        <f t="shared" si="19"/>
        <v>529.35</v>
      </c>
      <c r="H695" s="246">
        <v>0</v>
      </c>
      <c r="I695" s="246">
        <v>0</v>
      </c>
      <c r="J695" s="246">
        <v>0</v>
      </c>
      <c r="K695" s="246">
        <v>0</v>
      </c>
      <c r="L695" s="246">
        <v>0</v>
      </c>
      <c r="M695" s="246">
        <v>0</v>
      </c>
      <c r="N695" s="246">
        <v>0</v>
      </c>
      <c r="O695" s="246">
        <v>0</v>
      </c>
    </row>
    <row r="696" spans="1:15">
      <c r="A696" s="244">
        <v>169</v>
      </c>
      <c r="B696" s="244"/>
      <c r="C696" s="247" t="s">
        <v>1026</v>
      </c>
      <c r="D696" s="244" t="s">
        <v>10</v>
      </c>
      <c r="E696" s="244">
        <v>952.83</v>
      </c>
      <c r="F696" s="132">
        <v>1</v>
      </c>
      <c r="G696" s="246">
        <f t="shared" si="19"/>
        <v>952.83</v>
      </c>
      <c r="H696" s="246">
        <v>0</v>
      </c>
      <c r="I696" s="246">
        <v>0</v>
      </c>
      <c r="J696" s="246">
        <v>0</v>
      </c>
      <c r="K696" s="246">
        <v>0</v>
      </c>
      <c r="L696" s="246">
        <v>0</v>
      </c>
      <c r="M696" s="246">
        <v>0</v>
      </c>
      <c r="N696" s="246">
        <v>0</v>
      </c>
      <c r="O696" s="246">
        <v>0</v>
      </c>
    </row>
    <row r="697" spans="1:15">
      <c r="A697" s="244">
        <v>170</v>
      </c>
      <c r="B697" s="244"/>
      <c r="C697" s="247" t="s">
        <v>1027</v>
      </c>
      <c r="D697" s="244" t="s">
        <v>10</v>
      </c>
      <c r="E697" s="244">
        <v>952.83</v>
      </c>
      <c r="F697" s="132">
        <v>1</v>
      </c>
      <c r="G697" s="246">
        <f t="shared" si="19"/>
        <v>952.83</v>
      </c>
      <c r="H697" s="246">
        <v>0</v>
      </c>
      <c r="I697" s="246">
        <v>0</v>
      </c>
      <c r="J697" s="246">
        <v>0</v>
      </c>
      <c r="K697" s="246">
        <v>0</v>
      </c>
      <c r="L697" s="246">
        <v>0</v>
      </c>
      <c r="M697" s="246">
        <v>0</v>
      </c>
      <c r="N697" s="246">
        <v>0</v>
      </c>
      <c r="O697" s="246">
        <v>0</v>
      </c>
    </row>
    <row r="698" spans="1:15">
      <c r="A698" s="244">
        <v>171</v>
      </c>
      <c r="B698" s="248" t="s">
        <v>1028</v>
      </c>
      <c r="C698" s="247" t="s">
        <v>1029</v>
      </c>
      <c r="D698" s="244" t="s">
        <v>10</v>
      </c>
      <c r="E698" s="244">
        <v>952.83</v>
      </c>
      <c r="F698" s="132">
        <v>1</v>
      </c>
      <c r="G698" s="246">
        <f t="shared" si="19"/>
        <v>952.83</v>
      </c>
      <c r="H698" s="246">
        <v>0</v>
      </c>
      <c r="I698" s="246">
        <v>0</v>
      </c>
      <c r="J698" s="246">
        <v>0</v>
      </c>
      <c r="K698" s="246">
        <v>0</v>
      </c>
      <c r="L698" s="246">
        <v>0</v>
      </c>
      <c r="M698" s="246">
        <v>0</v>
      </c>
      <c r="N698" s="246">
        <v>0</v>
      </c>
      <c r="O698" s="246">
        <v>0</v>
      </c>
    </row>
    <row r="699" spans="1:15">
      <c r="A699" s="244">
        <v>172</v>
      </c>
      <c r="B699" s="248" t="s">
        <v>909</v>
      </c>
      <c r="C699" s="247" t="s">
        <v>1030</v>
      </c>
      <c r="D699" s="244" t="s">
        <v>10</v>
      </c>
      <c r="E699" s="244">
        <v>952.83</v>
      </c>
      <c r="F699" s="132">
        <v>1</v>
      </c>
      <c r="G699" s="246">
        <f t="shared" si="19"/>
        <v>952.83</v>
      </c>
      <c r="H699" s="246">
        <v>0</v>
      </c>
      <c r="I699" s="246">
        <v>0</v>
      </c>
      <c r="J699" s="246">
        <v>0</v>
      </c>
      <c r="K699" s="246">
        <v>0</v>
      </c>
      <c r="L699" s="246">
        <v>0</v>
      </c>
      <c r="M699" s="246">
        <v>0</v>
      </c>
      <c r="N699" s="246">
        <v>0</v>
      </c>
      <c r="O699" s="246">
        <v>0</v>
      </c>
    </row>
    <row r="700" spans="1:15">
      <c r="A700" s="244">
        <v>173</v>
      </c>
      <c r="B700" s="244"/>
      <c r="C700" s="247" t="s">
        <v>1031</v>
      </c>
      <c r="D700" s="244" t="s">
        <v>10</v>
      </c>
      <c r="E700" s="244">
        <v>1058.7</v>
      </c>
      <c r="F700" s="132">
        <v>1</v>
      </c>
      <c r="G700" s="246">
        <f t="shared" si="19"/>
        <v>1058.7</v>
      </c>
      <c r="H700" s="246">
        <v>0</v>
      </c>
      <c r="I700" s="246">
        <v>0</v>
      </c>
      <c r="J700" s="246">
        <v>0</v>
      </c>
      <c r="K700" s="246">
        <v>0</v>
      </c>
      <c r="L700" s="246">
        <v>0</v>
      </c>
      <c r="M700" s="246">
        <v>0</v>
      </c>
      <c r="N700" s="246">
        <v>0</v>
      </c>
      <c r="O700" s="246">
        <v>0</v>
      </c>
    </row>
    <row r="701" spans="1:15">
      <c r="A701" s="244">
        <v>174</v>
      </c>
      <c r="B701" s="244" t="s">
        <v>1032</v>
      </c>
      <c r="C701" s="245" t="s">
        <v>1033</v>
      </c>
      <c r="D701" s="244" t="s">
        <v>10</v>
      </c>
      <c r="E701" s="244">
        <v>5293.48</v>
      </c>
      <c r="F701" s="132">
        <v>1</v>
      </c>
      <c r="G701" s="246">
        <f t="shared" si="19"/>
        <v>5293.48</v>
      </c>
      <c r="H701" s="246">
        <v>0</v>
      </c>
      <c r="I701" s="246">
        <v>0</v>
      </c>
      <c r="J701" s="246">
        <v>0</v>
      </c>
      <c r="K701" s="246">
        <v>0</v>
      </c>
      <c r="L701" s="246">
        <v>0</v>
      </c>
      <c r="M701" s="246">
        <v>0</v>
      </c>
      <c r="N701" s="246">
        <v>0</v>
      </c>
      <c r="O701" s="246">
        <v>0</v>
      </c>
    </row>
    <row r="702" spans="1:15">
      <c r="A702" s="244">
        <v>175</v>
      </c>
      <c r="B702" s="244" t="s">
        <v>1034</v>
      </c>
      <c r="C702" s="247" t="s">
        <v>1035</v>
      </c>
      <c r="D702" s="244" t="s">
        <v>10</v>
      </c>
      <c r="E702" s="244">
        <v>5293.48</v>
      </c>
      <c r="F702" s="132">
        <v>1</v>
      </c>
      <c r="G702" s="246">
        <f t="shared" si="19"/>
        <v>5293.48</v>
      </c>
      <c r="H702" s="246">
        <v>0</v>
      </c>
      <c r="I702" s="246">
        <v>0</v>
      </c>
      <c r="J702" s="246">
        <v>0</v>
      </c>
      <c r="K702" s="246">
        <v>0</v>
      </c>
      <c r="L702" s="246">
        <v>0</v>
      </c>
      <c r="M702" s="246">
        <v>0</v>
      </c>
      <c r="N702" s="246">
        <v>0</v>
      </c>
      <c r="O702" s="246">
        <v>0</v>
      </c>
    </row>
    <row r="703" spans="1:15">
      <c r="A703" s="244">
        <v>176</v>
      </c>
      <c r="B703" s="244"/>
      <c r="C703" s="247" t="s">
        <v>1036</v>
      </c>
      <c r="D703" s="244" t="s">
        <v>10</v>
      </c>
      <c r="E703" s="244">
        <v>5293.48</v>
      </c>
      <c r="F703" s="132">
        <v>1</v>
      </c>
      <c r="G703" s="246">
        <f t="shared" si="19"/>
        <v>5293.48</v>
      </c>
      <c r="H703" s="246">
        <v>0</v>
      </c>
      <c r="I703" s="246">
        <v>0</v>
      </c>
      <c r="J703" s="246">
        <v>0</v>
      </c>
      <c r="K703" s="246">
        <v>0</v>
      </c>
      <c r="L703" s="246">
        <v>0</v>
      </c>
      <c r="M703" s="246">
        <v>0</v>
      </c>
      <c r="N703" s="246">
        <v>0</v>
      </c>
      <c r="O703" s="246">
        <v>0</v>
      </c>
    </row>
    <row r="704" spans="1:15">
      <c r="A704" s="244">
        <v>177</v>
      </c>
      <c r="B704" s="244" t="s">
        <v>1037</v>
      </c>
      <c r="C704" s="247" t="s">
        <v>1038</v>
      </c>
      <c r="D704" s="244" t="s">
        <v>10</v>
      </c>
      <c r="E704" s="244">
        <v>5293.48</v>
      </c>
      <c r="F704" s="132">
        <v>1</v>
      </c>
      <c r="G704" s="246">
        <f t="shared" si="19"/>
        <v>5293.48</v>
      </c>
      <c r="H704" s="246">
        <v>0</v>
      </c>
      <c r="I704" s="246">
        <v>0</v>
      </c>
      <c r="J704" s="246">
        <v>0</v>
      </c>
      <c r="K704" s="246">
        <v>0</v>
      </c>
      <c r="L704" s="246">
        <v>0</v>
      </c>
      <c r="M704" s="246">
        <v>0</v>
      </c>
      <c r="N704" s="246">
        <v>0</v>
      </c>
      <c r="O704" s="246">
        <v>0</v>
      </c>
    </row>
    <row r="705" spans="1:15">
      <c r="A705" s="244">
        <v>178</v>
      </c>
      <c r="B705" s="244"/>
      <c r="C705" s="247" t="s">
        <v>1039</v>
      </c>
      <c r="D705" s="244" t="s">
        <v>10</v>
      </c>
      <c r="E705" s="244">
        <v>5293.48</v>
      </c>
      <c r="F705" s="132">
        <v>1</v>
      </c>
      <c r="G705" s="246">
        <f t="shared" si="19"/>
        <v>5293.48</v>
      </c>
      <c r="H705" s="246">
        <v>0</v>
      </c>
      <c r="I705" s="246">
        <v>0</v>
      </c>
      <c r="J705" s="246">
        <v>0</v>
      </c>
      <c r="K705" s="246">
        <v>0</v>
      </c>
      <c r="L705" s="246">
        <v>0</v>
      </c>
      <c r="M705" s="246">
        <v>0</v>
      </c>
      <c r="N705" s="246">
        <v>0</v>
      </c>
      <c r="O705" s="246">
        <v>0</v>
      </c>
    </row>
    <row r="706" spans="1:15">
      <c r="A706" s="244">
        <v>179</v>
      </c>
      <c r="B706" s="244"/>
      <c r="C706" s="247" t="s">
        <v>1040</v>
      </c>
      <c r="D706" s="244" t="s">
        <v>10</v>
      </c>
      <c r="E706" s="244">
        <v>5293.48</v>
      </c>
      <c r="F706" s="132">
        <v>1</v>
      </c>
      <c r="G706" s="246">
        <f t="shared" si="19"/>
        <v>5293.48</v>
      </c>
      <c r="H706" s="246">
        <v>0</v>
      </c>
      <c r="I706" s="246">
        <v>0</v>
      </c>
      <c r="J706" s="246">
        <v>0</v>
      </c>
      <c r="K706" s="246">
        <v>0</v>
      </c>
      <c r="L706" s="246">
        <v>0</v>
      </c>
      <c r="M706" s="246">
        <v>0</v>
      </c>
      <c r="N706" s="246">
        <v>0</v>
      </c>
      <c r="O706" s="246">
        <v>0</v>
      </c>
    </row>
    <row r="707" spans="1:15">
      <c r="A707" s="244">
        <v>180</v>
      </c>
      <c r="B707" s="244"/>
      <c r="C707" s="247" t="s">
        <v>1041</v>
      </c>
      <c r="D707" s="244" t="s">
        <v>10</v>
      </c>
      <c r="E707" s="244">
        <v>42347.839999999997</v>
      </c>
      <c r="F707" s="132">
        <v>1</v>
      </c>
      <c r="G707" s="246">
        <f t="shared" si="19"/>
        <v>42347.839999999997</v>
      </c>
      <c r="H707" s="246">
        <v>0</v>
      </c>
      <c r="I707" s="246">
        <v>0</v>
      </c>
      <c r="J707" s="246">
        <v>0</v>
      </c>
      <c r="K707" s="246">
        <v>0</v>
      </c>
      <c r="L707" s="246">
        <v>0</v>
      </c>
      <c r="M707" s="246">
        <v>0</v>
      </c>
      <c r="N707" s="246">
        <v>0</v>
      </c>
      <c r="O707" s="246">
        <v>0</v>
      </c>
    </row>
    <row r="708" spans="1:15">
      <c r="A708" s="244">
        <v>181</v>
      </c>
      <c r="B708" s="244" t="s">
        <v>204</v>
      </c>
      <c r="C708" s="245" t="s">
        <v>1042</v>
      </c>
      <c r="D708" s="244" t="s">
        <v>10</v>
      </c>
      <c r="E708" s="244">
        <v>5293.5</v>
      </c>
      <c r="F708" s="132">
        <v>1</v>
      </c>
      <c r="G708" s="246">
        <f t="shared" si="19"/>
        <v>5293.5</v>
      </c>
      <c r="H708" s="246">
        <v>0</v>
      </c>
      <c r="I708" s="246">
        <v>0</v>
      </c>
      <c r="J708" s="246">
        <v>0</v>
      </c>
      <c r="K708" s="246">
        <v>0</v>
      </c>
      <c r="L708" s="246">
        <v>0</v>
      </c>
      <c r="M708" s="246">
        <v>0</v>
      </c>
      <c r="N708" s="246">
        <v>0</v>
      </c>
      <c r="O708" s="246">
        <v>0</v>
      </c>
    </row>
    <row r="709" spans="1:15">
      <c r="A709" s="244">
        <v>182</v>
      </c>
      <c r="B709" s="244" t="s">
        <v>202</v>
      </c>
      <c r="C709" s="245" t="s">
        <v>1043</v>
      </c>
      <c r="D709" s="244" t="s">
        <v>10</v>
      </c>
      <c r="E709" s="244">
        <v>5293.5</v>
      </c>
      <c r="F709" s="132">
        <v>1</v>
      </c>
      <c r="G709" s="246">
        <f t="shared" si="19"/>
        <v>5293.5</v>
      </c>
      <c r="H709" s="246">
        <v>0</v>
      </c>
      <c r="I709" s="246">
        <v>0</v>
      </c>
      <c r="J709" s="246">
        <v>0</v>
      </c>
      <c r="K709" s="246">
        <v>0</v>
      </c>
      <c r="L709" s="246">
        <v>0</v>
      </c>
      <c r="M709" s="246">
        <v>0</v>
      </c>
      <c r="N709" s="246">
        <v>0</v>
      </c>
      <c r="O709" s="246">
        <v>0</v>
      </c>
    </row>
    <row r="710" spans="1:15">
      <c r="A710" s="244">
        <v>183</v>
      </c>
      <c r="B710" s="244" t="s">
        <v>1044</v>
      </c>
      <c r="C710" s="247" t="s">
        <v>1045</v>
      </c>
      <c r="D710" s="244" t="s">
        <v>1046</v>
      </c>
      <c r="E710" s="244">
        <v>5293.5</v>
      </c>
      <c r="F710" s="132">
        <v>1</v>
      </c>
      <c r="G710" s="246">
        <f t="shared" si="19"/>
        <v>5293.5</v>
      </c>
      <c r="H710" s="246">
        <v>0</v>
      </c>
      <c r="I710" s="246">
        <v>0</v>
      </c>
      <c r="J710" s="246">
        <v>0</v>
      </c>
      <c r="K710" s="246">
        <v>0</v>
      </c>
      <c r="L710" s="246">
        <v>0</v>
      </c>
      <c r="M710" s="246">
        <v>0</v>
      </c>
      <c r="N710" s="246">
        <v>0</v>
      </c>
      <c r="O710" s="246">
        <v>0</v>
      </c>
    </row>
    <row r="711" spans="1:15">
      <c r="A711" s="244">
        <v>184</v>
      </c>
      <c r="B711" s="244"/>
      <c r="C711" s="247" t="s">
        <v>1047</v>
      </c>
      <c r="D711" s="244" t="s">
        <v>10</v>
      </c>
      <c r="E711" s="244">
        <v>5293.5</v>
      </c>
      <c r="F711" s="132">
        <v>5</v>
      </c>
      <c r="G711" s="246">
        <f t="shared" si="19"/>
        <v>26467.5</v>
      </c>
      <c r="H711" s="246">
        <v>0</v>
      </c>
      <c r="I711" s="246">
        <v>0</v>
      </c>
      <c r="J711" s="246">
        <v>0</v>
      </c>
      <c r="K711" s="246">
        <v>0</v>
      </c>
      <c r="L711" s="246">
        <v>0</v>
      </c>
      <c r="M711" s="246">
        <v>0</v>
      </c>
      <c r="N711" s="246">
        <v>0</v>
      </c>
      <c r="O711" s="246">
        <v>0</v>
      </c>
    </row>
    <row r="712" spans="1:15">
      <c r="A712" s="244">
        <v>185</v>
      </c>
      <c r="B712" s="244"/>
      <c r="C712" s="247" t="s">
        <v>1048</v>
      </c>
      <c r="D712" s="244" t="s">
        <v>10</v>
      </c>
      <c r="E712" s="244">
        <v>5293.5</v>
      </c>
      <c r="F712" s="132">
        <v>5</v>
      </c>
      <c r="G712" s="246">
        <f t="shared" si="19"/>
        <v>26467.5</v>
      </c>
      <c r="H712" s="246">
        <v>0</v>
      </c>
      <c r="I712" s="246">
        <v>0</v>
      </c>
      <c r="J712" s="246">
        <v>0</v>
      </c>
      <c r="K712" s="246">
        <v>0</v>
      </c>
      <c r="L712" s="246">
        <v>0</v>
      </c>
      <c r="M712" s="246">
        <v>0</v>
      </c>
      <c r="N712" s="246">
        <v>0</v>
      </c>
      <c r="O712" s="246">
        <v>0</v>
      </c>
    </row>
    <row r="713" spans="1:15" ht="42.75">
      <c r="A713" s="244">
        <v>186</v>
      </c>
      <c r="B713" s="244"/>
      <c r="C713" s="247" t="s">
        <v>1049</v>
      </c>
      <c r="D713" s="244" t="s">
        <v>23</v>
      </c>
      <c r="E713" s="244">
        <v>267955.95</v>
      </c>
      <c r="F713" s="132">
        <v>1</v>
      </c>
      <c r="G713" s="246">
        <f t="shared" si="19"/>
        <v>267955.95</v>
      </c>
      <c r="H713" s="246">
        <v>0</v>
      </c>
      <c r="I713" s="246">
        <v>0</v>
      </c>
      <c r="J713" s="246">
        <v>0</v>
      </c>
      <c r="K713" s="246">
        <v>0</v>
      </c>
      <c r="L713" s="246">
        <v>0</v>
      </c>
      <c r="M713" s="246">
        <v>0</v>
      </c>
      <c r="N713" s="246">
        <v>0</v>
      </c>
      <c r="O713" s="246">
        <v>0</v>
      </c>
    </row>
    <row r="714" spans="1:15">
      <c r="A714" s="244">
        <v>187</v>
      </c>
      <c r="B714" s="244" t="s">
        <v>1050</v>
      </c>
      <c r="C714" s="247" t="s">
        <v>952</v>
      </c>
      <c r="D714" s="244" t="s">
        <v>23</v>
      </c>
      <c r="E714" s="244">
        <v>1058.69</v>
      </c>
      <c r="F714" s="132">
        <v>1</v>
      </c>
      <c r="G714" s="246">
        <f t="shared" si="19"/>
        <v>1058.69</v>
      </c>
      <c r="H714" s="246">
        <v>0</v>
      </c>
      <c r="I714" s="246">
        <v>0</v>
      </c>
      <c r="J714" s="246">
        <v>0</v>
      </c>
      <c r="K714" s="246">
        <v>0</v>
      </c>
      <c r="L714" s="246">
        <v>0</v>
      </c>
      <c r="M714" s="246">
        <v>0</v>
      </c>
      <c r="N714" s="246">
        <v>0</v>
      </c>
      <c r="O714" s="246">
        <v>0</v>
      </c>
    </row>
    <row r="715" spans="1:15">
      <c r="A715" s="244">
        <v>188</v>
      </c>
      <c r="B715" s="244" t="s">
        <v>1051</v>
      </c>
      <c r="C715" s="247" t="s">
        <v>954</v>
      </c>
      <c r="D715" s="244" t="s">
        <v>10</v>
      </c>
      <c r="E715" s="244">
        <v>5293.48</v>
      </c>
      <c r="F715" s="132">
        <v>3</v>
      </c>
      <c r="G715" s="246">
        <f t="shared" si="19"/>
        <v>15880.439999999999</v>
      </c>
      <c r="H715" s="246">
        <v>0</v>
      </c>
      <c r="I715" s="246">
        <v>0</v>
      </c>
      <c r="J715" s="246">
        <v>0</v>
      </c>
      <c r="K715" s="246">
        <v>0</v>
      </c>
      <c r="L715" s="246">
        <v>0</v>
      </c>
      <c r="M715" s="246">
        <v>0</v>
      </c>
      <c r="N715" s="246">
        <v>0</v>
      </c>
      <c r="O715" s="246">
        <v>0</v>
      </c>
    </row>
    <row r="716" spans="1:15">
      <c r="A716" s="244">
        <v>189</v>
      </c>
      <c r="B716" s="244" t="s">
        <v>1052</v>
      </c>
      <c r="C716" s="247" t="s">
        <v>956</v>
      </c>
      <c r="D716" s="244" t="s">
        <v>10</v>
      </c>
      <c r="E716" s="244">
        <v>5293.48</v>
      </c>
      <c r="F716" s="132">
        <v>3</v>
      </c>
      <c r="G716" s="246">
        <f t="shared" si="19"/>
        <v>15880.439999999999</v>
      </c>
      <c r="H716" s="246">
        <v>0</v>
      </c>
      <c r="I716" s="246">
        <v>0</v>
      </c>
      <c r="J716" s="246">
        <v>0</v>
      </c>
      <c r="K716" s="246">
        <v>0</v>
      </c>
      <c r="L716" s="246">
        <v>0</v>
      </c>
      <c r="M716" s="246">
        <v>0</v>
      </c>
      <c r="N716" s="246">
        <v>0</v>
      </c>
      <c r="O716" s="246">
        <v>0</v>
      </c>
    </row>
    <row r="717" spans="1:15">
      <c r="A717" s="244">
        <v>190</v>
      </c>
      <c r="B717" s="244"/>
      <c r="C717" s="247" t="s">
        <v>1053</v>
      </c>
      <c r="D717" s="244" t="s">
        <v>23</v>
      </c>
      <c r="E717" s="244">
        <v>1058.69</v>
      </c>
      <c r="F717" s="132">
        <v>3</v>
      </c>
      <c r="G717" s="246">
        <f t="shared" si="19"/>
        <v>3176.07</v>
      </c>
      <c r="H717" s="246">
        <v>0</v>
      </c>
      <c r="I717" s="246">
        <v>0</v>
      </c>
      <c r="J717" s="246">
        <v>0</v>
      </c>
      <c r="K717" s="246">
        <v>0</v>
      </c>
      <c r="L717" s="246">
        <v>0</v>
      </c>
      <c r="M717" s="246">
        <v>0</v>
      </c>
      <c r="N717" s="246">
        <v>0</v>
      </c>
      <c r="O717" s="246">
        <v>0</v>
      </c>
    </row>
    <row r="718" spans="1:15">
      <c r="A718" s="244">
        <v>191</v>
      </c>
      <c r="B718" s="244"/>
      <c r="C718" s="247" t="s">
        <v>958</v>
      </c>
      <c r="D718" s="244" t="s">
        <v>10</v>
      </c>
      <c r="E718" s="244">
        <v>5293.48</v>
      </c>
      <c r="F718" s="132">
        <v>1</v>
      </c>
      <c r="G718" s="246">
        <f t="shared" si="19"/>
        <v>5293.48</v>
      </c>
      <c r="H718" s="246">
        <v>0</v>
      </c>
      <c r="I718" s="246">
        <v>0</v>
      </c>
      <c r="J718" s="246">
        <v>0</v>
      </c>
      <c r="K718" s="246">
        <v>0</v>
      </c>
      <c r="L718" s="246">
        <v>0</v>
      </c>
      <c r="M718" s="246">
        <v>0</v>
      </c>
      <c r="N718" s="246">
        <v>0</v>
      </c>
      <c r="O718" s="246">
        <v>0</v>
      </c>
    </row>
    <row r="719" spans="1:15" ht="28.5">
      <c r="A719" s="244">
        <v>192</v>
      </c>
      <c r="B719" s="244"/>
      <c r="C719" s="247" t="s">
        <v>960</v>
      </c>
      <c r="D719" s="244" t="s">
        <v>23</v>
      </c>
      <c r="E719" s="244">
        <v>59869.25</v>
      </c>
      <c r="F719" s="132">
        <v>1</v>
      </c>
      <c r="G719" s="246">
        <f t="shared" si="19"/>
        <v>59869.25</v>
      </c>
      <c r="H719" s="246">
        <v>0</v>
      </c>
      <c r="I719" s="246">
        <v>0</v>
      </c>
      <c r="J719" s="246">
        <v>0</v>
      </c>
      <c r="K719" s="246">
        <v>0</v>
      </c>
      <c r="L719" s="246">
        <v>0</v>
      </c>
      <c r="M719" s="246">
        <v>0</v>
      </c>
      <c r="N719" s="246">
        <v>0</v>
      </c>
      <c r="O719" s="246">
        <v>0</v>
      </c>
    </row>
    <row r="720" spans="1:15">
      <c r="A720" s="244">
        <v>193</v>
      </c>
      <c r="B720" s="244"/>
      <c r="C720" s="247" t="s">
        <v>961</v>
      </c>
      <c r="D720" s="244" t="s">
        <v>10</v>
      </c>
      <c r="E720" s="244">
        <v>5293.48</v>
      </c>
      <c r="F720" s="132">
        <v>1</v>
      </c>
      <c r="G720" s="246">
        <f t="shared" si="19"/>
        <v>5293.48</v>
      </c>
      <c r="H720" s="246">
        <v>0</v>
      </c>
      <c r="I720" s="246">
        <v>0</v>
      </c>
      <c r="J720" s="246">
        <v>0</v>
      </c>
      <c r="K720" s="246">
        <v>0</v>
      </c>
      <c r="L720" s="246">
        <v>0</v>
      </c>
      <c r="M720" s="246">
        <v>0</v>
      </c>
      <c r="N720" s="246">
        <v>0</v>
      </c>
      <c r="O720" s="246">
        <v>0</v>
      </c>
    </row>
    <row r="721" spans="1:15">
      <c r="A721" s="244">
        <v>194</v>
      </c>
      <c r="B721" s="244"/>
      <c r="C721" s="247" t="s">
        <v>962</v>
      </c>
      <c r="D721" s="244" t="s">
        <v>10</v>
      </c>
      <c r="E721" s="244">
        <v>5293.48</v>
      </c>
      <c r="F721" s="132">
        <v>1</v>
      </c>
      <c r="G721" s="246">
        <f t="shared" ref="G721:G744" si="20">E721*F721</f>
        <v>5293.48</v>
      </c>
      <c r="H721" s="246">
        <v>0</v>
      </c>
      <c r="I721" s="246">
        <v>0</v>
      </c>
      <c r="J721" s="246">
        <v>0</v>
      </c>
      <c r="K721" s="246">
        <v>0</v>
      </c>
      <c r="L721" s="246">
        <v>0</v>
      </c>
      <c r="M721" s="246">
        <v>0</v>
      </c>
      <c r="N721" s="246">
        <v>0</v>
      </c>
      <c r="O721" s="246">
        <v>0</v>
      </c>
    </row>
    <row r="722" spans="1:15">
      <c r="A722" s="244">
        <v>195</v>
      </c>
      <c r="B722" s="244" t="s">
        <v>1054</v>
      </c>
      <c r="C722" s="247" t="s">
        <v>966</v>
      </c>
      <c r="D722" s="244" t="s">
        <v>23</v>
      </c>
      <c r="E722" s="244">
        <v>5293.48</v>
      </c>
      <c r="F722" s="132">
        <v>1</v>
      </c>
      <c r="G722" s="246">
        <f t="shared" si="20"/>
        <v>5293.48</v>
      </c>
      <c r="H722" s="246">
        <v>0</v>
      </c>
      <c r="I722" s="246">
        <v>0</v>
      </c>
      <c r="J722" s="246">
        <v>0</v>
      </c>
      <c r="K722" s="246">
        <v>0</v>
      </c>
      <c r="L722" s="246">
        <v>0</v>
      </c>
      <c r="M722" s="246">
        <v>0</v>
      </c>
      <c r="N722" s="246">
        <v>0</v>
      </c>
      <c r="O722" s="246">
        <v>0</v>
      </c>
    </row>
    <row r="723" spans="1:15">
      <c r="A723" s="244">
        <v>196</v>
      </c>
      <c r="B723" s="244" t="s">
        <v>967</v>
      </c>
      <c r="C723" s="247" t="s">
        <v>968</v>
      </c>
      <c r="D723" s="244" t="s">
        <v>10</v>
      </c>
      <c r="E723" s="244">
        <v>1058.69</v>
      </c>
      <c r="F723" s="132">
        <v>1</v>
      </c>
      <c r="G723" s="246">
        <f t="shared" si="20"/>
        <v>1058.69</v>
      </c>
      <c r="H723" s="246">
        <v>0</v>
      </c>
      <c r="I723" s="246">
        <v>0</v>
      </c>
      <c r="J723" s="246">
        <v>0</v>
      </c>
      <c r="K723" s="246">
        <v>0</v>
      </c>
      <c r="L723" s="246">
        <v>0</v>
      </c>
      <c r="M723" s="246">
        <v>0</v>
      </c>
      <c r="N723" s="246">
        <v>0</v>
      </c>
      <c r="O723" s="246">
        <v>0</v>
      </c>
    </row>
    <row r="724" spans="1:15">
      <c r="A724" s="244">
        <v>197</v>
      </c>
      <c r="B724" s="244"/>
      <c r="C724" s="247" t="s">
        <v>969</v>
      </c>
      <c r="D724" s="244" t="s">
        <v>23</v>
      </c>
      <c r="E724" s="244">
        <v>5293.48</v>
      </c>
      <c r="F724" s="132">
        <v>1</v>
      </c>
      <c r="G724" s="246">
        <f t="shared" si="20"/>
        <v>5293.48</v>
      </c>
      <c r="H724" s="246">
        <v>0</v>
      </c>
      <c r="I724" s="246">
        <v>0</v>
      </c>
      <c r="J724" s="246">
        <v>0</v>
      </c>
      <c r="K724" s="246">
        <v>0</v>
      </c>
      <c r="L724" s="246">
        <v>0</v>
      </c>
      <c r="M724" s="246">
        <v>0</v>
      </c>
      <c r="N724" s="246">
        <v>0</v>
      </c>
      <c r="O724" s="246">
        <v>0</v>
      </c>
    </row>
    <row r="725" spans="1:15" ht="42.75">
      <c r="A725" s="244">
        <v>198</v>
      </c>
      <c r="B725" s="244"/>
      <c r="C725" s="245" t="s">
        <v>1055</v>
      </c>
      <c r="D725" s="244" t="s">
        <v>23</v>
      </c>
      <c r="E725" s="244">
        <v>267955.95</v>
      </c>
      <c r="F725" s="132">
        <v>1</v>
      </c>
      <c r="G725" s="246">
        <f t="shared" si="20"/>
        <v>267955.95</v>
      </c>
      <c r="H725" s="246">
        <v>0</v>
      </c>
      <c r="I725" s="246">
        <v>0</v>
      </c>
      <c r="J725" s="246">
        <v>0</v>
      </c>
      <c r="K725" s="246">
        <v>0</v>
      </c>
      <c r="L725" s="246">
        <v>0</v>
      </c>
      <c r="M725" s="246">
        <v>0</v>
      </c>
      <c r="N725" s="246">
        <v>0</v>
      </c>
      <c r="O725" s="246">
        <v>0</v>
      </c>
    </row>
    <row r="726" spans="1:15">
      <c r="A726" s="244">
        <v>199</v>
      </c>
      <c r="B726" s="244"/>
      <c r="C726" s="247" t="s">
        <v>972</v>
      </c>
      <c r="D726" s="244" t="s">
        <v>23</v>
      </c>
      <c r="E726" s="244">
        <v>5293.48</v>
      </c>
      <c r="F726" s="132">
        <v>1</v>
      </c>
      <c r="G726" s="246">
        <f t="shared" si="20"/>
        <v>5293.48</v>
      </c>
      <c r="H726" s="246">
        <v>0</v>
      </c>
      <c r="I726" s="246">
        <v>0</v>
      </c>
      <c r="J726" s="246">
        <v>0</v>
      </c>
      <c r="K726" s="246">
        <v>0</v>
      </c>
      <c r="L726" s="246">
        <v>0</v>
      </c>
      <c r="M726" s="246">
        <v>0</v>
      </c>
      <c r="N726" s="246">
        <v>0</v>
      </c>
      <c r="O726" s="246">
        <v>0</v>
      </c>
    </row>
    <row r="727" spans="1:15" ht="42.75">
      <c r="A727" s="244">
        <v>200</v>
      </c>
      <c r="B727" s="244"/>
      <c r="C727" s="247" t="s">
        <v>1056</v>
      </c>
      <c r="D727" s="244" t="s">
        <v>23</v>
      </c>
      <c r="E727" s="244">
        <v>22329.65</v>
      </c>
      <c r="F727" s="132">
        <v>1</v>
      </c>
      <c r="G727" s="246">
        <f t="shared" si="20"/>
        <v>22329.65</v>
      </c>
      <c r="H727" s="246">
        <v>0</v>
      </c>
      <c r="I727" s="246">
        <v>0</v>
      </c>
      <c r="J727" s="246">
        <v>0</v>
      </c>
      <c r="K727" s="246">
        <v>0</v>
      </c>
      <c r="L727" s="246">
        <v>0</v>
      </c>
      <c r="M727" s="246">
        <v>0</v>
      </c>
      <c r="N727" s="246">
        <v>0</v>
      </c>
      <c r="O727" s="246">
        <v>0</v>
      </c>
    </row>
    <row r="728" spans="1:15" ht="42.75">
      <c r="A728" s="244">
        <v>201</v>
      </c>
      <c r="B728" s="244"/>
      <c r="C728" s="247" t="s">
        <v>1057</v>
      </c>
      <c r="D728" s="244" t="s">
        <v>23</v>
      </c>
      <c r="E728" s="244">
        <v>22329.65</v>
      </c>
      <c r="F728" s="132">
        <v>1</v>
      </c>
      <c r="G728" s="246">
        <f t="shared" si="20"/>
        <v>22329.65</v>
      </c>
      <c r="H728" s="246">
        <v>0</v>
      </c>
      <c r="I728" s="246">
        <v>0</v>
      </c>
      <c r="J728" s="246">
        <v>0</v>
      </c>
      <c r="K728" s="246">
        <v>0</v>
      </c>
      <c r="L728" s="246">
        <v>0</v>
      </c>
      <c r="M728" s="246">
        <v>0</v>
      </c>
      <c r="N728" s="246">
        <v>0</v>
      </c>
      <c r="O728" s="246">
        <v>0</v>
      </c>
    </row>
    <row r="729" spans="1:15" ht="42.75">
      <c r="A729" s="244">
        <v>202</v>
      </c>
      <c r="B729" s="244"/>
      <c r="C729" s="247" t="s">
        <v>1058</v>
      </c>
      <c r="D729" s="244" t="s">
        <v>23</v>
      </c>
      <c r="E729" s="244">
        <v>22329.65</v>
      </c>
      <c r="F729" s="132">
        <v>1</v>
      </c>
      <c r="G729" s="246">
        <f t="shared" si="20"/>
        <v>22329.65</v>
      </c>
      <c r="H729" s="246">
        <v>0</v>
      </c>
      <c r="I729" s="246">
        <v>0</v>
      </c>
      <c r="J729" s="246">
        <v>0</v>
      </c>
      <c r="K729" s="246">
        <v>0</v>
      </c>
      <c r="L729" s="246">
        <v>0</v>
      </c>
      <c r="M729" s="246">
        <v>0</v>
      </c>
      <c r="N729" s="246">
        <v>0</v>
      </c>
      <c r="O729" s="246">
        <v>0</v>
      </c>
    </row>
    <row r="730" spans="1:15" ht="42.75">
      <c r="A730" s="244">
        <v>203</v>
      </c>
      <c r="B730" s="244"/>
      <c r="C730" s="247" t="s">
        <v>1059</v>
      </c>
      <c r="D730" s="244" t="s">
        <v>23</v>
      </c>
      <c r="E730" s="244">
        <v>223296.63</v>
      </c>
      <c r="F730" s="132">
        <v>3</v>
      </c>
      <c r="G730" s="246">
        <f t="shared" si="20"/>
        <v>669889.89</v>
      </c>
      <c r="H730" s="246">
        <v>0</v>
      </c>
      <c r="I730" s="246">
        <v>0</v>
      </c>
      <c r="J730" s="246">
        <v>0</v>
      </c>
      <c r="K730" s="246">
        <v>0</v>
      </c>
      <c r="L730" s="246">
        <v>0</v>
      </c>
      <c r="M730" s="246">
        <v>0</v>
      </c>
      <c r="N730" s="246">
        <v>0</v>
      </c>
      <c r="O730" s="246">
        <v>0</v>
      </c>
    </row>
    <row r="731" spans="1:15" ht="28.5">
      <c r="A731" s="244">
        <v>204</v>
      </c>
      <c r="B731" s="244" t="s">
        <v>1060</v>
      </c>
      <c r="C731" s="247" t="s">
        <v>1061</v>
      </c>
      <c r="D731" s="244" t="s">
        <v>10</v>
      </c>
      <c r="E731" s="244">
        <v>335500</v>
      </c>
      <c r="F731" s="132">
        <v>1</v>
      </c>
      <c r="G731" s="246">
        <f t="shared" si="20"/>
        <v>335500</v>
      </c>
      <c r="H731" s="246">
        <v>0</v>
      </c>
      <c r="I731" s="246">
        <v>0</v>
      </c>
      <c r="J731" s="246">
        <v>0</v>
      </c>
      <c r="K731" s="246">
        <v>0</v>
      </c>
      <c r="L731" s="246">
        <v>0</v>
      </c>
      <c r="M731" s="246">
        <v>0</v>
      </c>
      <c r="N731" s="246">
        <v>0</v>
      </c>
      <c r="O731" s="246">
        <v>0</v>
      </c>
    </row>
    <row r="732" spans="1:15">
      <c r="A732" s="244">
        <v>205</v>
      </c>
      <c r="B732" s="244" t="s">
        <v>1062</v>
      </c>
      <c r="C732" s="247" t="s">
        <v>1063</v>
      </c>
      <c r="D732" s="244" t="s">
        <v>10</v>
      </c>
      <c r="E732" s="244">
        <v>10000</v>
      </c>
      <c r="F732" s="132">
        <v>2</v>
      </c>
      <c r="G732" s="246">
        <f t="shared" si="20"/>
        <v>20000</v>
      </c>
      <c r="H732" s="246">
        <v>0</v>
      </c>
      <c r="I732" s="246">
        <v>0</v>
      </c>
      <c r="J732" s="246">
        <v>0</v>
      </c>
      <c r="K732" s="246">
        <v>0</v>
      </c>
      <c r="L732" s="246">
        <v>0</v>
      </c>
      <c r="M732" s="246">
        <v>0</v>
      </c>
      <c r="N732" s="246">
        <v>0</v>
      </c>
      <c r="O732" s="246">
        <v>0</v>
      </c>
    </row>
    <row r="733" spans="1:15">
      <c r="A733" s="244">
        <v>206</v>
      </c>
      <c r="B733" s="244" t="s">
        <v>63</v>
      </c>
      <c r="C733" s="247" t="s">
        <v>1064</v>
      </c>
      <c r="D733" s="244" t="s">
        <v>10</v>
      </c>
      <c r="E733" s="244">
        <v>10000</v>
      </c>
      <c r="F733" s="132">
        <v>1</v>
      </c>
      <c r="G733" s="246">
        <f t="shared" si="20"/>
        <v>10000</v>
      </c>
      <c r="H733" s="246">
        <v>0</v>
      </c>
      <c r="I733" s="246">
        <v>0</v>
      </c>
      <c r="J733" s="246">
        <v>0</v>
      </c>
      <c r="K733" s="246">
        <v>0</v>
      </c>
      <c r="L733" s="246">
        <v>0</v>
      </c>
      <c r="M733" s="246">
        <v>0</v>
      </c>
      <c r="N733" s="246">
        <v>0</v>
      </c>
      <c r="O733" s="246">
        <v>0</v>
      </c>
    </row>
    <row r="734" spans="1:15">
      <c r="A734" s="244">
        <v>207</v>
      </c>
      <c r="B734" s="244"/>
      <c r="C734" s="247" t="s">
        <v>1065</v>
      </c>
      <c r="D734" s="244" t="s">
        <v>10</v>
      </c>
      <c r="E734" s="244">
        <v>10000</v>
      </c>
      <c r="F734" s="132">
        <v>1</v>
      </c>
      <c r="G734" s="246">
        <f t="shared" si="20"/>
        <v>10000</v>
      </c>
      <c r="H734" s="246">
        <v>0</v>
      </c>
      <c r="I734" s="246">
        <v>0</v>
      </c>
      <c r="J734" s="246">
        <v>0</v>
      </c>
      <c r="K734" s="246">
        <v>0</v>
      </c>
      <c r="L734" s="246">
        <v>0</v>
      </c>
      <c r="M734" s="246">
        <v>0</v>
      </c>
      <c r="N734" s="246">
        <v>0</v>
      </c>
      <c r="O734" s="246">
        <v>0</v>
      </c>
    </row>
    <row r="735" spans="1:15">
      <c r="A735" s="244">
        <v>208</v>
      </c>
      <c r="B735" s="244" t="s">
        <v>1066</v>
      </c>
      <c r="C735" s="247" t="s">
        <v>1067</v>
      </c>
      <c r="D735" s="244" t="s">
        <v>10</v>
      </c>
      <c r="E735" s="244">
        <v>10000</v>
      </c>
      <c r="F735" s="132">
        <v>1</v>
      </c>
      <c r="G735" s="246">
        <f t="shared" si="20"/>
        <v>10000</v>
      </c>
      <c r="H735" s="246">
        <v>0</v>
      </c>
      <c r="I735" s="246">
        <v>0</v>
      </c>
      <c r="J735" s="246">
        <v>0</v>
      </c>
      <c r="K735" s="246">
        <v>0</v>
      </c>
      <c r="L735" s="246">
        <v>0</v>
      </c>
      <c r="M735" s="246">
        <v>0</v>
      </c>
      <c r="N735" s="246">
        <v>0</v>
      </c>
      <c r="O735" s="246">
        <v>0</v>
      </c>
    </row>
    <row r="736" spans="1:15">
      <c r="A736" s="244">
        <v>209</v>
      </c>
      <c r="B736" s="244" t="s">
        <v>1068</v>
      </c>
      <c r="C736" s="247" t="s">
        <v>1069</v>
      </c>
      <c r="D736" s="244" t="s">
        <v>10</v>
      </c>
      <c r="E736" s="244">
        <v>10000</v>
      </c>
      <c r="F736" s="132">
        <v>1</v>
      </c>
      <c r="G736" s="246">
        <f t="shared" si="20"/>
        <v>10000</v>
      </c>
      <c r="H736" s="246">
        <v>0</v>
      </c>
      <c r="I736" s="246">
        <v>0</v>
      </c>
      <c r="J736" s="246">
        <v>0</v>
      </c>
      <c r="K736" s="246">
        <v>0</v>
      </c>
      <c r="L736" s="246">
        <v>0</v>
      </c>
      <c r="M736" s="246">
        <v>0</v>
      </c>
      <c r="N736" s="246">
        <v>0</v>
      </c>
      <c r="O736" s="246">
        <v>0</v>
      </c>
    </row>
    <row r="737" spans="1:15" ht="28.5">
      <c r="A737" s="244">
        <v>210</v>
      </c>
      <c r="B737" s="244"/>
      <c r="C737" s="247" t="s">
        <v>1070</v>
      </c>
      <c r="D737" s="244" t="s">
        <v>10</v>
      </c>
      <c r="E737" s="244">
        <v>350000</v>
      </c>
      <c r="F737" s="132">
        <v>1</v>
      </c>
      <c r="G737" s="246">
        <f t="shared" si="20"/>
        <v>350000</v>
      </c>
      <c r="H737" s="246">
        <v>0</v>
      </c>
      <c r="I737" s="246">
        <v>0</v>
      </c>
      <c r="J737" s="246">
        <v>0</v>
      </c>
      <c r="K737" s="246">
        <v>0</v>
      </c>
      <c r="L737" s="246">
        <v>0</v>
      </c>
      <c r="M737" s="246">
        <v>0</v>
      </c>
      <c r="N737" s="246">
        <v>0</v>
      </c>
      <c r="O737" s="246">
        <v>0</v>
      </c>
    </row>
    <row r="738" spans="1:15">
      <c r="A738" s="244">
        <v>211</v>
      </c>
      <c r="B738" s="244" t="s">
        <v>1071</v>
      </c>
      <c r="C738" s="247" t="s">
        <v>1072</v>
      </c>
      <c r="D738" s="244" t="s">
        <v>10</v>
      </c>
      <c r="E738" s="244">
        <v>100000</v>
      </c>
      <c r="F738" s="132">
        <v>1</v>
      </c>
      <c r="G738" s="246">
        <f t="shared" si="20"/>
        <v>100000</v>
      </c>
      <c r="H738" s="246">
        <v>0</v>
      </c>
      <c r="I738" s="246">
        <v>0</v>
      </c>
      <c r="J738" s="246">
        <v>0</v>
      </c>
      <c r="K738" s="246">
        <v>0</v>
      </c>
      <c r="L738" s="246">
        <v>0</v>
      </c>
      <c r="M738" s="246">
        <v>0</v>
      </c>
      <c r="N738" s="246">
        <v>0</v>
      </c>
      <c r="O738" s="246">
        <v>0</v>
      </c>
    </row>
    <row r="739" spans="1:15">
      <c r="A739" s="244">
        <v>212</v>
      </c>
      <c r="B739" s="244" t="s">
        <v>77</v>
      </c>
      <c r="C739" s="247" t="s">
        <v>1073</v>
      </c>
      <c r="D739" s="244" t="s">
        <v>10</v>
      </c>
      <c r="E739" s="244">
        <v>25000</v>
      </c>
      <c r="F739" s="132">
        <v>1</v>
      </c>
      <c r="G739" s="246">
        <f t="shared" si="20"/>
        <v>25000</v>
      </c>
      <c r="H739" s="246">
        <v>0</v>
      </c>
      <c r="I739" s="246">
        <v>0</v>
      </c>
      <c r="J739" s="246">
        <v>0</v>
      </c>
      <c r="K739" s="246">
        <v>0</v>
      </c>
      <c r="L739" s="246">
        <v>0</v>
      </c>
      <c r="M739" s="246">
        <v>0</v>
      </c>
      <c r="N739" s="246">
        <v>0</v>
      </c>
      <c r="O739" s="246">
        <v>0</v>
      </c>
    </row>
    <row r="740" spans="1:15" ht="28.5">
      <c r="A740" s="244">
        <v>213</v>
      </c>
      <c r="B740" s="244" t="s">
        <v>933</v>
      </c>
      <c r="C740" s="245" t="s">
        <v>1074</v>
      </c>
      <c r="D740" s="244" t="s">
        <v>614</v>
      </c>
      <c r="E740" s="244">
        <v>885850</v>
      </c>
      <c r="F740" s="132">
        <v>2.1999999999999999E-2</v>
      </c>
      <c r="G740" s="246">
        <f t="shared" si="20"/>
        <v>19488.699999999997</v>
      </c>
      <c r="H740" s="246">
        <v>0</v>
      </c>
      <c r="I740" s="246">
        <v>0</v>
      </c>
      <c r="J740" s="246">
        <v>0</v>
      </c>
      <c r="K740" s="246">
        <v>0</v>
      </c>
      <c r="L740" s="246">
        <v>0</v>
      </c>
      <c r="M740" s="246">
        <v>0</v>
      </c>
      <c r="N740" s="246">
        <v>0</v>
      </c>
      <c r="O740" s="246">
        <v>0</v>
      </c>
    </row>
    <row r="741" spans="1:15">
      <c r="A741" s="244">
        <v>214</v>
      </c>
      <c r="B741" s="244"/>
      <c r="C741" s="245" t="s">
        <v>1075</v>
      </c>
      <c r="D741" s="244" t="s">
        <v>1076</v>
      </c>
      <c r="E741" s="244">
        <v>1174</v>
      </c>
      <c r="F741" s="132">
        <v>2</v>
      </c>
      <c r="G741" s="246">
        <f t="shared" si="20"/>
        <v>2348</v>
      </c>
      <c r="H741" s="246"/>
      <c r="I741" s="246"/>
      <c r="J741" s="246"/>
      <c r="K741" s="246"/>
      <c r="L741" s="246"/>
      <c r="M741" s="246"/>
      <c r="N741" s="246"/>
      <c r="O741" s="246"/>
    </row>
    <row r="742" spans="1:15">
      <c r="A742" s="244">
        <v>215</v>
      </c>
      <c r="B742" s="244"/>
      <c r="C742" s="245" t="s">
        <v>1077</v>
      </c>
      <c r="D742" s="244" t="s">
        <v>32</v>
      </c>
      <c r="E742" s="244">
        <v>2348.1999999999998</v>
      </c>
      <c r="F742" s="132">
        <v>3</v>
      </c>
      <c r="G742" s="246">
        <f t="shared" si="20"/>
        <v>7044.5999999999995</v>
      </c>
      <c r="H742" s="246">
        <v>0</v>
      </c>
      <c r="I742" s="246">
        <v>0</v>
      </c>
      <c r="J742" s="246">
        <v>0</v>
      </c>
      <c r="K742" s="246">
        <v>0</v>
      </c>
      <c r="L742" s="246">
        <v>0</v>
      </c>
      <c r="M742" s="246">
        <v>0</v>
      </c>
      <c r="N742" s="246">
        <v>0</v>
      </c>
      <c r="O742" s="246">
        <v>0</v>
      </c>
    </row>
    <row r="743" spans="1:15">
      <c r="A743" s="244">
        <v>216</v>
      </c>
      <c r="B743" s="244"/>
      <c r="C743" s="245" t="s">
        <v>1078</v>
      </c>
      <c r="D743" s="244" t="s">
        <v>32</v>
      </c>
      <c r="E743" s="244">
        <v>938.1</v>
      </c>
      <c r="F743" s="132">
        <v>4</v>
      </c>
      <c r="G743" s="246">
        <f t="shared" si="20"/>
        <v>3752.4</v>
      </c>
      <c r="H743" s="246">
        <v>0</v>
      </c>
      <c r="I743" s="246">
        <v>0</v>
      </c>
      <c r="J743" s="246">
        <v>0</v>
      </c>
      <c r="K743" s="246">
        <v>0</v>
      </c>
      <c r="L743" s="246">
        <v>0</v>
      </c>
      <c r="M743" s="246">
        <v>0</v>
      </c>
      <c r="N743" s="246">
        <v>0</v>
      </c>
      <c r="O743" s="246">
        <v>0</v>
      </c>
    </row>
    <row r="744" spans="1:15">
      <c r="A744" s="244">
        <v>217</v>
      </c>
      <c r="B744" s="244"/>
      <c r="C744" s="247" t="s">
        <v>1079</v>
      </c>
      <c r="D744" s="244" t="s">
        <v>32</v>
      </c>
      <c r="E744" s="244">
        <v>1178.82</v>
      </c>
      <c r="F744" s="132">
        <v>3</v>
      </c>
      <c r="G744" s="246">
        <f t="shared" si="20"/>
        <v>3536.46</v>
      </c>
      <c r="H744" s="246">
        <v>0</v>
      </c>
      <c r="I744" s="246">
        <v>0</v>
      </c>
      <c r="J744" s="246">
        <v>0</v>
      </c>
      <c r="K744" s="246">
        <v>0</v>
      </c>
      <c r="L744" s="246">
        <v>0</v>
      </c>
      <c r="M744" s="246">
        <v>0</v>
      </c>
      <c r="N744" s="246">
        <v>0</v>
      </c>
      <c r="O744" s="246">
        <v>0</v>
      </c>
    </row>
    <row r="745" spans="1:15" ht="15">
      <c r="A745" s="249"/>
      <c r="B745" s="250"/>
      <c r="C745" s="251"/>
      <c r="D745" s="252" t="s">
        <v>374</v>
      </c>
      <c r="E745" s="253"/>
      <c r="F745" s="243"/>
      <c r="G745" s="254">
        <f t="shared" ref="G745:O745" si="21">SUM(G528:G744)</f>
        <v>11822526.930000007</v>
      </c>
      <c r="H745" s="254">
        <f t="shared" si="21"/>
        <v>0</v>
      </c>
      <c r="I745" s="254">
        <f t="shared" si="21"/>
        <v>0</v>
      </c>
      <c r="J745" s="254">
        <f t="shared" si="21"/>
        <v>0</v>
      </c>
      <c r="K745" s="254">
        <f t="shared" si="21"/>
        <v>0</v>
      </c>
      <c r="L745" s="254">
        <f t="shared" si="21"/>
        <v>0</v>
      </c>
      <c r="M745" s="254">
        <f t="shared" si="21"/>
        <v>0</v>
      </c>
      <c r="N745" s="254">
        <f t="shared" si="21"/>
        <v>0</v>
      </c>
      <c r="O745" s="254">
        <f t="shared" si="21"/>
        <v>0</v>
      </c>
    </row>
    <row r="746" spans="1:15" ht="15">
      <c r="A746" s="456" t="s">
        <v>1080</v>
      </c>
      <c r="B746" s="457"/>
      <c r="C746" s="457"/>
      <c r="D746" s="457"/>
      <c r="E746" s="457"/>
      <c r="F746" s="457"/>
      <c r="G746" s="457"/>
      <c r="H746" s="457"/>
      <c r="I746" s="457"/>
      <c r="J746" s="457"/>
      <c r="K746" s="457"/>
      <c r="L746" s="457"/>
      <c r="M746" s="457"/>
      <c r="N746" s="457"/>
      <c r="O746" s="458"/>
    </row>
    <row r="747" spans="1:15">
      <c r="A747" s="244">
        <v>1</v>
      </c>
      <c r="B747" s="289" t="s">
        <v>233</v>
      </c>
      <c r="C747" s="290" t="s">
        <v>1081</v>
      </c>
      <c r="D747" s="116" t="s">
        <v>7</v>
      </c>
      <c r="E747" s="95">
        <v>75930</v>
      </c>
      <c r="F747" s="116">
        <v>2.8290000000000002</v>
      </c>
      <c r="G747" s="291">
        <f t="shared" ref="G747:G789" si="22">E747*F747</f>
        <v>214805.97</v>
      </c>
      <c r="H747" s="291">
        <v>0</v>
      </c>
      <c r="I747" s="291">
        <v>0</v>
      </c>
      <c r="J747" s="291">
        <v>0</v>
      </c>
      <c r="K747" s="291">
        <v>0</v>
      </c>
      <c r="L747" s="291">
        <v>0</v>
      </c>
      <c r="M747" s="291">
        <v>0</v>
      </c>
      <c r="N747" s="291">
        <v>0</v>
      </c>
      <c r="O747" s="291">
        <v>0</v>
      </c>
    </row>
    <row r="748" spans="1:15">
      <c r="A748" s="244">
        <v>2</v>
      </c>
      <c r="B748" s="292" t="s">
        <v>236</v>
      </c>
      <c r="C748" s="293" t="s">
        <v>1082</v>
      </c>
      <c r="D748" s="294" t="s">
        <v>12</v>
      </c>
      <c r="E748" s="255">
        <v>231471.78</v>
      </c>
      <c r="F748" s="294">
        <v>2.1999999999999999E-2</v>
      </c>
      <c r="G748" s="291">
        <f t="shared" si="22"/>
        <v>5092.3791599999995</v>
      </c>
      <c r="H748" s="291">
        <v>0</v>
      </c>
      <c r="I748" s="291">
        <v>0</v>
      </c>
      <c r="J748" s="291">
        <v>0</v>
      </c>
      <c r="K748" s="291">
        <v>0</v>
      </c>
      <c r="L748" s="291">
        <v>0</v>
      </c>
      <c r="M748" s="291">
        <v>0</v>
      </c>
      <c r="N748" s="291">
        <v>0</v>
      </c>
      <c r="O748" s="291">
        <v>0</v>
      </c>
    </row>
    <row r="749" spans="1:15">
      <c r="A749" s="244">
        <v>3</v>
      </c>
      <c r="B749" s="292" t="s">
        <v>11</v>
      </c>
      <c r="C749" s="293" t="s">
        <v>1083</v>
      </c>
      <c r="D749" s="294" t="s">
        <v>12</v>
      </c>
      <c r="E749" s="255">
        <v>83619.63</v>
      </c>
      <c r="F749" s="294">
        <v>0.55000000000000004</v>
      </c>
      <c r="G749" s="291">
        <f t="shared" si="22"/>
        <v>45990.796500000004</v>
      </c>
      <c r="H749" s="291">
        <v>0</v>
      </c>
      <c r="I749" s="291">
        <v>0</v>
      </c>
      <c r="J749" s="291">
        <v>0</v>
      </c>
      <c r="K749" s="291">
        <v>0</v>
      </c>
      <c r="L749" s="291">
        <v>0</v>
      </c>
      <c r="M749" s="291">
        <v>0</v>
      </c>
      <c r="N749" s="291">
        <v>0</v>
      </c>
      <c r="O749" s="291">
        <v>0</v>
      </c>
    </row>
    <row r="750" spans="1:15">
      <c r="A750" s="244">
        <v>4</v>
      </c>
      <c r="B750" s="289" t="s">
        <v>233</v>
      </c>
      <c r="C750" s="293" t="s">
        <v>1084</v>
      </c>
      <c r="D750" s="294" t="s">
        <v>370</v>
      </c>
      <c r="E750" s="255">
        <v>20</v>
      </c>
      <c r="F750" s="295">
        <v>14765.68</v>
      </c>
      <c r="G750" s="291">
        <f t="shared" si="22"/>
        <v>295313.59999999998</v>
      </c>
      <c r="H750" s="291">
        <v>0</v>
      </c>
      <c r="I750" s="291">
        <v>0</v>
      </c>
      <c r="J750" s="291">
        <v>0</v>
      </c>
      <c r="K750" s="291">
        <v>0</v>
      </c>
      <c r="L750" s="291">
        <v>0</v>
      </c>
      <c r="M750" s="291">
        <v>0</v>
      </c>
      <c r="N750" s="291">
        <v>0</v>
      </c>
      <c r="O750" s="291">
        <v>0</v>
      </c>
    </row>
    <row r="751" spans="1:15">
      <c r="A751" s="244">
        <v>5</v>
      </c>
      <c r="B751" s="289"/>
      <c r="C751" s="290" t="s">
        <v>1085</v>
      </c>
      <c r="D751" s="116" t="s">
        <v>370</v>
      </c>
      <c r="E751" s="95">
        <v>60</v>
      </c>
      <c r="F751" s="291">
        <v>1700</v>
      </c>
      <c r="G751" s="291">
        <f t="shared" si="22"/>
        <v>102000</v>
      </c>
      <c r="H751" s="291">
        <v>0</v>
      </c>
      <c r="I751" s="291">
        <v>0</v>
      </c>
      <c r="J751" s="291">
        <v>0</v>
      </c>
      <c r="K751" s="291">
        <v>0</v>
      </c>
      <c r="L751" s="291">
        <v>0</v>
      </c>
      <c r="M751" s="291">
        <v>0</v>
      </c>
      <c r="N751" s="291">
        <v>0</v>
      </c>
      <c r="O751" s="291">
        <v>0</v>
      </c>
    </row>
    <row r="752" spans="1:15">
      <c r="A752" s="244">
        <v>6</v>
      </c>
      <c r="B752" s="289"/>
      <c r="C752" s="290" t="s">
        <v>1086</v>
      </c>
      <c r="D752" s="116" t="s">
        <v>370</v>
      </c>
      <c r="E752" s="95">
        <v>60</v>
      </c>
      <c r="F752" s="291">
        <v>2060</v>
      </c>
      <c r="G752" s="291">
        <f t="shared" si="22"/>
        <v>123600</v>
      </c>
      <c r="H752" s="291">
        <v>0</v>
      </c>
      <c r="I752" s="291">
        <v>0</v>
      </c>
      <c r="J752" s="291">
        <v>0</v>
      </c>
      <c r="K752" s="291">
        <v>0</v>
      </c>
      <c r="L752" s="291">
        <v>0</v>
      </c>
      <c r="M752" s="291">
        <v>0</v>
      </c>
      <c r="N752" s="291">
        <v>0</v>
      </c>
      <c r="O752" s="291">
        <v>0</v>
      </c>
    </row>
    <row r="753" spans="1:15">
      <c r="A753" s="244">
        <v>7</v>
      </c>
      <c r="B753" s="292" t="s">
        <v>543</v>
      </c>
      <c r="C753" s="290" t="s">
        <v>1087</v>
      </c>
      <c r="D753" s="116" t="s">
        <v>32</v>
      </c>
      <c r="E753" s="95">
        <v>1850</v>
      </c>
      <c r="F753" s="116">
        <v>12</v>
      </c>
      <c r="G753" s="291">
        <f t="shared" si="22"/>
        <v>22200</v>
      </c>
      <c r="H753" s="291">
        <v>0</v>
      </c>
      <c r="I753" s="291">
        <v>0</v>
      </c>
      <c r="J753" s="291">
        <v>0</v>
      </c>
      <c r="K753" s="291">
        <v>0</v>
      </c>
      <c r="L753" s="291">
        <v>0</v>
      </c>
      <c r="M753" s="291">
        <v>0</v>
      </c>
      <c r="N753" s="291">
        <v>0</v>
      </c>
      <c r="O753" s="291">
        <v>0</v>
      </c>
    </row>
    <row r="754" spans="1:15">
      <c r="A754" s="244">
        <v>8</v>
      </c>
      <c r="B754" s="292" t="s">
        <v>1088</v>
      </c>
      <c r="C754" s="290" t="s">
        <v>1089</v>
      </c>
      <c r="D754" s="116" t="s">
        <v>32</v>
      </c>
      <c r="E754" s="95">
        <v>1800</v>
      </c>
      <c r="F754" s="116">
        <v>4</v>
      </c>
      <c r="G754" s="291">
        <f t="shared" si="22"/>
        <v>7200</v>
      </c>
      <c r="H754" s="291">
        <v>0</v>
      </c>
      <c r="I754" s="291">
        <v>0</v>
      </c>
      <c r="J754" s="291">
        <v>0</v>
      </c>
      <c r="K754" s="291">
        <v>0</v>
      </c>
      <c r="L754" s="291">
        <v>0</v>
      </c>
      <c r="M754" s="291">
        <v>0</v>
      </c>
      <c r="N754" s="291">
        <v>0</v>
      </c>
      <c r="O754" s="291">
        <v>0</v>
      </c>
    </row>
    <row r="755" spans="1:15">
      <c r="A755" s="244">
        <v>9</v>
      </c>
      <c r="B755" s="292" t="s">
        <v>379</v>
      </c>
      <c r="C755" s="290" t="s">
        <v>1090</v>
      </c>
      <c r="D755" s="116" t="s">
        <v>32</v>
      </c>
      <c r="E755" s="95">
        <v>220</v>
      </c>
      <c r="F755" s="116">
        <v>8</v>
      </c>
      <c r="G755" s="291">
        <f t="shared" si="22"/>
        <v>1760</v>
      </c>
      <c r="H755" s="291">
        <v>0</v>
      </c>
      <c r="I755" s="291">
        <v>0</v>
      </c>
      <c r="J755" s="291">
        <v>0</v>
      </c>
      <c r="K755" s="291">
        <v>0</v>
      </c>
      <c r="L755" s="291">
        <v>0</v>
      </c>
      <c r="M755" s="291">
        <v>0</v>
      </c>
      <c r="N755" s="291">
        <v>0</v>
      </c>
      <c r="O755" s="291">
        <v>0</v>
      </c>
    </row>
    <row r="756" spans="1:15">
      <c r="A756" s="244">
        <v>10</v>
      </c>
      <c r="B756" s="292" t="s">
        <v>378</v>
      </c>
      <c r="C756" s="290" t="s">
        <v>1091</v>
      </c>
      <c r="D756" s="116" t="s">
        <v>32</v>
      </c>
      <c r="E756" s="95">
        <v>1100</v>
      </c>
      <c r="F756" s="116">
        <v>12</v>
      </c>
      <c r="G756" s="291">
        <f t="shared" si="22"/>
        <v>13200</v>
      </c>
      <c r="H756" s="291">
        <v>0</v>
      </c>
      <c r="I756" s="291">
        <v>0</v>
      </c>
      <c r="J756" s="291">
        <v>0</v>
      </c>
      <c r="K756" s="291">
        <v>0</v>
      </c>
      <c r="L756" s="291">
        <v>0</v>
      </c>
      <c r="M756" s="291">
        <v>0</v>
      </c>
      <c r="N756" s="291">
        <v>0</v>
      </c>
      <c r="O756" s="291">
        <v>0</v>
      </c>
    </row>
    <row r="757" spans="1:15">
      <c r="A757" s="244">
        <v>11</v>
      </c>
      <c r="B757" s="292" t="s">
        <v>399</v>
      </c>
      <c r="C757" s="290" t="s">
        <v>1092</v>
      </c>
      <c r="D757" s="116" t="s">
        <v>32</v>
      </c>
      <c r="E757" s="95">
        <v>850</v>
      </c>
      <c r="F757" s="116">
        <v>8</v>
      </c>
      <c r="G757" s="291">
        <f t="shared" si="22"/>
        <v>6800</v>
      </c>
      <c r="H757" s="291">
        <v>0</v>
      </c>
      <c r="I757" s="291">
        <v>0</v>
      </c>
      <c r="J757" s="291">
        <v>0</v>
      </c>
      <c r="K757" s="291">
        <v>0</v>
      </c>
      <c r="L757" s="291">
        <v>0</v>
      </c>
      <c r="M757" s="291">
        <v>0</v>
      </c>
      <c r="N757" s="291">
        <v>0</v>
      </c>
      <c r="O757" s="291">
        <v>0</v>
      </c>
    </row>
    <row r="758" spans="1:15">
      <c r="A758" s="244">
        <v>12</v>
      </c>
      <c r="B758" s="292" t="s">
        <v>598</v>
      </c>
      <c r="C758" s="290" t="s">
        <v>1093</v>
      </c>
      <c r="D758" s="116" t="s">
        <v>392</v>
      </c>
      <c r="E758" s="95">
        <v>9000</v>
      </c>
      <c r="F758" s="116">
        <v>1</v>
      </c>
      <c r="G758" s="291">
        <f t="shared" si="22"/>
        <v>9000</v>
      </c>
      <c r="H758" s="291">
        <v>0</v>
      </c>
      <c r="I758" s="291">
        <v>0</v>
      </c>
      <c r="J758" s="291">
        <v>0</v>
      </c>
      <c r="K758" s="291">
        <v>0</v>
      </c>
      <c r="L758" s="291">
        <v>0</v>
      </c>
      <c r="M758" s="291">
        <v>0</v>
      </c>
      <c r="N758" s="291">
        <v>0</v>
      </c>
      <c r="O758" s="291">
        <v>0</v>
      </c>
    </row>
    <row r="759" spans="1:15">
      <c r="A759" s="244">
        <v>13</v>
      </c>
      <c r="B759" s="292" t="s">
        <v>1094</v>
      </c>
      <c r="C759" s="290" t="s">
        <v>1095</v>
      </c>
      <c r="D759" s="116" t="s">
        <v>392</v>
      </c>
      <c r="E759" s="95">
        <v>15999</v>
      </c>
      <c r="F759" s="116">
        <v>1</v>
      </c>
      <c r="G759" s="291">
        <f t="shared" si="22"/>
        <v>15999</v>
      </c>
      <c r="H759" s="291">
        <v>0</v>
      </c>
      <c r="I759" s="291">
        <v>0</v>
      </c>
      <c r="J759" s="291">
        <v>0</v>
      </c>
      <c r="K759" s="291">
        <v>0</v>
      </c>
      <c r="L759" s="291">
        <v>0</v>
      </c>
      <c r="M759" s="291">
        <v>0</v>
      </c>
      <c r="N759" s="291">
        <v>0</v>
      </c>
      <c r="O759" s="291">
        <v>0</v>
      </c>
    </row>
    <row r="760" spans="1:15">
      <c r="A760" s="244">
        <v>14</v>
      </c>
      <c r="B760" s="289" t="s">
        <v>532</v>
      </c>
      <c r="C760" s="290" t="s">
        <v>1096</v>
      </c>
      <c r="D760" s="116" t="s">
        <v>392</v>
      </c>
      <c r="E760" s="95">
        <v>7990</v>
      </c>
      <c r="F760" s="116">
        <v>1</v>
      </c>
      <c r="G760" s="291">
        <f t="shared" si="22"/>
        <v>7990</v>
      </c>
      <c r="H760" s="291">
        <v>0</v>
      </c>
      <c r="I760" s="291">
        <v>0</v>
      </c>
      <c r="J760" s="291">
        <v>0</v>
      </c>
      <c r="K760" s="291">
        <v>0</v>
      </c>
      <c r="L760" s="291">
        <v>0</v>
      </c>
      <c r="M760" s="291">
        <v>0</v>
      </c>
      <c r="N760" s="291">
        <v>0</v>
      </c>
      <c r="O760" s="291">
        <v>0</v>
      </c>
    </row>
    <row r="761" spans="1:15">
      <c r="A761" s="244">
        <v>15</v>
      </c>
      <c r="B761" s="289"/>
      <c r="C761" s="290" t="s">
        <v>1085</v>
      </c>
      <c r="D761" s="116" t="s">
        <v>370</v>
      </c>
      <c r="E761" s="95">
        <v>60</v>
      </c>
      <c r="F761" s="291">
        <v>1680</v>
      </c>
      <c r="G761" s="291">
        <f t="shared" si="22"/>
        <v>100800</v>
      </c>
      <c r="H761" s="291">
        <v>0</v>
      </c>
      <c r="I761" s="291">
        <v>0</v>
      </c>
      <c r="J761" s="291">
        <v>0</v>
      </c>
      <c r="K761" s="291">
        <v>0</v>
      </c>
      <c r="L761" s="291">
        <v>0</v>
      </c>
      <c r="M761" s="291">
        <v>0</v>
      </c>
      <c r="N761" s="291"/>
      <c r="O761" s="291"/>
    </row>
    <row r="762" spans="1:15">
      <c r="A762" s="244">
        <v>16</v>
      </c>
      <c r="B762" s="247" t="s">
        <v>539</v>
      </c>
      <c r="C762" s="290" t="s">
        <v>1097</v>
      </c>
      <c r="D762" s="116" t="s">
        <v>32</v>
      </c>
      <c r="E762" s="95">
        <v>875.79</v>
      </c>
      <c r="F762" s="116">
        <v>5</v>
      </c>
      <c r="G762" s="291">
        <f t="shared" si="22"/>
        <v>4378.95</v>
      </c>
      <c r="H762" s="291">
        <v>0</v>
      </c>
      <c r="I762" s="291">
        <v>0</v>
      </c>
      <c r="J762" s="291">
        <v>0</v>
      </c>
      <c r="K762" s="291">
        <v>0</v>
      </c>
      <c r="L762" s="291">
        <v>0</v>
      </c>
      <c r="M762" s="291">
        <v>0</v>
      </c>
      <c r="N762" s="291">
        <v>0</v>
      </c>
      <c r="O762" s="291">
        <v>0</v>
      </c>
    </row>
    <row r="763" spans="1:15">
      <c r="A763" s="244">
        <v>17</v>
      </c>
      <c r="B763" s="247" t="s">
        <v>539</v>
      </c>
      <c r="C763" s="290" t="s">
        <v>1097</v>
      </c>
      <c r="D763" s="116" t="s">
        <v>32</v>
      </c>
      <c r="E763" s="95">
        <v>882</v>
      </c>
      <c r="F763" s="116">
        <v>5</v>
      </c>
      <c r="G763" s="291">
        <f t="shared" si="22"/>
        <v>4410</v>
      </c>
      <c r="H763" s="291">
        <v>0</v>
      </c>
      <c r="I763" s="291">
        <v>0</v>
      </c>
      <c r="J763" s="291">
        <v>0</v>
      </c>
      <c r="K763" s="291">
        <v>0</v>
      </c>
      <c r="L763" s="291">
        <v>0</v>
      </c>
      <c r="M763" s="291">
        <v>0</v>
      </c>
      <c r="N763" s="291">
        <v>0</v>
      </c>
      <c r="O763" s="291">
        <v>0</v>
      </c>
    </row>
    <row r="764" spans="1:15" ht="28.5">
      <c r="A764" s="244">
        <v>18</v>
      </c>
      <c r="B764" s="247" t="s">
        <v>1098</v>
      </c>
      <c r="C764" s="290" t="s">
        <v>1099</v>
      </c>
      <c r="D764" s="116" t="s">
        <v>392</v>
      </c>
      <c r="E764" s="95">
        <v>22420</v>
      </c>
      <c r="F764" s="116">
        <v>5</v>
      </c>
      <c r="G764" s="291">
        <f t="shared" si="22"/>
        <v>112100</v>
      </c>
      <c r="H764" s="291">
        <v>0</v>
      </c>
      <c r="I764" s="291">
        <v>0</v>
      </c>
      <c r="J764" s="291">
        <v>0</v>
      </c>
      <c r="K764" s="291">
        <v>0</v>
      </c>
      <c r="L764" s="291">
        <v>0</v>
      </c>
      <c r="M764" s="291">
        <v>0</v>
      </c>
      <c r="N764" s="291">
        <v>0</v>
      </c>
      <c r="O764" s="291">
        <v>0</v>
      </c>
    </row>
    <row r="765" spans="1:15" ht="28.5">
      <c r="A765" s="244">
        <v>19</v>
      </c>
      <c r="B765" s="247" t="s">
        <v>441</v>
      </c>
      <c r="C765" s="290" t="s">
        <v>1100</v>
      </c>
      <c r="D765" s="116" t="s">
        <v>392</v>
      </c>
      <c r="E765" s="95">
        <v>11798.82</v>
      </c>
      <c r="F765" s="116">
        <v>4</v>
      </c>
      <c r="G765" s="291">
        <f t="shared" si="22"/>
        <v>47195.28</v>
      </c>
      <c r="H765" s="291">
        <v>0</v>
      </c>
      <c r="I765" s="291">
        <v>0</v>
      </c>
      <c r="J765" s="291">
        <v>0</v>
      </c>
      <c r="K765" s="291">
        <v>0</v>
      </c>
      <c r="L765" s="291">
        <v>0</v>
      </c>
      <c r="M765" s="291">
        <v>0</v>
      </c>
      <c r="N765" s="291">
        <v>0</v>
      </c>
      <c r="O765" s="291">
        <v>0</v>
      </c>
    </row>
    <row r="766" spans="1:15" ht="28.5">
      <c r="A766" s="244">
        <v>20</v>
      </c>
      <c r="B766" s="247" t="s">
        <v>1094</v>
      </c>
      <c r="C766" s="290" t="s">
        <v>1101</v>
      </c>
      <c r="D766" s="116" t="s">
        <v>392</v>
      </c>
      <c r="E766" s="95">
        <v>21830</v>
      </c>
      <c r="F766" s="116">
        <v>6</v>
      </c>
      <c r="G766" s="291">
        <f t="shared" si="22"/>
        <v>130980</v>
      </c>
      <c r="H766" s="291">
        <v>0</v>
      </c>
      <c r="I766" s="291">
        <v>0</v>
      </c>
      <c r="J766" s="291">
        <v>0</v>
      </c>
      <c r="K766" s="291">
        <v>0</v>
      </c>
      <c r="L766" s="291">
        <v>0</v>
      </c>
      <c r="M766" s="291">
        <v>0</v>
      </c>
      <c r="N766" s="291">
        <v>0</v>
      </c>
      <c r="O766" s="291">
        <v>0</v>
      </c>
    </row>
    <row r="767" spans="1:15" ht="28.5">
      <c r="A767" s="244">
        <v>21</v>
      </c>
      <c r="B767" s="247" t="s">
        <v>598</v>
      </c>
      <c r="C767" s="290" t="s">
        <v>1102</v>
      </c>
      <c r="D767" s="116" t="s">
        <v>392</v>
      </c>
      <c r="E767" s="95">
        <v>11798.82</v>
      </c>
      <c r="F767" s="116">
        <v>3</v>
      </c>
      <c r="G767" s="291">
        <f t="shared" si="22"/>
        <v>35396.46</v>
      </c>
      <c r="H767" s="291">
        <v>0</v>
      </c>
      <c r="I767" s="291">
        <v>0</v>
      </c>
      <c r="J767" s="291">
        <v>0</v>
      </c>
      <c r="K767" s="291">
        <v>0</v>
      </c>
      <c r="L767" s="291">
        <v>0</v>
      </c>
      <c r="M767" s="291">
        <v>0</v>
      </c>
      <c r="N767" s="291">
        <v>0</v>
      </c>
      <c r="O767" s="291">
        <v>0</v>
      </c>
    </row>
    <row r="768" spans="1:15" ht="28.5">
      <c r="A768" s="244">
        <v>22</v>
      </c>
      <c r="B768" s="247" t="s">
        <v>567</v>
      </c>
      <c r="C768" s="290" t="s">
        <v>1103</v>
      </c>
      <c r="D768" s="116" t="s">
        <v>392</v>
      </c>
      <c r="E768" s="95">
        <v>11210</v>
      </c>
      <c r="F768" s="116">
        <v>5</v>
      </c>
      <c r="G768" s="291">
        <f t="shared" si="22"/>
        <v>56050</v>
      </c>
      <c r="H768" s="291">
        <v>0</v>
      </c>
      <c r="I768" s="291">
        <v>0</v>
      </c>
      <c r="J768" s="291">
        <v>0</v>
      </c>
      <c r="K768" s="291">
        <v>0</v>
      </c>
      <c r="L768" s="291">
        <v>0</v>
      </c>
      <c r="M768" s="291">
        <v>0</v>
      </c>
      <c r="N768" s="291">
        <v>0</v>
      </c>
      <c r="O768" s="291">
        <v>0</v>
      </c>
    </row>
    <row r="769" spans="1:15" ht="28.5">
      <c r="A769" s="244">
        <v>23</v>
      </c>
      <c r="B769" s="247" t="s">
        <v>1088</v>
      </c>
      <c r="C769" s="290" t="s">
        <v>1104</v>
      </c>
      <c r="D769" s="116" t="s">
        <v>10</v>
      </c>
      <c r="E769" s="95">
        <v>1770</v>
      </c>
      <c r="F769" s="116">
        <v>10</v>
      </c>
      <c r="G769" s="291">
        <f t="shared" si="22"/>
        <v>17700</v>
      </c>
      <c r="H769" s="291">
        <v>0</v>
      </c>
      <c r="I769" s="291">
        <v>0</v>
      </c>
      <c r="J769" s="291">
        <v>0</v>
      </c>
      <c r="K769" s="291">
        <v>0</v>
      </c>
      <c r="L769" s="291">
        <v>0</v>
      </c>
      <c r="M769" s="291">
        <v>0</v>
      </c>
      <c r="N769" s="291">
        <v>0</v>
      </c>
      <c r="O769" s="291">
        <v>0</v>
      </c>
    </row>
    <row r="770" spans="1:15" ht="28.5">
      <c r="A770" s="244">
        <v>24</v>
      </c>
      <c r="B770" s="247" t="s">
        <v>334</v>
      </c>
      <c r="C770" s="290" t="s">
        <v>1105</v>
      </c>
      <c r="D770" s="116" t="s">
        <v>10</v>
      </c>
      <c r="E770" s="95">
        <v>1770</v>
      </c>
      <c r="F770" s="116">
        <v>10</v>
      </c>
      <c r="G770" s="291">
        <f t="shared" si="22"/>
        <v>17700</v>
      </c>
      <c r="H770" s="291">
        <v>0</v>
      </c>
      <c r="I770" s="291">
        <v>0</v>
      </c>
      <c r="J770" s="291">
        <v>0</v>
      </c>
      <c r="K770" s="291">
        <v>0</v>
      </c>
      <c r="L770" s="291">
        <v>0</v>
      </c>
      <c r="M770" s="291">
        <v>0</v>
      </c>
      <c r="N770" s="291">
        <v>0</v>
      </c>
      <c r="O770" s="291">
        <v>0</v>
      </c>
    </row>
    <row r="771" spans="1:15">
      <c r="A771" s="244">
        <v>25</v>
      </c>
      <c r="B771" s="247" t="s">
        <v>378</v>
      </c>
      <c r="C771" s="290" t="s">
        <v>1106</v>
      </c>
      <c r="D771" s="116" t="s">
        <v>10</v>
      </c>
      <c r="E771" s="95">
        <v>1475</v>
      </c>
      <c r="F771" s="116">
        <v>10</v>
      </c>
      <c r="G771" s="291">
        <f t="shared" si="22"/>
        <v>14750</v>
      </c>
      <c r="H771" s="291">
        <v>0</v>
      </c>
      <c r="I771" s="291">
        <v>0</v>
      </c>
      <c r="J771" s="291">
        <v>0</v>
      </c>
      <c r="K771" s="291">
        <v>0</v>
      </c>
      <c r="L771" s="291">
        <v>0</v>
      </c>
      <c r="M771" s="291">
        <v>0</v>
      </c>
      <c r="N771" s="291">
        <v>0</v>
      </c>
      <c r="O771" s="291">
        <v>0</v>
      </c>
    </row>
    <row r="772" spans="1:15" ht="28.5">
      <c r="A772" s="244">
        <v>26</v>
      </c>
      <c r="B772" s="247" t="s">
        <v>399</v>
      </c>
      <c r="C772" s="290" t="s">
        <v>1107</v>
      </c>
      <c r="D772" s="116" t="s">
        <v>10</v>
      </c>
      <c r="E772" s="95">
        <v>1475</v>
      </c>
      <c r="F772" s="116">
        <v>10</v>
      </c>
      <c r="G772" s="291">
        <f t="shared" si="22"/>
        <v>14750</v>
      </c>
      <c r="H772" s="291">
        <v>0</v>
      </c>
      <c r="I772" s="291">
        <v>0</v>
      </c>
      <c r="J772" s="291">
        <v>0</v>
      </c>
      <c r="K772" s="291">
        <v>0</v>
      </c>
      <c r="L772" s="291">
        <v>0</v>
      </c>
      <c r="M772" s="291">
        <v>0</v>
      </c>
      <c r="N772" s="291">
        <v>0</v>
      </c>
      <c r="O772" s="291">
        <v>0</v>
      </c>
    </row>
    <row r="773" spans="1:15" ht="28.5">
      <c r="A773" s="244">
        <v>27</v>
      </c>
      <c r="B773" s="247" t="s">
        <v>598</v>
      </c>
      <c r="C773" s="290" t="s">
        <v>1108</v>
      </c>
      <c r="D773" s="116" t="s">
        <v>10</v>
      </c>
      <c r="E773" s="95">
        <v>10620</v>
      </c>
      <c r="F773" s="116">
        <v>10</v>
      </c>
      <c r="G773" s="291">
        <f t="shared" si="22"/>
        <v>106200</v>
      </c>
      <c r="H773" s="291">
        <v>0</v>
      </c>
      <c r="I773" s="291">
        <v>0</v>
      </c>
      <c r="J773" s="291">
        <v>0</v>
      </c>
      <c r="K773" s="291">
        <v>0</v>
      </c>
      <c r="L773" s="291">
        <v>0</v>
      </c>
      <c r="M773" s="291">
        <v>0</v>
      </c>
      <c r="N773" s="291">
        <v>0</v>
      </c>
      <c r="O773" s="291">
        <v>0</v>
      </c>
    </row>
    <row r="774" spans="1:15" ht="28.5">
      <c r="A774" s="244">
        <v>28</v>
      </c>
      <c r="B774" s="247" t="s">
        <v>539</v>
      </c>
      <c r="C774" s="290" t="s">
        <v>1109</v>
      </c>
      <c r="D774" s="116" t="s">
        <v>10</v>
      </c>
      <c r="E774" s="95">
        <v>2230.1999999999998</v>
      </c>
      <c r="F774" s="116">
        <v>12</v>
      </c>
      <c r="G774" s="291">
        <f t="shared" si="22"/>
        <v>26762.399999999998</v>
      </c>
      <c r="H774" s="291">
        <v>0</v>
      </c>
      <c r="I774" s="291">
        <v>0</v>
      </c>
      <c r="J774" s="291">
        <v>0</v>
      </c>
      <c r="K774" s="291">
        <v>0</v>
      </c>
      <c r="L774" s="291">
        <v>0</v>
      </c>
      <c r="M774" s="291">
        <v>0</v>
      </c>
      <c r="N774" s="291">
        <v>0</v>
      </c>
      <c r="O774" s="291">
        <v>0</v>
      </c>
    </row>
    <row r="775" spans="1:15" ht="28.5">
      <c r="A775" s="244">
        <v>29</v>
      </c>
      <c r="B775" s="247" t="s">
        <v>543</v>
      </c>
      <c r="C775" s="290" t="s">
        <v>1110</v>
      </c>
      <c r="D775" s="116" t="s">
        <v>10</v>
      </c>
      <c r="E775" s="95">
        <v>2230.1999999999998</v>
      </c>
      <c r="F775" s="116">
        <v>20</v>
      </c>
      <c r="G775" s="291">
        <f t="shared" si="22"/>
        <v>44604</v>
      </c>
      <c r="H775" s="291">
        <v>0</v>
      </c>
      <c r="I775" s="291">
        <v>0</v>
      </c>
      <c r="J775" s="291">
        <v>0</v>
      </c>
      <c r="K775" s="291">
        <v>0</v>
      </c>
      <c r="L775" s="291">
        <v>0</v>
      </c>
      <c r="M775" s="291">
        <v>0</v>
      </c>
      <c r="N775" s="291">
        <v>0</v>
      </c>
      <c r="O775" s="291">
        <v>0</v>
      </c>
    </row>
    <row r="776" spans="1:15" ht="28.5">
      <c r="A776" s="244">
        <v>30</v>
      </c>
      <c r="B776" s="247" t="s">
        <v>541</v>
      </c>
      <c r="C776" s="290" t="s">
        <v>1111</v>
      </c>
      <c r="D776" s="116" t="s">
        <v>10</v>
      </c>
      <c r="E776" s="95">
        <v>2230.1999999999998</v>
      </c>
      <c r="F776" s="116">
        <v>15</v>
      </c>
      <c r="G776" s="291">
        <f t="shared" si="22"/>
        <v>33453</v>
      </c>
      <c r="H776" s="291">
        <v>0</v>
      </c>
      <c r="I776" s="291">
        <v>0</v>
      </c>
      <c r="J776" s="291">
        <v>0</v>
      </c>
      <c r="K776" s="291">
        <v>0</v>
      </c>
      <c r="L776" s="291">
        <v>0</v>
      </c>
      <c r="M776" s="291">
        <v>0</v>
      </c>
      <c r="N776" s="291">
        <v>0</v>
      </c>
      <c r="O776" s="291">
        <v>0</v>
      </c>
    </row>
    <row r="777" spans="1:15" ht="28.5">
      <c r="A777" s="244">
        <v>31</v>
      </c>
      <c r="B777" s="247" t="s">
        <v>1112</v>
      </c>
      <c r="C777" s="290" t="s">
        <v>1113</v>
      </c>
      <c r="D777" s="116" t="s">
        <v>10</v>
      </c>
      <c r="E777" s="95">
        <v>4307</v>
      </c>
      <c r="F777" s="116">
        <v>20</v>
      </c>
      <c r="G777" s="291">
        <f t="shared" si="22"/>
        <v>86140</v>
      </c>
      <c r="H777" s="291">
        <v>0</v>
      </c>
      <c r="I777" s="291">
        <v>0</v>
      </c>
      <c r="J777" s="291">
        <v>0</v>
      </c>
      <c r="K777" s="291">
        <v>0</v>
      </c>
      <c r="L777" s="291">
        <v>0</v>
      </c>
      <c r="M777" s="291">
        <v>0</v>
      </c>
      <c r="N777" s="291">
        <v>0</v>
      </c>
      <c r="O777" s="291">
        <v>0</v>
      </c>
    </row>
    <row r="778" spans="1:15" ht="28.5">
      <c r="A778" s="244">
        <v>32</v>
      </c>
      <c r="B778" s="247" t="s">
        <v>1114</v>
      </c>
      <c r="C778" s="290" t="s">
        <v>1115</v>
      </c>
      <c r="D778" s="116" t="s">
        <v>10</v>
      </c>
      <c r="E778" s="95">
        <v>3538.82</v>
      </c>
      <c r="F778" s="116">
        <v>6</v>
      </c>
      <c r="G778" s="291">
        <f t="shared" si="22"/>
        <v>21232.920000000002</v>
      </c>
      <c r="H778" s="291">
        <v>0</v>
      </c>
      <c r="I778" s="291">
        <v>0</v>
      </c>
      <c r="J778" s="291">
        <v>0</v>
      </c>
      <c r="K778" s="291">
        <v>0</v>
      </c>
      <c r="L778" s="291">
        <v>0</v>
      </c>
      <c r="M778" s="291">
        <v>0</v>
      </c>
      <c r="N778" s="291">
        <v>0</v>
      </c>
      <c r="O778" s="291">
        <v>0</v>
      </c>
    </row>
    <row r="779" spans="1:15" ht="28.5">
      <c r="A779" s="244">
        <v>33</v>
      </c>
      <c r="B779" s="247" t="s">
        <v>394</v>
      </c>
      <c r="C779" s="290" t="s">
        <v>1116</v>
      </c>
      <c r="D779" s="116" t="s">
        <v>10</v>
      </c>
      <c r="E779" s="95">
        <v>1711</v>
      </c>
      <c r="F779" s="116">
        <v>15</v>
      </c>
      <c r="G779" s="291">
        <f t="shared" si="22"/>
        <v>25665</v>
      </c>
      <c r="H779" s="291">
        <v>0</v>
      </c>
      <c r="I779" s="291">
        <v>0</v>
      </c>
      <c r="J779" s="291">
        <v>0</v>
      </c>
      <c r="K779" s="291">
        <v>0</v>
      </c>
      <c r="L779" s="291">
        <v>0</v>
      </c>
      <c r="M779" s="291">
        <v>0</v>
      </c>
      <c r="N779" s="291">
        <v>0</v>
      </c>
      <c r="O779" s="291">
        <v>0</v>
      </c>
    </row>
    <row r="780" spans="1:15" ht="28.5">
      <c r="A780" s="244">
        <v>34</v>
      </c>
      <c r="B780" s="247" t="s">
        <v>1117</v>
      </c>
      <c r="C780" s="290" t="s">
        <v>1118</v>
      </c>
      <c r="D780" s="116" t="s">
        <v>10</v>
      </c>
      <c r="E780" s="95">
        <v>1711</v>
      </c>
      <c r="F780" s="116">
        <v>9</v>
      </c>
      <c r="G780" s="291">
        <f t="shared" si="22"/>
        <v>15399</v>
      </c>
      <c r="H780" s="291">
        <v>0</v>
      </c>
      <c r="I780" s="291">
        <v>0</v>
      </c>
      <c r="J780" s="291">
        <v>0</v>
      </c>
      <c r="K780" s="291">
        <v>0</v>
      </c>
      <c r="L780" s="291">
        <v>0</v>
      </c>
      <c r="M780" s="291">
        <v>0</v>
      </c>
      <c r="N780" s="291">
        <v>0</v>
      </c>
      <c r="O780" s="291">
        <v>0</v>
      </c>
    </row>
    <row r="781" spans="1:15">
      <c r="A781" s="244">
        <v>35</v>
      </c>
      <c r="B781" s="247" t="s">
        <v>620</v>
      </c>
      <c r="C781" s="290" t="s">
        <v>1119</v>
      </c>
      <c r="D781" s="116" t="s">
        <v>10</v>
      </c>
      <c r="E781" s="95">
        <v>1829</v>
      </c>
      <c r="F781" s="116">
        <v>10</v>
      </c>
      <c r="G781" s="291">
        <f t="shared" si="22"/>
        <v>18290</v>
      </c>
      <c r="H781" s="291">
        <v>0</v>
      </c>
      <c r="I781" s="291">
        <v>0</v>
      </c>
      <c r="J781" s="291">
        <v>0</v>
      </c>
      <c r="K781" s="291">
        <v>0</v>
      </c>
      <c r="L781" s="291">
        <v>0</v>
      </c>
      <c r="M781" s="291">
        <v>0</v>
      </c>
      <c r="N781" s="291">
        <v>0</v>
      </c>
      <c r="O781" s="256"/>
    </row>
    <row r="782" spans="1:15">
      <c r="A782" s="244">
        <v>36</v>
      </c>
      <c r="B782" s="247" t="s">
        <v>406</v>
      </c>
      <c r="C782" s="290" t="s">
        <v>1120</v>
      </c>
      <c r="D782" s="116" t="s">
        <v>10</v>
      </c>
      <c r="E782" s="95">
        <v>798.79</v>
      </c>
      <c r="F782" s="116">
        <v>6</v>
      </c>
      <c r="G782" s="291">
        <f t="shared" si="22"/>
        <v>4792.74</v>
      </c>
      <c r="H782" s="291">
        <v>0</v>
      </c>
      <c r="I782" s="291">
        <v>0</v>
      </c>
      <c r="J782" s="291">
        <v>0</v>
      </c>
      <c r="K782" s="291">
        <v>0</v>
      </c>
      <c r="L782" s="291">
        <v>0</v>
      </c>
      <c r="M782" s="291">
        <v>0</v>
      </c>
      <c r="N782" s="291">
        <v>0</v>
      </c>
      <c r="O782" s="291">
        <v>0</v>
      </c>
    </row>
    <row r="783" spans="1:15">
      <c r="A783" s="244">
        <v>37</v>
      </c>
      <c r="B783" s="247"/>
      <c r="C783" s="290" t="s">
        <v>1121</v>
      </c>
      <c r="D783" s="116" t="s">
        <v>392</v>
      </c>
      <c r="E783" s="95">
        <v>2478</v>
      </c>
      <c r="F783" s="116">
        <v>22</v>
      </c>
      <c r="G783" s="291">
        <f t="shared" si="22"/>
        <v>54516</v>
      </c>
      <c r="H783" s="291">
        <v>0</v>
      </c>
      <c r="I783" s="291">
        <v>0</v>
      </c>
      <c r="J783" s="291">
        <v>0</v>
      </c>
      <c r="K783" s="291">
        <v>0</v>
      </c>
      <c r="L783" s="291">
        <v>0</v>
      </c>
      <c r="M783" s="291">
        <v>0</v>
      </c>
      <c r="N783" s="291">
        <v>0</v>
      </c>
      <c r="O783" s="291"/>
    </row>
    <row r="784" spans="1:15">
      <c r="A784" s="244">
        <v>38</v>
      </c>
      <c r="B784" s="247"/>
      <c r="C784" s="290" t="s">
        <v>1122</v>
      </c>
      <c r="D784" s="116" t="s">
        <v>392</v>
      </c>
      <c r="E784" s="95">
        <v>2950</v>
      </c>
      <c r="F784" s="116">
        <v>22</v>
      </c>
      <c r="G784" s="291">
        <f t="shared" si="22"/>
        <v>64900</v>
      </c>
      <c r="H784" s="291">
        <v>0</v>
      </c>
      <c r="I784" s="291">
        <v>0</v>
      </c>
      <c r="J784" s="291">
        <v>0</v>
      </c>
      <c r="K784" s="291">
        <v>0</v>
      </c>
      <c r="L784" s="291">
        <v>0</v>
      </c>
      <c r="M784" s="291">
        <v>0</v>
      </c>
      <c r="N784" s="291">
        <v>0</v>
      </c>
      <c r="O784" s="291"/>
    </row>
    <row r="785" spans="1:15">
      <c r="A785" s="244">
        <v>39</v>
      </c>
      <c r="B785" s="247"/>
      <c r="C785" s="290" t="s">
        <v>1123</v>
      </c>
      <c r="D785" s="116" t="s">
        <v>10</v>
      </c>
      <c r="E785" s="95">
        <v>1003</v>
      </c>
      <c r="F785" s="116">
        <v>10</v>
      </c>
      <c r="G785" s="291">
        <f t="shared" si="22"/>
        <v>10030</v>
      </c>
      <c r="H785" s="291">
        <v>0</v>
      </c>
      <c r="I785" s="291">
        <v>0</v>
      </c>
      <c r="J785" s="291">
        <v>0</v>
      </c>
      <c r="K785" s="291">
        <v>0</v>
      </c>
      <c r="L785" s="291">
        <v>0</v>
      </c>
      <c r="M785" s="291">
        <v>0</v>
      </c>
      <c r="N785" s="291">
        <v>0</v>
      </c>
      <c r="O785" s="291"/>
    </row>
    <row r="786" spans="1:15">
      <c r="A786" s="244">
        <v>40</v>
      </c>
      <c r="B786" s="247"/>
      <c r="C786" s="290" t="s">
        <v>1124</v>
      </c>
      <c r="D786" s="116" t="s">
        <v>10</v>
      </c>
      <c r="E786" s="95">
        <v>708</v>
      </c>
      <c r="F786" s="116">
        <v>12</v>
      </c>
      <c r="G786" s="291">
        <f t="shared" si="22"/>
        <v>8496</v>
      </c>
      <c r="H786" s="291">
        <v>0</v>
      </c>
      <c r="I786" s="291">
        <v>0</v>
      </c>
      <c r="J786" s="291">
        <v>0</v>
      </c>
      <c r="K786" s="291">
        <v>0</v>
      </c>
      <c r="L786" s="291">
        <v>0</v>
      </c>
      <c r="M786" s="291">
        <v>0</v>
      </c>
      <c r="N786" s="291">
        <v>0</v>
      </c>
      <c r="O786" s="291"/>
    </row>
    <row r="787" spans="1:15">
      <c r="A787" s="244">
        <v>41</v>
      </c>
      <c r="B787" s="247"/>
      <c r="C787" s="290" t="s">
        <v>1125</v>
      </c>
      <c r="D787" s="116" t="s">
        <v>10</v>
      </c>
      <c r="E787" s="95">
        <v>2124</v>
      </c>
      <c r="F787" s="116">
        <v>12</v>
      </c>
      <c r="G787" s="291">
        <f t="shared" si="22"/>
        <v>25488</v>
      </c>
      <c r="H787" s="291">
        <v>0</v>
      </c>
      <c r="I787" s="291">
        <v>0</v>
      </c>
      <c r="J787" s="291">
        <v>0</v>
      </c>
      <c r="K787" s="291">
        <v>0</v>
      </c>
      <c r="L787" s="291">
        <v>0</v>
      </c>
      <c r="M787" s="291">
        <v>0</v>
      </c>
      <c r="N787" s="291">
        <v>0</v>
      </c>
      <c r="O787" s="291"/>
    </row>
    <row r="788" spans="1:15">
      <c r="A788" s="244">
        <v>42</v>
      </c>
      <c r="B788" s="247"/>
      <c r="C788" s="290" t="s">
        <v>1126</v>
      </c>
      <c r="D788" s="116" t="s">
        <v>10</v>
      </c>
      <c r="E788" s="95">
        <v>2006</v>
      </c>
      <c r="F788" s="116">
        <v>16</v>
      </c>
      <c r="G788" s="291">
        <f t="shared" si="22"/>
        <v>32096</v>
      </c>
      <c r="H788" s="291">
        <v>0</v>
      </c>
      <c r="I788" s="291">
        <v>0</v>
      </c>
      <c r="J788" s="291">
        <v>0</v>
      </c>
      <c r="K788" s="291">
        <v>0</v>
      </c>
      <c r="L788" s="291">
        <v>0</v>
      </c>
      <c r="M788" s="291">
        <v>0</v>
      </c>
      <c r="N788" s="291">
        <v>0</v>
      </c>
      <c r="O788" s="291"/>
    </row>
    <row r="789" spans="1:15">
      <c r="A789" s="244">
        <v>43</v>
      </c>
      <c r="B789" s="247"/>
      <c r="C789" s="290" t="s">
        <v>1127</v>
      </c>
      <c r="D789" s="116" t="s">
        <v>10</v>
      </c>
      <c r="E789" s="95">
        <v>1534</v>
      </c>
      <c r="F789" s="116">
        <v>26</v>
      </c>
      <c r="G789" s="291">
        <f t="shared" si="22"/>
        <v>39884</v>
      </c>
      <c r="H789" s="291">
        <v>0</v>
      </c>
      <c r="I789" s="291">
        <v>0</v>
      </c>
      <c r="J789" s="291">
        <v>0</v>
      </c>
      <c r="K789" s="291">
        <v>0</v>
      </c>
      <c r="L789" s="291">
        <v>0</v>
      </c>
      <c r="M789" s="291">
        <v>0</v>
      </c>
      <c r="N789" s="291">
        <v>0</v>
      </c>
      <c r="O789" s="291"/>
    </row>
    <row r="790" spans="1:15" ht="15">
      <c r="A790" s="257"/>
      <c r="B790" s="258"/>
      <c r="C790" s="259"/>
      <c r="D790" s="252" t="s">
        <v>374</v>
      </c>
      <c r="E790" s="253"/>
      <c r="F790" s="243"/>
      <c r="G790" s="254">
        <f t="shared" ref="G790:O790" si="23">SUM(G747:G789)</f>
        <v>2045111.4956599998</v>
      </c>
      <c r="H790" s="254">
        <f t="shared" si="23"/>
        <v>0</v>
      </c>
      <c r="I790" s="254">
        <f t="shared" si="23"/>
        <v>0</v>
      </c>
      <c r="J790" s="254">
        <f t="shared" si="23"/>
        <v>0</v>
      </c>
      <c r="K790" s="254">
        <f t="shared" si="23"/>
        <v>0</v>
      </c>
      <c r="L790" s="254">
        <f t="shared" si="23"/>
        <v>0</v>
      </c>
      <c r="M790" s="254">
        <f t="shared" si="23"/>
        <v>0</v>
      </c>
      <c r="N790" s="254">
        <f t="shared" si="23"/>
        <v>0</v>
      </c>
      <c r="O790" s="254">
        <f t="shared" si="23"/>
        <v>0</v>
      </c>
    </row>
    <row r="791" spans="1:15" ht="15">
      <c r="A791" s="459" t="s">
        <v>1128</v>
      </c>
      <c r="B791" s="459"/>
      <c r="C791" s="459"/>
      <c r="D791" s="459"/>
      <c r="E791" s="459"/>
      <c r="F791" s="459"/>
      <c r="G791" s="459"/>
      <c r="H791" s="459"/>
      <c r="I791" s="459"/>
      <c r="J791" s="459"/>
      <c r="K791" s="459"/>
      <c r="L791" s="459"/>
      <c r="M791" s="459"/>
      <c r="N791" s="459"/>
      <c r="O791" s="459"/>
    </row>
    <row r="792" spans="1:15">
      <c r="A792" s="122">
        <v>1</v>
      </c>
      <c r="B792" s="122"/>
      <c r="C792" s="260" t="s">
        <v>1129</v>
      </c>
      <c r="D792" s="122" t="s">
        <v>10</v>
      </c>
      <c r="E792" s="122">
        <v>3013</v>
      </c>
      <c r="F792" s="122">
        <v>1</v>
      </c>
      <c r="G792" s="14">
        <f>E792*F792</f>
        <v>3013</v>
      </c>
      <c r="H792" s="14" t="s">
        <v>385</v>
      </c>
      <c r="I792" s="14">
        <v>0</v>
      </c>
      <c r="J792" s="14" t="s">
        <v>385</v>
      </c>
      <c r="K792" s="14">
        <v>0</v>
      </c>
      <c r="L792" s="14" t="s">
        <v>385</v>
      </c>
      <c r="M792" s="14">
        <v>0</v>
      </c>
      <c r="N792" s="14" t="s">
        <v>385</v>
      </c>
      <c r="O792" s="14">
        <v>0</v>
      </c>
    </row>
    <row r="793" spans="1:15">
      <c r="A793" s="122">
        <v>2</v>
      </c>
      <c r="B793" s="122"/>
      <c r="C793" s="260" t="s">
        <v>1130</v>
      </c>
      <c r="D793" s="122" t="s">
        <v>10</v>
      </c>
      <c r="E793" s="122">
        <v>3013</v>
      </c>
      <c r="F793" s="122">
        <v>2</v>
      </c>
      <c r="G793" s="14">
        <f t="shared" ref="G793:G856" si="24">E793*F793</f>
        <v>6026</v>
      </c>
      <c r="H793" s="14" t="s">
        <v>385</v>
      </c>
      <c r="I793" s="14">
        <v>0</v>
      </c>
      <c r="J793" s="14" t="s">
        <v>385</v>
      </c>
      <c r="K793" s="14">
        <v>0</v>
      </c>
      <c r="L793" s="14" t="s">
        <v>385</v>
      </c>
      <c r="M793" s="14">
        <v>0</v>
      </c>
      <c r="N793" s="14" t="s">
        <v>385</v>
      </c>
      <c r="O793" s="14">
        <v>0</v>
      </c>
    </row>
    <row r="794" spans="1:15">
      <c r="A794" s="122">
        <v>3</v>
      </c>
      <c r="B794" s="122"/>
      <c r="C794" s="261" t="s">
        <v>1131</v>
      </c>
      <c r="D794" s="122" t="s">
        <v>10</v>
      </c>
      <c r="E794" s="122">
        <v>35550</v>
      </c>
      <c r="F794" s="122">
        <v>1</v>
      </c>
      <c r="G794" s="14">
        <f t="shared" si="24"/>
        <v>35550</v>
      </c>
      <c r="H794" s="14" t="s">
        <v>385</v>
      </c>
      <c r="I794" s="14">
        <v>0</v>
      </c>
      <c r="J794" s="14" t="s">
        <v>385</v>
      </c>
      <c r="K794" s="14">
        <v>0</v>
      </c>
      <c r="L794" s="14" t="s">
        <v>385</v>
      </c>
      <c r="M794" s="14">
        <v>0</v>
      </c>
      <c r="N794" s="14" t="s">
        <v>385</v>
      </c>
      <c r="O794" s="14">
        <v>0</v>
      </c>
    </row>
    <row r="795" spans="1:15">
      <c r="A795" s="122">
        <v>4</v>
      </c>
      <c r="B795" s="122"/>
      <c r="C795" s="261" t="s">
        <v>1132</v>
      </c>
      <c r="D795" s="122" t="s">
        <v>10</v>
      </c>
      <c r="E795" s="122">
        <v>42117</v>
      </c>
      <c r="F795" s="122">
        <v>1</v>
      </c>
      <c r="G795" s="14">
        <f t="shared" si="24"/>
        <v>42117</v>
      </c>
      <c r="H795" s="14" t="s">
        <v>385</v>
      </c>
      <c r="I795" s="14">
        <v>0</v>
      </c>
      <c r="J795" s="14" t="s">
        <v>385</v>
      </c>
      <c r="K795" s="14">
        <v>0</v>
      </c>
      <c r="L795" s="14" t="s">
        <v>385</v>
      </c>
      <c r="M795" s="14">
        <v>0</v>
      </c>
      <c r="N795" s="14" t="s">
        <v>385</v>
      </c>
      <c r="O795" s="14">
        <v>0</v>
      </c>
    </row>
    <row r="796" spans="1:15">
      <c r="A796" s="122">
        <v>5</v>
      </c>
      <c r="B796" s="122"/>
      <c r="C796" s="262" t="s">
        <v>1133</v>
      </c>
      <c r="D796" s="122" t="s">
        <v>10</v>
      </c>
      <c r="E796" s="122">
        <v>162683</v>
      </c>
      <c r="F796" s="122">
        <v>1</v>
      </c>
      <c r="G796" s="14">
        <f t="shared" si="24"/>
        <v>162683</v>
      </c>
      <c r="H796" s="14" t="s">
        <v>385</v>
      </c>
      <c r="I796" s="14">
        <v>0</v>
      </c>
      <c r="J796" s="14" t="s">
        <v>385</v>
      </c>
      <c r="K796" s="14">
        <v>0</v>
      </c>
      <c r="L796" s="14" t="s">
        <v>385</v>
      </c>
      <c r="M796" s="14">
        <v>0</v>
      </c>
      <c r="N796" s="14" t="s">
        <v>385</v>
      </c>
      <c r="O796" s="14">
        <v>0</v>
      </c>
    </row>
    <row r="797" spans="1:15">
      <c r="A797" s="122">
        <v>6</v>
      </c>
      <c r="B797" s="122"/>
      <c r="C797" s="262" t="s">
        <v>1134</v>
      </c>
      <c r="D797" s="122" t="s">
        <v>10</v>
      </c>
      <c r="E797" s="122">
        <v>198835</v>
      </c>
      <c r="F797" s="122">
        <v>1</v>
      </c>
      <c r="G797" s="14">
        <f t="shared" si="24"/>
        <v>198835</v>
      </c>
      <c r="H797" s="14" t="s">
        <v>385</v>
      </c>
      <c r="I797" s="14">
        <v>0</v>
      </c>
      <c r="J797" s="14" t="s">
        <v>385</v>
      </c>
      <c r="K797" s="14">
        <v>0</v>
      </c>
      <c r="L797" s="14" t="s">
        <v>385</v>
      </c>
      <c r="M797" s="14">
        <v>0</v>
      </c>
      <c r="N797" s="14" t="s">
        <v>385</v>
      </c>
      <c r="O797" s="14">
        <v>0</v>
      </c>
    </row>
    <row r="798" spans="1:15">
      <c r="A798" s="122">
        <v>7</v>
      </c>
      <c r="B798" s="122"/>
      <c r="C798" s="262" t="s">
        <v>1135</v>
      </c>
      <c r="D798" s="122" t="s">
        <v>10</v>
      </c>
      <c r="E798" s="122">
        <v>1808</v>
      </c>
      <c r="F798" s="122">
        <v>3</v>
      </c>
      <c r="G798" s="14">
        <f t="shared" si="24"/>
        <v>5424</v>
      </c>
      <c r="H798" s="14" t="s">
        <v>385</v>
      </c>
      <c r="I798" s="14">
        <v>0</v>
      </c>
      <c r="J798" s="14" t="s">
        <v>385</v>
      </c>
      <c r="K798" s="14">
        <v>0</v>
      </c>
      <c r="L798" s="14" t="s">
        <v>385</v>
      </c>
      <c r="M798" s="14">
        <v>0</v>
      </c>
      <c r="N798" s="14" t="s">
        <v>385</v>
      </c>
      <c r="O798" s="14">
        <v>0</v>
      </c>
    </row>
    <row r="799" spans="1:15">
      <c r="A799" s="122">
        <v>8</v>
      </c>
      <c r="B799" s="122"/>
      <c r="C799" s="262" t="s">
        <v>1136</v>
      </c>
      <c r="D799" s="122" t="s">
        <v>10</v>
      </c>
      <c r="E799" s="122">
        <v>1808</v>
      </c>
      <c r="F799" s="122">
        <v>3</v>
      </c>
      <c r="G799" s="14">
        <f t="shared" si="24"/>
        <v>5424</v>
      </c>
      <c r="H799" s="14" t="s">
        <v>385</v>
      </c>
      <c r="I799" s="14">
        <v>0</v>
      </c>
      <c r="J799" s="14" t="s">
        <v>385</v>
      </c>
      <c r="K799" s="14">
        <v>0</v>
      </c>
      <c r="L799" s="14" t="s">
        <v>385</v>
      </c>
      <c r="M799" s="14">
        <v>0</v>
      </c>
      <c r="N799" s="14" t="s">
        <v>385</v>
      </c>
      <c r="O799" s="14">
        <v>0</v>
      </c>
    </row>
    <row r="800" spans="1:15">
      <c r="A800" s="122">
        <v>9</v>
      </c>
      <c r="B800" s="122"/>
      <c r="C800" s="261" t="s">
        <v>1137</v>
      </c>
      <c r="D800" s="122" t="s">
        <v>10</v>
      </c>
      <c r="E800" s="122">
        <v>10846</v>
      </c>
      <c r="F800" s="122">
        <v>1</v>
      </c>
      <c r="G800" s="14">
        <f t="shared" si="24"/>
        <v>10846</v>
      </c>
      <c r="H800" s="14" t="s">
        <v>385</v>
      </c>
      <c r="I800" s="14">
        <v>0</v>
      </c>
      <c r="J800" s="14" t="s">
        <v>385</v>
      </c>
      <c r="K800" s="14">
        <v>0</v>
      </c>
      <c r="L800" s="14" t="s">
        <v>385</v>
      </c>
      <c r="M800" s="14">
        <v>0</v>
      </c>
      <c r="N800" s="14" t="s">
        <v>385</v>
      </c>
      <c r="O800" s="14">
        <v>0</v>
      </c>
    </row>
    <row r="801" spans="1:15" ht="28.5">
      <c r="A801" s="122">
        <v>10</v>
      </c>
      <c r="B801" s="122"/>
      <c r="C801" s="262" t="s">
        <v>1138</v>
      </c>
      <c r="D801" s="122" t="s">
        <v>10</v>
      </c>
      <c r="E801" s="122">
        <v>42177</v>
      </c>
      <c r="F801" s="122">
        <v>1</v>
      </c>
      <c r="G801" s="14">
        <f t="shared" si="24"/>
        <v>42177</v>
      </c>
      <c r="H801" s="14" t="s">
        <v>385</v>
      </c>
      <c r="I801" s="14">
        <v>0</v>
      </c>
      <c r="J801" s="14" t="s">
        <v>385</v>
      </c>
      <c r="K801" s="14">
        <v>0</v>
      </c>
      <c r="L801" s="14" t="s">
        <v>385</v>
      </c>
      <c r="M801" s="14">
        <v>0</v>
      </c>
      <c r="N801" s="14" t="s">
        <v>385</v>
      </c>
      <c r="O801" s="14">
        <v>0</v>
      </c>
    </row>
    <row r="802" spans="1:15" ht="28.5">
      <c r="A802" s="122">
        <v>11</v>
      </c>
      <c r="B802" s="122"/>
      <c r="C802" s="262" t="s">
        <v>1139</v>
      </c>
      <c r="D802" s="122" t="s">
        <v>10</v>
      </c>
      <c r="E802" s="122">
        <v>964068</v>
      </c>
      <c r="F802" s="122">
        <v>1</v>
      </c>
      <c r="G802" s="14">
        <f t="shared" si="24"/>
        <v>964068</v>
      </c>
      <c r="H802" s="14" t="s">
        <v>385</v>
      </c>
      <c r="I802" s="14">
        <v>0</v>
      </c>
      <c r="J802" s="14" t="s">
        <v>385</v>
      </c>
      <c r="K802" s="14">
        <v>0</v>
      </c>
      <c r="L802" s="14" t="s">
        <v>385</v>
      </c>
      <c r="M802" s="14">
        <v>0</v>
      </c>
      <c r="N802" s="14" t="s">
        <v>385</v>
      </c>
      <c r="O802" s="14">
        <v>0</v>
      </c>
    </row>
    <row r="803" spans="1:15" ht="28.5">
      <c r="A803" s="122">
        <v>12</v>
      </c>
      <c r="B803" s="122"/>
      <c r="C803" s="260" t="s">
        <v>1140</v>
      </c>
      <c r="D803" s="122" t="s">
        <v>10</v>
      </c>
      <c r="E803" s="122">
        <v>4500</v>
      </c>
      <c r="F803" s="122">
        <v>1</v>
      </c>
      <c r="G803" s="14">
        <f t="shared" si="24"/>
        <v>4500</v>
      </c>
      <c r="H803" s="14" t="s">
        <v>385</v>
      </c>
      <c r="I803" s="14">
        <v>0</v>
      </c>
      <c r="J803" s="14" t="s">
        <v>385</v>
      </c>
      <c r="K803" s="14">
        <v>0</v>
      </c>
      <c r="L803" s="14" t="s">
        <v>385</v>
      </c>
      <c r="M803" s="14">
        <v>0</v>
      </c>
      <c r="N803" s="14" t="s">
        <v>385</v>
      </c>
      <c r="O803" s="14">
        <v>0</v>
      </c>
    </row>
    <row r="804" spans="1:15">
      <c r="A804" s="122">
        <v>13</v>
      </c>
      <c r="B804" s="122"/>
      <c r="C804" s="261" t="s">
        <v>1141</v>
      </c>
      <c r="D804" s="122" t="s">
        <v>10</v>
      </c>
      <c r="E804" s="122">
        <v>664048</v>
      </c>
      <c r="F804" s="122">
        <v>1</v>
      </c>
      <c r="G804" s="14">
        <f t="shared" si="24"/>
        <v>664048</v>
      </c>
      <c r="H804" s="14" t="s">
        <v>385</v>
      </c>
      <c r="I804" s="14">
        <v>0</v>
      </c>
      <c r="J804" s="14" t="s">
        <v>385</v>
      </c>
      <c r="K804" s="14">
        <v>0</v>
      </c>
      <c r="L804" s="14" t="s">
        <v>385</v>
      </c>
      <c r="M804" s="14">
        <v>0</v>
      </c>
      <c r="N804" s="14" t="s">
        <v>385</v>
      </c>
      <c r="O804" s="14">
        <v>0</v>
      </c>
    </row>
    <row r="805" spans="1:15">
      <c r="A805" s="122">
        <v>14</v>
      </c>
      <c r="B805" s="122"/>
      <c r="C805" s="261" t="s">
        <v>1142</v>
      </c>
      <c r="D805" s="122" t="s">
        <v>10</v>
      </c>
      <c r="E805" s="122">
        <v>6670</v>
      </c>
      <c r="F805" s="122">
        <v>1</v>
      </c>
      <c r="G805" s="14">
        <f t="shared" si="24"/>
        <v>6670</v>
      </c>
      <c r="H805" s="14" t="s">
        <v>385</v>
      </c>
      <c r="I805" s="14">
        <v>0</v>
      </c>
      <c r="J805" s="14" t="s">
        <v>385</v>
      </c>
      <c r="K805" s="14">
        <v>0</v>
      </c>
      <c r="L805" s="14" t="s">
        <v>385</v>
      </c>
      <c r="M805" s="14">
        <v>0</v>
      </c>
      <c r="N805" s="14" t="s">
        <v>385</v>
      </c>
      <c r="O805" s="14">
        <v>0</v>
      </c>
    </row>
    <row r="806" spans="1:15">
      <c r="A806" s="122">
        <v>15</v>
      </c>
      <c r="B806" s="122"/>
      <c r="C806" s="262" t="s">
        <v>1143</v>
      </c>
      <c r="D806" s="122" t="s">
        <v>10</v>
      </c>
      <c r="E806" s="122">
        <v>8576</v>
      </c>
      <c r="F806" s="122">
        <v>1</v>
      </c>
      <c r="G806" s="14">
        <f t="shared" si="24"/>
        <v>8576</v>
      </c>
      <c r="H806" s="14" t="s">
        <v>385</v>
      </c>
      <c r="I806" s="14">
        <v>0</v>
      </c>
      <c r="J806" s="14" t="s">
        <v>385</v>
      </c>
      <c r="K806" s="14">
        <v>0</v>
      </c>
      <c r="L806" s="14" t="s">
        <v>385</v>
      </c>
      <c r="M806" s="14">
        <v>0</v>
      </c>
      <c r="N806" s="14" t="s">
        <v>385</v>
      </c>
      <c r="O806" s="14">
        <v>0</v>
      </c>
    </row>
    <row r="807" spans="1:15" ht="28.5">
      <c r="A807" s="122">
        <v>16</v>
      </c>
      <c r="B807" s="122"/>
      <c r="C807" s="262" t="s">
        <v>1144</v>
      </c>
      <c r="D807" s="122" t="s">
        <v>10</v>
      </c>
      <c r="E807" s="122">
        <v>14383</v>
      </c>
      <c r="F807" s="122">
        <v>1</v>
      </c>
      <c r="G807" s="14">
        <f t="shared" si="24"/>
        <v>14383</v>
      </c>
      <c r="H807" s="14" t="s">
        <v>385</v>
      </c>
      <c r="I807" s="14">
        <v>0</v>
      </c>
      <c r="J807" s="14" t="s">
        <v>385</v>
      </c>
      <c r="K807" s="14">
        <v>0</v>
      </c>
      <c r="L807" s="14" t="s">
        <v>385</v>
      </c>
      <c r="M807" s="14">
        <v>0</v>
      </c>
      <c r="N807" s="14" t="s">
        <v>385</v>
      </c>
      <c r="O807" s="14">
        <v>0</v>
      </c>
    </row>
    <row r="808" spans="1:15">
      <c r="A808" s="122">
        <v>17</v>
      </c>
      <c r="B808" s="122"/>
      <c r="C808" s="262" t="s">
        <v>1145</v>
      </c>
      <c r="D808" s="122" t="s">
        <v>10</v>
      </c>
      <c r="E808" s="122">
        <v>6798</v>
      </c>
      <c r="F808" s="122">
        <v>1</v>
      </c>
      <c r="G808" s="14">
        <f t="shared" si="24"/>
        <v>6798</v>
      </c>
      <c r="H808" s="14" t="s">
        <v>385</v>
      </c>
      <c r="I808" s="14">
        <v>0</v>
      </c>
      <c r="J808" s="14" t="s">
        <v>385</v>
      </c>
      <c r="K808" s="14">
        <v>0</v>
      </c>
      <c r="L808" s="14" t="s">
        <v>385</v>
      </c>
      <c r="M808" s="14">
        <v>0</v>
      </c>
      <c r="N808" s="14" t="s">
        <v>385</v>
      </c>
      <c r="O808" s="14">
        <v>0</v>
      </c>
    </row>
    <row r="809" spans="1:15">
      <c r="A809" s="122">
        <v>18</v>
      </c>
      <c r="B809" s="122"/>
      <c r="C809" s="261" t="s">
        <v>1146</v>
      </c>
      <c r="D809" s="122" t="s">
        <v>10</v>
      </c>
      <c r="E809" s="122">
        <v>300000</v>
      </c>
      <c r="F809" s="122">
        <v>1</v>
      </c>
      <c r="G809" s="14">
        <f t="shared" si="24"/>
        <v>300000</v>
      </c>
      <c r="H809" s="14" t="s">
        <v>385</v>
      </c>
      <c r="I809" s="14">
        <v>0</v>
      </c>
      <c r="J809" s="14" t="s">
        <v>385</v>
      </c>
      <c r="K809" s="14">
        <v>0</v>
      </c>
      <c r="L809" s="14" t="s">
        <v>385</v>
      </c>
      <c r="M809" s="14">
        <v>0</v>
      </c>
      <c r="N809" s="14" t="s">
        <v>385</v>
      </c>
      <c r="O809" s="14">
        <v>0</v>
      </c>
    </row>
    <row r="810" spans="1:15">
      <c r="A810" s="122">
        <v>19</v>
      </c>
      <c r="B810" s="122"/>
      <c r="C810" s="261" t="s">
        <v>1147</v>
      </c>
      <c r="D810" s="122" t="s">
        <v>10</v>
      </c>
      <c r="E810" s="122">
        <v>2600</v>
      </c>
      <c r="F810" s="122">
        <v>1</v>
      </c>
      <c r="G810" s="14">
        <f t="shared" si="24"/>
        <v>2600</v>
      </c>
      <c r="H810" s="14" t="s">
        <v>385</v>
      </c>
      <c r="I810" s="14">
        <v>0</v>
      </c>
      <c r="J810" s="14" t="s">
        <v>385</v>
      </c>
      <c r="K810" s="14">
        <v>0</v>
      </c>
      <c r="L810" s="14" t="s">
        <v>385</v>
      </c>
      <c r="M810" s="14">
        <v>0</v>
      </c>
      <c r="N810" s="14" t="s">
        <v>385</v>
      </c>
      <c r="O810" s="14">
        <v>0</v>
      </c>
    </row>
    <row r="811" spans="1:15">
      <c r="A811" s="122">
        <v>20</v>
      </c>
      <c r="B811" s="122"/>
      <c r="C811" s="261" t="s">
        <v>1148</v>
      </c>
      <c r="D811" s="122" t="s">
        <v>10</v>
      </c>
      <c r="E811" s="122">
        <v>64579</v>
      </c>
      <c r="F811" s="122">
        <v>2</v>
      </c>
      <c r="G811" s="14">
        <f t="shared" si="24"/>
        <v>129158</v>
      </c>
      <c r="H811" s="14" t="s">
        <v>385</v>
      </c>
      <c r="I811" s="14">
        <v>0</v>
      </c>
      <c r="J811" s="14" t="s">
        <v>385</v>
      </c>
      <c r="K811" s="14">
        <v>0</v>
      </c>
      <c r="L811" s="14" t="s">
        <v>385</v>
      </c>
      <c r="M811" s="14">
        <v>0</v>
      </c>
      <c r="N811" s="14" t="s">
        <v>385</v>
      </c>
      <c r="O811" s="14">
        <v>0</v>
      </c>
    </row>
    <row r="812" spans="1:15">
      <c r="A812" s="122">
        <v>21</v>
      </c>
      <c r="B812" s="122"/>
      <c r="C812" s="261" t="s">
        <v>1149</v>
      </c>
      <c r="D812" s="122" t="s">
        <v>10</v>
      </c>
      <c r="E812" s="122">
        <v>42890</v>
      </c>
      <c r="F812" s="122">
        <v>2</v>
      </c>
      <c r="G812" s="14">
        <f t="shared" si="24"/>
        <v>85780</v>
      </c>
      <c r="H812" s="14" t="s">
        <v>385</v>
      </c>
      <c r="I812" s="14">
        <v>0</v>
      </c>
      <c r="J812" s="14" t="s">
        <v>385</v>
      </c>
      <c r="K812" s="14">
        <v>0</v>
      </c>
      <c r="L812" s="14" t="s">
        <v>385</v>
      </c>
      <c r="M812" s="14">
        <v>0</v>
      </c>
      <c r="N812" s="14" t="s">
        <v>385</v>
      </c>
      <c r="O812" s="14">
        <v>0</v>
      </c>
    </row>
    <row r="813" spans="1:15">
      <c r="A813" s="122">
        <v>22</v>
      </c>
      <c r="B813" s="122"/>
      <c r="C813" s="261" t="s">
        <v>1150</v>
      </c>
      <c r="D813" s="122" t="s">
        <v>10</v>
      </c>
      <c r="E813" s="122">
        <v>12450</v>
      </c>
      <c r="F813" s="122">
        <v>2</v>
      </c>
      <c r="G813" s="14">
        <f t="shared" si="24"/>
        <v>24900</v>
      </c>
      <c r="H813" s="14" t="s">
        <v>385</v>
      </c>
      <c r="I813" s="14">
        <v>0</v>
      </c>
      <c r="J813" s="14" t="s">
        <v>385</v>
      </c>
      <c r="K813" s="14">
        <v>0</v>
      </c>
      <c r="L813" s="14" t="s">
        <v>385</v>
      </c>
      <c r="M813" s="14">
        <v>0</v>
      </c>
      <c r="N813" s="14" t="s">
        <v>385</v>
      </c>
      <c r="O813" s="14">
        <v>0</v>
      </c>
    </row>
    <row r="814" spans="1:15">
      <c r="A814" s="122">
        <v>23</v>
      </c>
      <c r="B814" s="122"/>
      <c r="C814" s="262" t="s">
        <v>1151</v>
      </c>
      <c r="D814" s="122" t="s">
        <v>10</v>
      </c>
      <c r="E814" s="122">
        <v>32900</v>
      </c>
      <c r="F814" s="122">
        <v>2</v>
      </c>
      <c r="G814" s="14">
        <f t="shared" si="24"/>
        <v>65800</v>
      </c>
      <c r="H814" s="14" t="s">
        <v>385</v>
      </c>
      <c r="I814" s="14">
        <v>0</v>
      </c>
      <c r="J814" s="14" t="s">
        <v>385</v>
      </c>
      <c r="K814" s="14">
        <v>0</v>
      </c>
      <c r="L814" s="14" t="s">
        <v>385</v>
      </c>
      <c r="M814" s="14">
        <v>0</v>
      </c>
      <c r="N814" s="14" t="s">
        <v>385</v>
      </c>
      <c r="O814" s="14">
        <v>0</v>
      </c>
    </row>
    <row r="815" spans="1:15">
      <c r="A815" s="122">
        <v>24</v>
      </c>
      <c r="B815" s="122"/>
      <c r="C815" s="261" t="s">
        <v>1152</v>
      </c>
      <c r="D815" s="122" t="s">
        <v>10</v>
      </c>
      <c r="E815" s="122">
        <v>23500</v>
      </c>
      <c r="F815" s="122">
        <v>2</v>
      </c>
      <c r="G815" s="14">
        <f t="shared" si="24"/>
        <v>47000</v>
      </c>
      <c r="H815" s="14" t="s">
        <v>385</v>
      </c>
      <c r="I815" s="14">
        <v>0</v>
      </c>
      <c r="J815" s="14" t="s">
        <v>385</v>
      </c>
      <c r="K815" s="14">
        <v>0</v>
      </c>
      <c r="L815" s="14" t="s">
        <v>385</v>
      </c>
      <c r="M815" s="14">
        <v>0</v>
      </c>
      <c r="N815" s="14" t="s">
        <v>385</v>
      </c>
      <c r="O815" s="14">
        <v>0</v>
      </c>
    </row>
    <row r="816" spans="1:15" ht="28.5">
      <c r="A816" s="122">
        <v>25</v>
      </c>
      <c r="B816" s="122"/>
      <c r="C816" s="262" t="s">
        <v>1153</v>
      </c>
      <c r="D816" s="122" t="s">
        <v>10</v>
      </c>
      <c r="E816" s="122">
        <v>45500</v>
      </c>
      <c r="F816" s="122">
        <v>2</v>
      </c>
      <c r="G816" s="14">
        <f t="shared" si="24"/>
        <v>91000</v>
      </c>
      <c r="H816" s="14" t="s">
        <v>385</v>
      </c>
      <c r="I816" s="14">
        <v>0</v>
      </c>
      <c r="J816" s="14" t="s">
        <v>385</v>
      </c>
      <c r="K816" s="14">
        <v>0</v>
      </c>
      <c r="L816" s="14" t="s">
        <v>385</v>
      </c>
      <c r="M816" s="14">
        <v>0</v>
      </c>
      <c r="N816" s="14" t="s">
        <v>385</v>
      </c>
      <c r="O816" s="14">
        <v>0</v>
      </c>
    </row>
    <row r="817" spans="1:15">
      <c r="A817" s="122">
        <v>26</v>
      </c>
      <c r="B817" s="122"/>
      <c r="C817" s="261" t="s">
        <v>1154</v>
      </c>
      <c r="D817" s="122" t="s">
        <v>10</v>
      </c>
      <c r="E817" s="122">
        <v>46281</v>
      </c>
      <c r="F817" s="122">
        <v>2</v>
      </c>
      <c r="G817" s="14">
        <f t="shared" si="24"/>
        <v>92562</v>
      </c>
      <c r="H817" s="14" t="s">
        <v>385</v>
      </c>
      <c r="I817" s="14">
        <v>0</v>
      </c>
      <c r="J817" s="14" t="s">
        <v>385</v>
      </c>
      <c r="K817" s="14">
        <v>0</v>
      </c>
      <c r="L817" s="14" t="s">
        <v>385</v>
      </c>
      <c r="M817" s="14">
        <v>0</v>
      </c>
      <c r="N817" s="14" t="s">
        <v>385</v>
      </c>
      <c r="O817" s="14">
        <v>0</v>
      </c>
    </row>
    <row r="818" spans="1:15" ht="28.5">
      <c r="A818" s="122">
        <v>27</v>
      </c>
      <c r="B818" s="122"/>
      <c r="C818" s="262" t="s">
        <v>1155</v>
      </c>
      <c r="D818" s="122" t="s">
        <v>10</v>
      </c>
      <c r="E818" s="122">
        <v>18500</v>
      </c>
      <c r="F818" s="122">
        <v>2</v>
      </c>
      <c r="G818" s="14">
        <f t="shared" si="24"/>
        <v>37000</v>
      </c>
      <c r="H818" s="14" t="s">
        <v>385</v>
      </c>
      <c r="I818" s="14">
        <v>0</v>
      </c>
      <c r="J818" s="14" t="s">
        <v>385</v>
      </c>
      <c r="K818" s="14">
        <v>0</v>
      </c>
      <c r="L818" s="14" t="s">
        <v>385</v>
      </c>
      <c r="M818" s="14">
        <v>0</v>
      </c>
      <c r="N818" s="14" t="s">
        <v>385</v>
      </c>
      <c r="O818" s="14">
        <v>0</v>
      </c>
    </row>
    <row r="819" spans="1:15">
      <c r="A819" s="122">
        <v>28</v>
      </c>
      <c r="B819" s="122"/>
      <c r="C819" s="262" t="s">
        <v>1156</v>
      </c>
      <c r="D819" s="122" t="s">
        <v>10</v>
      </c>
      <c r="E819" s="122">
        <v>1500</v>
      </c>
      <c r="F819" s="122">
        <v>8</v>
      </c>
      <c r="G819" s="14">
        <f t="shared" si="24"/>
        <v>12000</v>
      </c>
      <c r="H819" s="14" t="s">
        <v>385</v>
      </c>
      <c r="I819" s="14">
        <v>0</v>
      </c>
      <c r="J819" s="14" t="s">
        <v>385</v>
      </c>
      <c r="K819" s="14">
        <v>0</v>
      </c>
      <c r="L819" s="14" t="s">
        <v>385</v>
      </c>
      <c r="M819" s="14">
        <v>0</v>
      </c>
      <c r="N819" s="14" t="s">
        <v>385</v>
      </c>
      <c r="O819" s="14">
        <v>0</v>
      </c>
    </row>
    <row r="820" spans="1:15">
      <c r="A820" s="122">
        <v>29</v>
      </c>
      <c r="B820" s="122"/>
      <c r="C820" s="261" t="s">
        <v>1157</v>
      </c>
      <c r="D820" s="122" t="s">
        <v>10</v>
      </c>
      <c r="E820" s="122">
        <v>2500</v>
      </c>
      <c r="F820" s="122">
        <v>2</v>
      </c>
      <c r="G820" s="14">
        <f t="shared" si="24"/>
        <v>5000</v>
      </c>
      <c r="H820" s="14" t="s">
        <v>385</v>
      </c>
      <c r="I820" s="14">
        <v>0</v>
      </c>
      <c r="J820" s="14" t="s">
        <v>385</v>
      </c>
      <c r="K820" s="14">
        <v>0</v>
      </c>
      <c r="L820" s="14" t="s">
        <v>385</v>
      </c>
      <c r="M820" s="14">
        <v>0</v>
      </c>
      <c r="N820" s="14" t="s">
        <v>385</v>
      </c>
      <c r="O820" s="14">
        <v>0</v>
      </c>
    </row>
    <row r="821" spans="1:15">
      <c r="A821" s="122">
        <v>30</v>
      </c>
      <c r="B821" s="122"/>
      <c r="C821" s="262" t="s">
        <v>1158</v>
      </c>
      <c r="D821" s="122" t="s">
        <v>10</v>
      </c>
      <c r="E821" s="122">
        <v>50</v>
      </c>
      <c r="F821" s="122">
        <v>155</v>
      </c>
      <c r="G821" s="14">
        <f t="shared" si="24"/>
        <v>7750</v>
      </c>
      <c r="H821" s="14" t="s">
        <v>385</v>
      </c>
      <c r="I821" s="14">
        <v>0</v>
      </c>
      <c r="J821" s="14" t="s">
        <v>385</v>
      </c>
      <c r="K821" s="14">
        <v>0</v>
      </c>
      <c r="L821" s="14" t="s">
        <v>385</v>
      </c>
      <c r="M821" s="14">
        <v>0</v>
      </c>
      <c r="N821" s="14" t="s">
        <v>385</v>
      </c>
      <c r="O821" s="14">
        <v>0</v>
      </c>
    </row>
    <row r="822" spans="1:15">
      <c r="A822" s="122">
        <v>31</v>
      </c>
      <c r="B822" s="122"/>
      <c r="C822" s="262" t="s">
        <v>1159</v>
      </c>
      <c r="D822" s="122" t="s">
        <v>10</v>
      </c>
      <c r="E822" s="122">
        <v>80</v>
      </c>
      <c r="F822" s="122">
        <v>33</v>
      </c>
      <c r="G822" s="14">
        <f t="shared" si="24"/>
        <v>2640</v>
      </c>
      <c r="H822" s="14" t="s">
        <v>385</v>
      </c>
      <c r="I822" s="14">
        <v>0</v>
      </c>
      <c r="J822" s="14" t="s">
        <v>385</v>
      </c>
      <c r="K822" s="14">
        <v>0</v>
      </c>
      <c r="L822" s="14" t="s">
        <v>385</v>
      </c>
      <c r="M822" s="14">
        <v>0</v>
      </c>
      <c r="N822" s="14" t="s">
        <v>385</v>
      </c>
      <c r="O822" s="14">
        <v>0</v>
      </c>
    </row>
    <row r="823" spans="1:15">
      <c r="A823" s="122">
        <v>32</v>
      </c>
      <c r="B823" s="122"/>
      <c r="C823" s="262" t="s">
        <v>1160</v>
      </c>
      <c r="D823" s="122" t="s">
        <v>1161</v>
      </c>
      <c r="E823" s="122">
        <v>179455</v>
      </c>
      <c r="F823" s="122">
        <v>1.792</v>
      </c>
      <c r="G823" s="14">
        <f t="shared" si="24"/>
        <v>321583.35999999999</v>
      </c>
      <c r="H823" s="14" t="s">
        <v>385</v>
      </c>
      <c r="I823" s="14">
        <v>0</v>
      </c>
      <c r="J823" s="14" t="s">
        <v>385</v>
      </c>
      <c r="K823" s="14">
        <v>0</v>
      </c>
      <c r="L823" s="14" t="s">
        <v>385</v>
      </c>
      <c r="M823" s="14">
        <v>0</v>
      </c>
      <c r="N823" s="14" t="s">
        <v>385</v>
      </c>
      <c r="O823" s="14">
        <v>0</v>
      </c>
    </row>
    <row r="824" spans="1:15">
      <c r="A824" s="122">
        <v>33</v>
      </c>
      <c r="B824" s="122"/>
      <c r="C824" s="262" t="s">
        <v>1162</v>
      </c>
      <c r="D824" s="122" t="s">
        <v>7</v>
      </c>
      <c r="E824" s="122">
        <v>25000</v>
      </c>
      <c r="F824" s="122">
        <v>0.2</v>
      </c>
      <c r="G824" s="14">
        <f t="shared" si="24"/>
        <v>5000</v>
      </c>
      <c r="H824" s="14" t="s">
        <v>385</v>
      </c>
      <c r="I824" s="14">
        <v>0</v>
      </c>
      <c r="J824" s="14" t="s">
        <v>385</v>
      </c>
      <c r="K824" s="14">
        <v>0</v>
      </c>
      <c r="L824" s="14" t="s">
        <v>385</v>
      </c>
      <c r="M824" s="14">
        <v>0</v>
      </c>
      <c r="N824" s="14" t="s">
        <v>385</v>
      </c>
      <c r="O824" s="14">
        <v>0</v>
      </c>
    </row>
    <row r="825" spans="1:15">
      <c r="A825" s="122">
        <v>34</v>
      </c>
      <c r="B825" s="122"/>
      <c r="C825" s="261" t="s">
        <v>1163</v>
      </c>
      <c r="D825" s="122" t="s">
        <v>7</v>
      </c>
      <c r="E825" s="122">
        <v>19600</v>
      </c>
      <c r="F825" s="122">
        <v>9.0999999999999998E-2</v>
      </c>
      <c r="G825" s="14">
        <f t="shared" si="24"/>
        <v>1783.6</v>
      </c>
      <c r="H825" s="14" t="s">
        <v>385</v>
      </c>
      <c r="I825" s="14">
        <v>0</v>
      </c>
      <c r="J825" s="14" t="s">
        <v>385</v>
      </c>
      <c r="K825" s="14">
        <v>0</v>
      </c>
      <c r="L825" s="14" t="s">
        <v>385</v>
      </c>
      <c r="M825" s="14">
        <v>0</v>
      </c>
      <c r="N825" s="14" t="s">
        <v>385</v>
      </c>
      <c r="O825" s="14">
        <v>0</v>
      </c>
    </row>
    <row r="826" spans="1:15" ht="28.5">
      <c r="A826" s="122">
        <v>35</v>
      </c>
      <c r="B826" s="122"/>
      <c r="C826" s="262" t="s">
        <v>1164</v>
      </c>
      <c r="D826" s="122" t="s">
        <v>7</v>
      </c>
      <c r="E826" s="122">
        <v>71099</v>
      </c>
      <c r="F826" s="263">
        <v>0.1</v>
      </c>
      <c r="G826" s="14">
        <f t="shared" si="24"/>
        <v>7109.9000000000005</v>
      </c>
      <c r="H826" s="14" t="s">
        <v>385</v>
      </c>
      <c r="I826" s="14">
        <v>0</v>
      </c>
      <c r="J826" s="14" t="s">
        <v>385</v>
      </c>
      <c r="K826" s="14">
        <v>0</v>
      </c>
      <c r="L826" s="14" t="s">
        <v>385</v>
      </c>
      <c r="M826" s="14">
        <v>0</v>
      </c>
      <c r="N826" s="14" t="s">
        <v>385</v>
      </c>
      <c r="O826" s="14">
        <v>0</v>
      </c>
    </row>
    <row r="827" spans="1:15">
      <c r="A827" s="122">
        <v>36</v>
      </c>
      <c r="B827" s="122"/>
      <c r="C827" s="262" t="s">
        <v>1165</v>
      </c>
      <c r="D827" s="122" t="s">
        <v>1161</v>
      </c>
      <c r="E827" s="122">
        <v>231471.8</v>
      </c>
      <c r="F827" s="122">
        <v>0.16500000000000001</v>
      </c>
      <c r="G827" s="14">
        <f t="shared" si="24"/>
        <v>38192.847000000002</v>
      </c>
      <c r="H827" s="14" t="s">
        <v>385</v>
      </c>
      <c r="I827" s="14">
        <v>0</v>
      </c>
      <c r="J827" s="14" t="s">
        <v>385</v>
      </c>
      <c r="K827" s="14">
        <v>0</v>
      </c>
      <c r="L827" s="14" t="s">
        <v>385</v>
      </c>
      <c r="M827" s="14">
        <v>0</v>
      </c>
      <c r="N827" s="14" t="s">
        <v>385</v>
      </c>
      <c r="O827" s="14">
        <v>0</v>
      </c>
    </row>
    <row r="828" spans="1:15">
      <c r="A828" s="122">
        <v>37</v>
      </c>
      <c r="B828" s="122"/>
      <c r="C828" s="262" t="s">
        <v>1166</v>
      </c>
      <c r="D828" s="122" t="s">
        <v>1161</v>
      </c>
      <c r="E828" s="122">
        <v>100000</v>
      </c>
      <c r="F828" s="263">
        <v>0.19600000000000001</v>
      </c>
      <c r="G828" s="14">
        <f t="shared" si="24"/>
        <v>19600</v>
      </c>
      <c r="H828" s="14" t="s">
        <v>385</v>
      </c>
      <c r="I828" s="14">
        <v>0</v>
      </c>
      <c r="J828" s="14" t="s">
        <v>385</v>
      </c>
      <c r="K828" s="14">
        <v>0</v>
      </c>
      <c r="L828" s="14" t="s">
        <v>385</v>
      </c>
      <c r="M828" s="14">
        <v>0</v>
      </c>
      <c r="N828" s="14" t="s">
        <v>385</v>
      </c>
      <c r="O828" s="14">
        <v>0</v>
      </c>
    </row>
    <row r="829" spans="1:15">
      <c r="A829" s="122">
        <v>38</v>
      </c>
      <c r="B829" s="122"/>
      <c r="C829" s="262" t="s">
        <v>1167</v>
      </c>
      <c r="D829" s="122" t="s">
        <v>1161</v>
      </c>
      <c r="E829" s="122">
        <v>257000</v>
      </c>
      <c r="F829" s="122">
        <v>0.115</v>
      </c>
      <c r="G829" s="14">
        <f t="shared" si="24"/>
        <v>29555</v>
      </c>
      <c r="H829" s="14" t="s">
        <v>385</v>
      </c>
      <c r="I829" s="14">
        <v>0</v>
      </c>
      <c r="J829" s="14" t="s">
        <v>385</v>
      </c>
      <c r="K829" s="14">
        <v>0</v>
      </c>
      <c r="L829" s="14" t="s">
        <v>385</v>
      </c>
      <c r="M829" s="14">
        <v>0</v>
      </c>
      <c r="N829" s="14" t="s">
        <v>385</v>
      </c>
      <c r="O829" s="14">
        <v>0</v>
      </c>
    </row>
    <row r="830" spans="1:15">
      <c r="A830" s="122">
        <v>39</v>
      </c>
      <c r="B830" s="122"/>
      <c r="C830" s="262" t="s">
        <v>1168</v>
      </c>
      <c r="D830" s="122" t="s">
        <v>10</v>
      </c>
      <c r="E830" s="122">
        <v>1808</v>
      </c>
      <c r="F830" s="264">
        <v>10</v>
      </c>
      <c r="G830" s="14">
        <f t="shared" si="24"/>
        <v>18080</v>
      </c>
      <c r="H830" s="14" t="s">
        <v>385</v>
      </c>
      <c r="I830" s="14">
        <v>0</v>
      </c>
      <c r="J830" s="14" t="s">
        <v>385</v>
      </c>
      <c r="K830" s="14">
        <v>0</v>
      </c>
      <c r="L830" s="14" t="s">
        <v>385</v>
      </c>
      <c r="M830" s="14">
        <v>0</v>
      </c>
      <c r="N830" s="14" t="s">
        <v>385</v>
      </c>
      <c r="O830" s="14">
        <v>0</v>
      </c>
    </row>
    <row r="831" spans="1:15">
      <c r="A831" s="122">
        <v>40</v>
      </c>
      <c r="B831" s="122"/>
      <c r="C831" s="262" t="s">
        <v>1169</v>
      </c>
      <c r="D831" s="122" t="s">
        <v>10</v>
      </c>
      <c r="E831" s="122">
        <v>281</v>
      </c>
      <c r="F831" s="122">
        <v>73</v>
      </c>
      <c r="G831" s="14">
        <f t="shared" si="24"/>
        <v>20513</v>
      </c>
      <c r="H831" s="14" t="s">
        <v>385</v>
      </c>
      <c r="I831" s="14">
        <v>0</v>
      </c>
      <c r="J831" s="14" t="s">
        <v>385</v>
      </c>
      <c r="K831" s="14">
        <v>0</v>
      </c>
      <c r="L831" s="14" t="s">
        <v>385</v>
      </c>
      <c r="M831" s="14">
        <v>0</v>
      </c>
      <c r="N831" s="14" t="s">
        <v>385</v>
      </c>
      <c r="O831" s="14">
        <v>0</v>
      </c>
    </row>
    <row r="832" spans="1:15">
      <c r="A832" s="122">
        <v>41</v>
      </c>
      <c r="B832" s="122"/>
      <c r="C832" s="262" t="s">
        <v>1170</v>
      </c>
      <c r="D832" s="122" t="s">
        <v>10</v>
      </c>
      <c r="E832" s="122">
        <v>35000</v>
      </c>
      <c r="F832" s="122" t="s">
        <v>1171</v>
      </c>
      <c r="G832" s="14">
        <v>35000</v>
      </c>
      <c r="H832" s="14" t="s">
        <v>385</v>
      </c>
      <c r="I832" s="14">
        <v>0</v>
      </c>
      <c r="J832" s="14" t="s">
        <v>385</v>
      </c>
      <c r="K832" s="14">
        <v>0</v>
      </c>
      <c r="L832" s="14" t="s">
        <v>385</v>
      </c>
      <c r="M832" s="14">
        <v>0</v>
      </c>
      <c r="N832" s="14" t="s">
        <v>385</v>
      </c>
      <c r="O832" s="14">
        <v>0</v>
      </c>
    </row>
    <row r="833" spans="1:15">
      <c r="A833" s="122">
        <v>42</v>
      </c>
      <c r="B833" s="122"/>
      <c r="C833" s="262" t="s">
        <v>1172</v>
      </c>
      <c r="D833" s="122" t="s">
        <v>10</v>
      </c>
      <c r="E833" s="122">
        <v>12200</v>
      </c>
      <c r="F833" s="122" t="s">
        <v>1171</v>
      </c>
      <c r="G833" s="14">
        <v>12200</v>
      </c>
      <c r="H833" s="14" t="s">
        <v>385</v>
      </c>
      <c r="I833" s="14">
        <v>0</v>
      </c>
      <c r="J833" s="14" t="s">
        <v>385</v>
      </c>
      <c r="K833" s="14">
        <v>0</v>
      </c>
      <c r="L833" s="14" t="s">
        <v>385</v>
      </c>
      <c r="M833" s="14">
        <v>0</v>
      </c>
      <c r="N833" s="14" t="s">
        <v>385</v>
      </c>
      <c r="O833" s="14">
        <v>0</v>
      </c>
    </row>
    <row r="834" spans="1:15">
      <c r="A834" s="122">
        <v>43</v>
      </c>
      <c r="B834" s="122"/>
      <c r="C834" s="262" t="s">
        <v>1173</v>
      </c>
      <c r="D834" s="122" t="s">
        <v>10</v>
      </c>
      <c r="E834" s="122">
        <v>1600</v>
      </c>
      <c r="F834" s="122" t="s">
        <v>1171</v>
      </c>
      <c r="G834" s="14">
        <v>1600</v>
      </c>
      <c r="H834" s="14" t="s">
        <v>385</v>
      </c>
      <c r="I834" s="14">
        <v>0</v>
      </c>
      <c r="J834" s="14" t="s">
        <v>385</v>
      </c>
      <c r="K834" s="14">
        <v>0</v>
      </c>
      <c r="L834" s="14" t="s">
        <v>385</v>
      </c>
      <c r="M834" s="14">
        <v>0</v>
      </c>
      <c r="N834" s="14" t="s">
        <v>385</v>
      </c>
      <c r="O834" s="14">
        <v>0</v>
      </c>
    </row>
    <row r="835" spans="1:15">
      <c r="A835" s="122">
        <v>44</v>
      </c>
      <c r="B835" s="122"/>
      <c r="C835" s="262" t="s">
        <v>1174</v>
      </c>
      <c r="D835" s="122" t="s">
        <v>10</v>
      </c>
      <c r="E835" s="122">
        <v>400</v>
      </c>
      <c r="F835" s="122" t="s">
        <v>1171</v>
      </c>
      <c r="G835" s="14">
        <v>400</v>
      </c>
      <c r="H835" s="14" t="s">
        <v>385</v>
      </c>
      <c r="I835" s="14">
        <v>0</v>
      </c>
      <c r="J835" s="14" t="s">
        <v>385</v>
      </c>
      <c r="K835" s="14">
        <v>0</v>
      </c>
      <c r="L835" s="14" t="s">
        <v>385</v>
      </c>
      <c r="M835" s="14">
        <v>0</v>
      </c>
      <c r="N835" s="14" t="s">
        <v>385</v>
      </c>
      <c r="O835" s="14">
        <v>0</v>
      </c>
    </row>
    <row r="836" spans="1:15">
      <c r="A836" s="122">
        <v>45</v>
      </c>
      <c r="B836" s="122"/>
      <c r="C836" s="262" t="s">
        <v>1175</v>
      </c>
      <c r="D836" s="122" t="s">
        <v>10</v>
      </c>
      <c r="E836" s="122">
        <v>27000</v>
      </c>
      <c r="F836" s="122" t="s">
        <v>1171</v>
      </c>
      <c r="G836" s="14">
        <v>27000</v>
      </c>
      <c r="H836" s="14" t="s">
        <v>385</v>
      </c>
      <c r="I836" s="14">
        <v>0</v>
      </c>
      <c r="J836" s="14" t="s">
        <v>385</v>
      </c>
      <c r="K836" s="14">
        <v>0</v>
      </c>
      <c r="L836" s="14" t="s">
        <v>385</v>
      </c>
      <c r="M836" s="14">
        <v>0</v>
      </c>
      <c r="N836" s="14" t="s">
        <v>385</v>
      </c>
      <c r="O836" s="14">
        <v>0</v>
      </c>
    </row>
    <row r="837" spans="1:15">
      <c r="A837" s="122">
        <v>46</v>
      </c>
      <c r="B837" s="122"/>
      <c r="C837" s="61" t="s">
        <v>1176</v>
      </c>
      <c r="D837" s="122" t="s">
        <v>10</v>
      </c>
      <c r="E837" s="122">
        <v>185.46</v>
      </c>
      <c r="F837" s="122">
        <v>9</v>
      </c>
      <c r="G837" s="14">
        <f t="shared" si="24"/>
        <v>1669.14</v>
      </c>
      <c r="H837" s="14" t="s">
        <v>385</v>
      </c>
      <c r="I837" s="14">
        <v>0</v>
      </c>
      <c r="J837" s="14" t="s">
        <v>385</v>
      </c>
      <c r="K837" s="14">
        <v>0</v>
      </c>
      <c r="L837" s="14" t="s">
        <v>385</v>
      </c>
      <c r="M837" s="14">
        <v>0</v>
      </c>
      <c r="N837" s="14" t="s">
        <v>385</v>
      </c>
      <c r="O837" s="14">
        <v>0</v>
      </c>
    </row>
    <row r="838" spans="1:15">
      <c r="A838" s="122">
        <v>47</v>
      </c>
      <c r="B838" s="122"/>
      <c r="C838" s="61" t="s">
        <v>1177</v>
      </c>
      <c r="D838" s="122" t="s">
        <v>10</v>
      </c>
      <c r="E838" s="122">
        <v>1133.5999999999999</v>
      </c>
      <c r="F838" s="122">
        <v>2</v>
      </c>
      <c r="G838" s="14">
        <f t="shared" si="24"/>
        <v>2267.1999999999998</v>
      </c>
      <c r="H838" s="14" t="s">
        <v>385</v>
      </c>
      <c r="I838" s="14">
        <v>0</v>
      </c>
      <c r="J838" s="14" t="s">
        <v>385</v>
      </c>
      <c r="K838" s="14">
        <v>0</v>
      </c>
      <c r="L838" s="14" t="s">
        <v>385</v>
      </c>
      <c r="M838" s="14">
        <v>0</v>
      </c>
      <c r="N838" s="14" t="s">
        <v>385</v>
      </c>
      <c r="O838" s="14">
        <v>0</v>
      </c>
    </row>
    <row r="839" spans="1:15">
      <c r="A839" s="122">
        <v>48</v>
      </c>
      <c r="B839" s="122"/>
      <c r="C839" s="61" t="s">
        <v>1178</v>
      </c>
      <c r="D839" s="122" t="s">
        <v>10</v>
      </c>
      <c r="E839" s="122">
        <v>5702</v>
      </c>
      <c r="F839" s="122">
        <v>1</v>
      </c>
      <c r="G839" s="14">
        <f t="shared" si="24"/>
        <v>5702</v>
      </c>
      <c r="H839" s="14" t="s">
        <v>385</v>
      </c>
      <c r="I839" s="14">
        <v>0</v>
      </c>
      <c r="J839" s="14" t="s">
        <v>385</v>
      </c>
      <c r="K839" s="14">
        <v>0</v>
      </c>
      <c r="L839" s="14" t="s">
        <v>385</v>
      </c>
      <c r="M839" s="14">
        <v>0</v>
      </c>
      <c r="N839" s="14" t="s">
        <v>385</v>
      </c>
      <c r="O839" s="14">
        <v>0</v>
      </c>
    </row>
    <row r="840" spans="1:15">
      <c r="A840" s="122">
        <v>49</v>
      </c>
      <c r="B840" s="122"/>
      <c r="C840" s="61" t="s">
        <v>1179</v>
      </c>
      <c r="D840" s="122" t="s">
        <v>10</v>
      </c>
      <c r="E840" s="122">
        <v>5610</v>
      </c>
      <c r="F840" s="122">
        <v>1</v>
      </c>
      <c r="G840" s="14">
        <f t="shared" si="24"/>
        <v>5610</v>
      </c>
      <c r="H840" s="14" t="s">
        <v>385</v>
      </c>
      <c r="I840" s="14">
        <v>0</v>
      </c>
      <c r="J840" s="14" t="s">
        <v>385</v>
      </c>
      <c r="K840" s="14">
        <v>0</v>
      </c>
      <c r="L840" s="14" t="s">
        <v>385</v>
      </c>
      <c r="M840" s="14">
        <v>0</v>
      </c>
      <c r="N840" s="14" t="s">
        <v>385</v>
      </c>
      <c r="O840" s="14">
        <v>0</v>
      </c>
    </row>
    <row r="841" spans="1:15">
      <c r="A841" s="122">
        <v>50</v>
      </c>
      <c r="B841" s="122"/>
      <c r="C841" s="61" t="s">
        <v>1180</v>
      </c>
      <c r="D841" s="122" t="s">
        <v>10</v>
      </c>
      <c r="E841" s="122">
        <v>1133.5999999999999</v>
      </c>
      <c r="F841" s="122">
        <v>3</v>
      </c>
      <c r="G841" s="14">
        <f t="shared" si="24"/>
        <v>3400.7999999999997</v>
      </c>
      <c r="H841" s="14" t="s">
        <v>385</v>
      </c>
      <c r="I841" s="14">
        <v>0</v>
      </c>
      <c r="J841" s="14" t="s">
        <v>385</v>
      </c>
      <c r="K841" s="14">
        <v>0</v>
      </c>
      <c r="L841" s="14" t="s">
        <v>385</v>
      </c>
      <c r="M841" s="14">
        <v>0</v>
      </c>
      <c r="N841" s="14" t="s">
        <v>385</v>
      </c>
      <c r="O841" s="14">
        <v>0</v>
      </c>
    </row>
    <row r="842" spans="1:15" ht="28.5">
      <c r="A842" s="122">
        <v>51</v>
      </c>
      <c r="B842" s="122"/>
      <c r="C842" s="265" t="s">
        <v>1181</v>
      </c>
      <c r="D842" s="122" t="s">
        <v>10</v>
      </c>
      <c r="E842" s="266">
        <v>820</v>
      </c>
      <c r="F842" s="122">
        <v>1</v>
      </c>
      <c r="G842" s="14">
        <f t="shared" si="24"/>
        <v>820</v>
      </c>
      <c r="H842" s="14" t="s">
        <v>385</v>
      </c>
      <c r="I842" s="14">
        <v>0</v>
      </c>
      <c r="J842" s="14" t="s">
        <v>385</v>
      </c>
      <c r="K842" s="14">
        <v>0</v>
      </c>
      <c r="L842" s="14" t="s">
        <v>385</v>
      </c>
      <c r="M842" s="14">
        <v>0</v>
      </c>
      <c r="N842" s="14" t="s">
        <v>385</v>
      </c>
      <c r="O842" s="14">
        <v>0</v>
      </c>
    </row>
    <row r="843" spans="1:15" ht="28.5">
      <c r="A843" s="122">
        <v>52</v>
      </c>
      <c r="B843" s="122"/>
      <c r="C843" s="265" t="s">
        <v>1182</v>
      </c>
      <c r="D843" s="122" t="s">
        <v>10</v>
      </c>
      <c r="E843" s="266">
        <v>980</v>
      </c>
      <c r="F843" s="122">
        <v>5</v>
      </c>
      <c r="G843" s="14">
        <f t="shared" si="24"/>
        <v>4900</v>
      </c>
      <c r="H843" s="14" t="s">
        <v>385</v>
      </c>
      <c r="I843" s="14">
        <v>0</v>
      </c>
      <c r="J843" s="14" t="s">
        <v>385</v>
      </c>
      <c r="K843" s="14">
        <v>0</v>
      </c>
      <c r="L843" s="14" t="s">
        <v>385</v>
      </c>
      <c r="M843" s="14">
        <v>0</v>
      </c>
      <c r="N843" s="14" t="s">
        <v>385</v>
      </c>
      <c r="O843" s="14">
        <v>0</v>
      </c>
    </row>
    <row r="844" spans="1:15" ht="28.5">
      <c r="A844" s="122">
        <v>53</v>
      </c>
      <c r="B844" s="122"/>
      <c r="C844" s="265" t="s">
        <v>1183</v>
      </c>
      <c r="D844" s="122" t="s">
        <v>10</v>
      </c>
      <c r="E844" s="266">
        <v>920</v>
      </c>
      <c r="F844" s="122">
        <v>6</v>
      </c>
      <c r="G844" s="14">
        <f t="shared" si="24"/>
        <v>5520</v>
      </c>
      <c r="H844" s="14" t="s">
        <v>385</v>
      </c>
      <c r="I844" s="14">
        <v>0</v>
      </c>
      <c r="J844" s="14" t="s">
        <v>385</v>
      </c>
      <c r="K844" s="14">
        <v>0</v>
      </c>
      <c r="L844" s="14" t="s">
        <v>385</v>
      </c>
      <c r="M844" s="14">
        <v>0</v>
      </c>
      <c r="N844" s="14" t="s">
        <v>385</v>
      </c>
      <c r="O844" s="14">
        <v>0</v>
      </c>
    </row>
    <row r="845" spans="1:15" ht="28.5">
      <c r="A845" s="122">
        <v>54</v>
      </c>
      <c r="B845" s="122"/>
      <c r="C845" s="265" t="s">
        <v>1184</v>
      </c>
      <c r="D845" s="122" t="s">
        <v>10</v>
      </c>
      <c r="E845" s="266">
        <v>920</v>
      </c>
      <c r="F845" s="122">
        <v>4</v>
      </c>
      <c r="G845" s="14">
        <f t="shared" si="24"/>
        <v>3680</v>
      </c>
      <c r="H845" s="14" t="s">
        <v>385</v>
      </c>
      <c r="I845" s="14">
        <v>0</v>
      </c>
      <c r="J845" s="14" t="s">
        <v>385</v>
      </c>
      <c r="K845" s="14">
        <v>0</v>
      </c>
      <c r="L845" s="14" t="s">
        <v>385</v>
      </c>
      <c r="M845" s="14">
        <v>0</v>
      </c>
      <c r="N845" s="14" t="s">
        <v>385</v>
      </c>
      <c r="O845" s="14">
        <v>0</v>
      </c>
    </row>
    <row r="846" spans="1:15" ht="28.5">
      <c r="A846" s="122">
        <v>55</v>
      </c>
      <c r="B846" s="122"/>
      <c r="C846" s="265" t="s">
        <v>1185</v>
      </c>
      <c r="D846" s="122" t="s">
        <v>10</v>
      </c>
      <c r="E846" s="266">
        <v>920</v>
      </c>
      <c r="F846" s="122">
        <v>1</v>
      </c>
      <c r="G846" s="14">
        <f t="shared" si="24"/>
        <v>920</v>
      </c>
      <c r="H846" s="14" t="s">
        <v>385</v>
      </c>
      <c r="I846" s="14">
        <v>0</v>
      </c>
      <c r="J846" s="14" t="s">
        <v>385</v>
      </c>
      <c r="K846" s="14">
        <v>0</v>
      </c>
      <c r="L846" s="14" t="s">
        <v>385</v>
      </c>
      <c r="M846" s="14">
        <v>0</v>
      </c>
      <c r="N846" s="14" t="s">
        <v>385</v>
      </c>
      <c r="O846" s="14">
        <v>0</v>
      </c>
    </row>
    <row r="847" spans="1:15" ht="28.5">
      <c r="A847" s="122">
        <v>56</v>
      </c>
      <c r="B847" s="122"/>
      <c r="C847" s="265" t="s">
        <v>1186</v>
      </c>
      <c r="D847" s="122" t="s">
        <v>10</v>
      </c>
      <c r="E847" s="266">
        <v>920</v>
      </c>
      <c r="F847" s="122">
        <v>1</v>
      </c>
      <c r="G847" s="14">
        <f t="shared" si="24"/>
        <v>920</v>
      </c>
      <c r="H847" s="14" t="s">
        <v>385</v>
      </c>
      <c r="I847" s="14">
        <v>0</v>
      </c>
      <c r="J847" s="14" t="s">
        <v>385</v>
      </c>
      <c r="K847" s="14">
        <v>0</v>
      </c>
      <c r="L847" s="14" t="s">
        <v>385</v>
      </c>
      <c r="M847" s="14">
        <v>0</v>
      </c>
      <c r="N847" s="14" t="s">
        <v>385</v>
      </c>
      <c r="O847" s="14">
        <v>0</v>
      </c>
    </row>
    <row r="848" spans="1:15" ht="28.5">
      <c r="A848" s="122">
        <v>57</v>
      </c>
      <c r="B848" s="122"/>
      <c r="C848" s="265" t="s">
        <v>1187</v>
      </c>
      <c r="D848" s="122" t="s">
        <v>10</v>
      </c>
      <c r="E848" s="122">
        <v>257.24</v>
      </c>
      <c r="F848" s="122">
        <v>3</v>
      </c>
      <c r="G848" s="14">
        <f t="shared" si="24"/>
        <v>771.72</v>
      </c>
      <c r="H848" s="14" t="s">
        <v>385</v>
      </c>
      <c r="I848" s="14">
        <v>0</v>
      </c>
      <c r="J848" s="14" t="s">
        <v>385</v>
      </c>
      <c r="K848" s="14">
        <v>0</v>
      </c>
      <c r="L848" s="14" t="s">
        <v>385</v>
      </c>
      <c r="M848" s="14">
        <v>0</v>
      </c>
      <c r="N848" s="14" t="s">
        <v>385</v>
      </c>
      <c r="O848" s="14">
        <v>0</v>
      </c>
    </row>
    <row r="849" spans="1:15">
      <c r="A849" s="122">
        <v>58</v>
      </c>
      <c r="B849" s="122"/>
      <c r="C849" s="267" t="s">
        <v>1188</v>
      </c>
      <c r="D849" s="122" t="s">
        <v>1189</v>
      </c>
      <c r="E849" s="122">
        <v>30</v>
      </c>
      <c r="F849" s="122">
        <v>72</v>
      </c>
      <c r="G849" s="14">
        <f t="shared" si="24"/>
        <v>2160</v>
      </c>
      <c r="H849" s="14" t="s">
        <v>385</v>
      </c>
      <c r="I849" s="14">
        <v>0</v>
      </c>
      <c r="J849" s="14" t="s">
        <v>385</v>
      </c>
      <c r="K849" s="14">
        <v>0</v>
      </c>
      <c r="L849" s="14" t="s">
        <v>385</v>
      </c>
      <c r="M849" s="14">
        <v>0</v>
      </c>
      <c r="N849" s="14" t="s">
        <v>385</v>
      </c>
      <c r="O849" s="14">
        <v>0</v>
      </c>
    </row>
    <row r="850" spans="1:15" ht="28.5">
      <c r="A850" s="122">
        <v>59</v>
      </c>
      <c r="B850" s="122"/>
      <c r="C850" s="265" t="s">
        <v>1190</v>
      </c>
      <c r="D850" s="122" t="s">
        <v>10</v>
      </c>
      <c r="E850" s="122">
        <v>405</v>
      </c>
      <c r="F850" s="122">
        <v>3</v>
      </c>
      <c r="G850" s="14">
        <f t="shared" si="24"/>
        <v>1215</v>
      </c>
      <c r="H850" s="14" t="s">
        <v>385</v>
      </c>
      <c r="I850" s="14">
        <v>0</v>
      </c>
      <c r="J850" s="14" t="s">
        <v>385</v>
      </c>
      <c r="K850" s="14">
        <v>0</v>
      </c>
      <c r="L850" s="14" t="s">
        <v>385</v>
      </c>
      <c r="M850" s="14">
        <v>0</v>
      </c>
      <c r="N850" s="14" t="s">
        <v>385</v>
      </c>
      <c r="O850" s="14">
        <v>0</v>
      </c>
    </row>
    <row r="851" spans="1:15" ht="28.5">
      <c r="A851" s="122">
        <v>60</v>
      </c>
      <c r="B851" s="122"/>
      <c r="C851" s="265" t="s">
        <v>1191</v>
      </c>
      <c r="D851" s="122" t="s">
        <v>10</v>
      </c>
      <c r="E851" s="122">
        <v>412</v>
      </c>
      <c r="F851" s="122">
        <v>3</v>
      </c>
      <c r="G851" s="14">
        <f t="shared" si="24"/>
        <v>1236</v>
      </c>
      <c r="H851" s="14" t="s">
        <v>385</v>
      </c>
      <c r="I851" s="14">
        <v>0</v>
      </c>
      <c r="J851" s="14" t="s">
        <v>385</v>
      </c>
      <c r="K851" s="14">
        <v>0</v>
      </c>
      <c r="L851" s="14" t="s">
        <v>385</v>
      </c>
      <c r="M851" s="14">
        <v>0</v>
      </c>
      <c r="N851" s="14" t="s">
        <v>385</v>
      </c>
      <c r="O851" s="14">
        <v>0</v>
      </c>
    </row>
    <row r="852" spans="1:15" ht="28.5">
      <c r="A852" s="122">
        <v>61</v>
      </c>
      <c r="B852" s="122"/>
      <c r="C852" s="265" t="s">
        <v>1192</v>
      </c>
      <c r="D852" s="122" t="s">
        <v>10</v>
      </c>
      <c r="E852" s="122">
        <v>330</v>
      </c>
      <c r="F852" s="122">
        <v>8</v>
      </c>
      <c r="G852" s="14">
        <f t="shared" si="24"/>
        <v>2640</v>
      </c>
      <c r="H852" s="14" t="s">
        <v>385</v>
      </c>
      <c r="I852" s="14">
        <v>0</v>
      </c>
      <c r="J852" s="14" t="s">
        <v>385</v>
      </c>
      <c r="K852" s="14">
        <v>0</v>
      </c>
      <c r="L852" s="14" t="s">
        <v>385</v>
      </c>
      <c r="M852" s="14">
        <v>0</v>
      </c>
      <c r="N852" s="14" t="s">
        <v>385</v>
      </c>
      <c r="O852" s="14">
        <v>0</v>
      </c>
    </row>
    <row r="853" spans="1:15" ht="28.5">
      <c r="A853" s="122">
        <v>62</v>
      </c>
      <c r="B853" s="122"/>
      <c r="C853" s="265" t="s">
        <v>1193</v>
      </c>
      <c r="D853" s="122" t="s">
        <v>10</v>
      </c>
      <c r="E853" s="122">
        <v>572.29999999999995</v>
      </c>
      <c r="F853" s="122">
        <v>1</v>
      </c>
      <c r="G853" s="14">
        <f t="shared" si="24"/>
        <v>572.29999999999995</v>
      </c>
      <c r="H853" s="14" t="s">
        <v>385</v>
      </c>
      <c r="I853" s="14">
        <v>0</v>
      </c>
      <c r="J853" s="14" t="s">
        <v>385</v>
      </c>
      <c r="K853" s="14">
        <v>0</v>
      </c>
      <c r="L853" s="14" t="s">
        <v>385</v>
      </c>
      <c r="M853" s="14">
        <v>0</v>
      </c>
      <c r="N853" s="14" t="s">
        <v>385</v>
      </c>
      <c r="O853" s="14">
        <v>0</v>
      </c>
    </row>
    <row r="854" spans="1:15">
      <c r="A854" s="122">
        <v>63</v>
      </c>
      <c r="B854" s="122"/>
      <c r="C854" s="265" t="s">
        <v>1194</v>
      </c>
      <c r="D854" s="122" t="s">
        <v>10</v>
      </c>
      <c r="E854" s="122">
        <v>5000</v>
      </c>
      <c r="F854" s="122">
        <v>6</v>
      </c>
      <c r="G854" s="14">
        <f t="shared" si="24"/>
        <v>30000</v>
      </c>
      <c r="H854" s="14" t="s">
        <v>385</v>
      </c>
      <c r="I854" s="14">
        <v>0</v>
      </c>
      <c r="J854" s="14" t="s">
        <v>385</v>
      </c>
      <c r="K854" s="14">
        <v>0</v>
      </c>
      <c r="L854" s="14" t="s">
        <v>385</v>
      </c>
      <c r="M854" s="14">
        <v>0</v>
      </c>
      <c r="N854" s="14" t="s">
        <v>385</v>
      </c>
      <c r="O854" s="14">
        <v>0</v>
      </c>
    </row>
    <row r="855" spans="1:15" ht="28.5">
      <c r="A855" s="122">
        <v>64</v>
      </c>
      <c r="B855" s="122"/>
      <c r="C855" s="265" t="s">
        <v>1195</v>
      </c>
      <c r="D855" s="86" t="s">
        <v>1196</v>
      </c>
      <c r="E855" s="122">
        <v>110.92</v>
      </c>
      <c r="F855" s="122">
        <v>21</v>
      </c>
      <c r="G855" s="14">
        <f t="shared" si="24"/>
        <v>2329.3200000000002</v>
      </c>
      <c r="H855" s="14" t="s">
        <v>385</v>
      </c>
      <c r="I855" s="14">
        <v>0</v>
      </c>
      <c r="J855" s="14" t="s">
        <v>385</v>
      </c>
      <c r="K855" s="14">
        <v>0</v>
      </c>
      <c r="L855" s="14" t="s">
        <v>385</v>
      </c>
      <c r="M855" s="14">
        <v>0</v>
      </c>
      <c r="N855" s="14" t="s">
        <v>385</v>
      </c>
      <c r="O855" s="14">
        <v>0</v>
      </c>
    </row>
    <row r="856" spans="1:15" ht="57">
      <c r="A856" s="122">
        <v>65</v>
      </c>
      <c r="B856" s="122"/>
      <c r="C856" s="265" t="s">
        <v>1197</v>
      </c>
      <c r="D856" s="122" t="s">
        <v>10</v>
      </c>
      <c r="E856" s="122">
        <v>3687.5</v>
      </c>
      <c r="F856" s="122">
        <v>2</v>
      </c>
      <c r="G856" s="14">
        <f t="shared" si="24"/>
        <v>7375</v>
      </c>
      <c r="H856" s="14" t="s">
        <v>385</v>
      </c>
      <c r="I856" s="14">
        <v>0</v>
      </c>
      <c r="J856" s="14" t="s">
        <v>385</v>
      </c>
      <c r="K856" s="14">
        <v>0</v>
      </c>
      <c r="L856" s="14" t="s">
        <v>385</v>
      </c>
      <c r="M856" s="14">
        <v>0</v>
      </c>
      <c r="N856" s="14" t="s">
        <v>385</v>
      </c>
      <c r="O856" s="14">
        <v>0</v>
      </c>
    </row>
    <row r="857" spans="1:15" ht="57">
      <c r="A857" s="122">
        <v>66</v>
      </c>
      <c r="B857" s="122"/>
      <c r="C857" s="265" t="s">
        <v>1198</v>
      </c>
      <c r="D857" s="122" t="s">
        <v>10</v>
      </c>
      <c r="E857" s="122">
        <v>3687.5</v>
      </c>
      <c r="F857" s="122">
        <v>3</v>
      </c>
      <c r="G857" s="14">
        <f t="shared" ref="G857:G920" si="25">E857*F857</f>
        <v>11062.5</v>
      </c>
      <c r="H857" s="14" t="s">
        <v>385</v>
      </c>
      <c r="I857" s="14">
        <v>0</v>
      </c>
      <c r="J857" s="14" t="s">
        <v>385</v>
      </c>
      <c r="K857" s="14">
        <v>0</v>
      </c>
      <c r="L857" s="14" t="s">
        <v>385</v>
      </c>
      <c r="M857" s="14">
        <v>0</v>
      </c>
      <c r="N857" s="14" t="s">
        <v>385</v>
      </c>
      <c r="O857" s="14">
        <v>0</v>
      </c>
    </row>
    <row r="858" spans="1:15" ht="28.5">
      <c r="A858" s="122">
        <v>67</v>
      </c>
      <c r="B858" s="122"/>
      <c r="C858" s="265" t="s">
        <v>1199</v>
      </c>
      <c r="D858" s="122" t="s">
        <v>1076</v>
      </c>
      <c r="E858" s="86">
        <v>961.7</v>
      </c>
      <c r="F858" s="86">
        <v>2</v>
      </c>
      <c r="G858" s="14">
        <f t="shared" si="25"/>
        <v>1923.4</v>
      </c>
      <c r="H858" s="14" t="s">
        <v>385</v>
      </c>
      <c r="I858" s="14">
        <v>0</v>
      </c>
      <c r="J858" s="14" t="s">
        <v>385</v>
      </c>
      <c r="K858" s="14">
        <v>0</v>
      </c>
      <c r="L858" s="14" t="s">
        <v>385</v>
      </c>
      <c r="M858" s="14">
        <v>0</v>
      </c>
      <c r="N858" s="14" t="s">
        <v>385</v>
      </c>
      <c r="O858" s="14">
        <v>0</v>
      </c>
    </row>
    <row r="859" spans="1:15">
      <c r="A859" s="122">
        <v>68</v>
      </c>
      <c r="B859" s="122"/>
      <c r="C859" s="265" t="s">
        <v>1200</v>
      </c>
      <c r="D859" s="122" t="s">
        <v>10</v>
      </c>
      <c r="E859" s="86">
        <v>725.7</v>
      </c>
      <c r="F859" s="86">
        <v>5</v>
      </c>
      <c r="G859" s="14">
        <f t="shared" si="25"/>
        <v>3628.5</v>
      </c>
      <c r="H859" s="14" t="s">
        <v>385</v>
      </c>
      <c r="I859" s="14">
        <v>0</v>
      </c>
      <c r="J859" s="14" t="s">
        <v>385</v>
      </c>
      <c r="K859" s="14">
        <v>0</v>
      </c>
      <c r="L859" s="14" t="s">
        <v>385</v>
      </c>
      <c r="M859" s="14">
        <v>0</v>
      </c>
      <c r="N859" s="14" t="s">
        <v>385</v>
      </c>
      <c r="O859" s="14">
        <v>0</v>
      </c>
    </row>
    <row r="860" spans="1:15">
      <c r="A860" s="122">
        <v>69</v>
      </c>
      <c r="B860" s="122"/>
      <c r="C860" s="265" t="s">
        <v>1201</v>
      </c>
      <c r="D860" s="122" t="s">
        <v>10</v>
      </c>
      <c r="E860" s="86">
        <v>75493</v>
      </c>
      <c r="F860" s="86">
        <v>2</v>
      </c>
      <c r="G860" s="14">
        <f t="shared" si="25"/>
        <v>150986</v>
      </c>
      <c r="H860" s="14" t="s">
        <v>385</v>
      </c>
      <c r="I860" s="14">
        <v>0</v>
      </c>
      <c r="J860" s="14" t="s">
        <v>385</v>
      </c>
      <c r="K860" s="14">
        <v>0</v>
      </c>
      <c r="L860" s="14" t="s">
        <v>385</v>
      </c>
      <c r="M860" s="14">
        <v>0</v>
      </c>
      <c r="N860" s="14" t="s">
        <v>385</v>
      </c>
      <c r="O860" s="14">
        <v>0</v>
      </c>
    </row>
    <row r="861" spans="1:15" ht="28.5">
      <c r="A861" s="122">
        <v>70</v>
      </c>
      <c r="B861" s="122"/>
      <c r="C861" s="265" t="s">
        <v>1202</v>
      </c>
      <c r="D861" s="122" t="s">
        <v>10</v>
      </c>
      <c r="E861" s="86">
        <v>1170.56</v>
      </c>
      <c r="F861" s="86">
        <v>1</v>
      </c>
      <c r="G861" s="14">
        <f t="shared" si="25"/>
        <v>1170.56</v>
      </c>
      <c r="H861" s="14" t="s">
        <v>385</v>
      </c>
      <c r="I861" s="14">
        <v>0</v>
      </c>
      <c r="J861" s="14" t="s">
        <v>385</v>
      </c>
      <c r="K861" s="14">
        <v>0</v>
      </c>
      <c r="L861" s="14" t="s">
        <v>385</v>
      </c>
      <c r="M861" s="14">
        <v>0</v>
      </c>
      <c r="N861" s="14" t="s">
        <v>385</v>
      </c>
      <c r="O861" s="268">
        <v>0</v>
      </c>
    </row>
    <row r="862" spans="1:15" ht="28.5">
      <c r="A862" s="122">
        <v>71</v>
      </c>
      <c r="B862" s="122"/>
      <c r="C862" s="265" t="s">
        <v>1203</v>
      </c>
      <c r="D862" s="122" t="s">
        <v>10</v>
      </c>
      <c r="E862" s="86">
        <v>1170.56</v>
      </c>
      <c r="F862" s="86">
        <v>5</v>
      </c>
      <c r="G862" s="14">
        <f t="shared" si="25"/>
        <v>5852.7999999999993</v>
      </c>
      <c r="H862" s="14" t="s">
        <v>385</v>
      </c>
      <c r="I862" s="14">
        <v>0</v>
      </c>
      <c r="J862" s="14" t="s">
        <v>385</v>
      </c>
      <c r="K862" s="14">
        <v>0</v>
      </c>
      <c r="L862" s="14" t="s">
        <v>385</v>
      </c>
      <c r="M862" s="14">
        <v>0</v>
      </c>
      <c r="N862" s="14" t="s">
        <v>385</v>
      </c>
      <c r="O862" s="14">
        <v>0</v>
      </c>
    </row>
    <row r="863" spans="1:15" ht="28.5">
      <c r="A863" s="122">
        <v>72</v>
      </c>
      <c r="B863" s="122"/>
      <c r="C863" s="265" t="s">
        <v>1204</v>
      </c>
      <c r="D863" s="122" t="s">
        <v>10</v>
      </c>
      <c r="E863" s="86">
        <v>731.6</v>
      </c>
      <c r="F863" s="86">
        <v>8</v>
      </c>
      <c r="G863" s="14">
        <f t="shared" si="25"/>
        <v>5852.8</v>
      </c>
      <c r="H863" s="14" t="s">
        <v>385</v>
      </c>
      <c r="I863" s="14">
        <v>0</v>
      </c>
      <c r="J863" s="14" t="s">
        <v>385</v>
      </c>
      <c r="K863" s="14">
        <v>0</v>
      </c>
      <c r="L863" s="14" t="s">
        <v>385</v>
      </c>
      <c r="M863" s="14">
        <v>0</v>
      </c>
      <c r="N863" s="14" t="s">
        <v>385</v>
      </c>
      <c r="O863" s="14">
        <v>0</v>
      </c>
    </row>
    <row r="864" spans="1:15" ht="28.5">
      <c r="A864" s="122">
        <v>73</v>
      </c>
      <c r="B864" s="122"/>
      <c r="C864" s="265" t="s">
        <v>1205</v>
      </c>
      <c r="D864" s="122" t="s">
        <v>10</v>
      </c>
      <c r="E864" s="86">
        <v>1469.1</v>
      </c>
      <c r="F864" s="86">
        <v>2</v>
      </c>
      <c r="G864" s="14">
        <f t="shared" si="25"/>
        <v>2938.2</v>
      </c>
      <c r="H864" s="14" t="s">
        <v>385</v>
      </c>
      <c r="I864" s="14">
        <v>0</v>
      </c>
      <c r="J864" s="14" t="s">
        <v>385</v>
      </c>
      <c r="K864" s="14">
        <v>0</v>
      </c>
      <c r="L864" s="14" t="s">
        <v>385</v>
      </c>
      <c r="M864" s="14">
        <v>0</v>
      </c>
      <c r="N864" s="14" t="s">
        <v>385</v>
      </c>
      <c r="O864" s="14">
        <v>0</v>
      </c>
    </row>
    <row r="865" spans="1:15">
      <c r="A865" s="122">
        <v>74</v>
      </c>
      <c r="B865" s="122"/>
      <c r="C865" s="265" t="s">
        <v>1206</v>
      </c>
      <c r="D865" s="122" t="s">
        <v>10</v>
      </c>
      <c r="E865" s="86">
        <v>5805.6</v>
      </c>
      <c r="F865" s="86">
        <v>1</v>
      </c>
      <c r="G865" s="14">
        <f t="shared" si="25"/>
        <v>5805.6</v>
      </c>
      <c r="H865" s="14" t="s">
        <v>385</v>
      </c>
      <c r="I865" s="14">
        <v>0</v>
      </c>
      <c r="J865" s="14" t="s">
        <v>385</v>
      </c>
      <c r="K865" s="14">
        <v>0</v>
      </c>
      <c r="L865" s="14" t="s">
        <v>385</v>
      </c>
      <c r="M865" s="14">
        <v>0</v>
      </c>
      <c r="N865" s="14" t="s">
        <v>385</v>
      </c>
      <c r="O865" s="14">
        <v>0</v>
      </c>
    </row>
    <row r="866" spans="1:15" ht="28.5">
      <c r="A866" s="122">
        <v>75</v>
      </c>
      <c r="B866" s="122"/>
      <c r="C866" s="265" t="s">
        <v>1207</v>
      </c>
      <c r="D866" s="122" t="s">
        <v>10</v>
      </c>
      <c r="E866" s="86">
        <v>167.56</v>
      </c>
      <c r="F866" s="86">
        <v>1</v>
      </c>
      <c r="G866" s="14">
        <f t="shared" si="25"/>
        <v>167.56</v>
      </c>
      <c r="H866" s="14" t="s">
        <v>385</v>
      </c>
      <c r="I866" s="14">
        <v>0</v>
      </c>
      <c r="J866" s="14" t="s">
        <v>385</v>
      </c>
      <c r="K866" s="14">
        <v>0</v>
      </c>
      <c r="L866" s="14" t="s">
        <v>385</v>
      </c>
      <c r="M866" s="14">
        <v>0</v>
      </c>
      <c r="N866" s="14" t="s">
        <v>385</v>
      </c>
      <c r="O866" s="14">
        <v>0</v>
      </c>
    </row>
    <row r="867" spans="1:15" ht="28.5">
      <c r="A867" s="122">
        <v>76</v>
      </c>
      <c r="B867" s="122"/>
      <c r="C867" s="265" t="s">
        <v>1208</v>
      </c>
      <c r="D867" s="122" t="s">
        <v>10</v>
      </c>
      <c r="E867" s="86">
        <v>241.3</v>
      </c>
      <c r="F867" s="86">
        <v>1</v>
      </c>
      <c r="G867" s="14">
        <f t="shared" si="25"/>
        <v>241.3</v>
      </c>
      <c r="H867" s="14" t="s">
        <v>385</v>
      </c>
      <c r="I867" s="14">
        <v>0</v>
      </c>
      <c r="J867" s="14" t="s">
        <v>385</v>
      </c>
      <c r="K867" s="14">
        <v>0</v>
      </c>
      <c r="L867" s="14" t="s">
        <v>385</v>
      </c>
      <c r="M867" s="14">
        <v>0</v>
      </c>
      <c r="N867" s="14" t="s">
        <v>385</v>
      </c>
      <c r="O867" s="14">
        <v>0</v>
      </c>
    </row>
    <row r="868" spans="1:15" ht="28.5">
      <c r="A868" s="122">
        <v>77</v>
      </c>
      <c r="B868" s="122"/>
      <c r="C868" s="265" t="s">
        <v>1209</v>
      </c>
      <c r="D868" s="122" t="s">
        <v>10</v>
      </c>
      <c r="E868" s="269">
        <v>236</v>
      </c>
      <c r="F868" s="86">
        <v>3</v>
      </c>
      <c r="G868" s="14">
        <f t="shared" si="25"/>
        <v>708</v>
      </c>
      <c r="H868" s="14" t="s">
        <v>385</v>
      </c>
      <c r="I868" s="14">
        <v>0</v>
      </c>
      <c r="J868" s="14" t="s">
        <v>385</v>
      </c>
      <c r="K868" s="14">
        <v>0</v>
      </c>
      <c r="L868" s="14" t="s">
        <v>385</v>
      </c>
      <c r="M868" s="14">
        <v>0</v>
      </c>
      <c r="N868" s="14" t="s">
        <v>385</v>
      </c>
      <c r="O868" s="14">
        <v>0</v>
      </c>
    </row>
    <row r="869" spans="1:15">
      <c r="A869" s="122">
        <v>78</v>
      </c>
      <c r="B869" s="122"/>
      <c r="C869" s="265" t="s">
        <v>1210</v>
      </c>
      <c r="D869" s="122" t="s">
        <v>10</v>
      </c>
      <c r="E869" s="269">
        <v>300.89999999999998</v>
      </c>
      <c r="F869" s="86">
        <v>6</v>
      </c>
      <c r="G869" s="14">
        <f t="shared" si="25"/>
        <v>1805.3999999999999</v>
      </c>
      <c r="H869" s="14" t="s">
        <v>385</v>
      </c>
      <c r="I869" s="14">
        <v>0</v>
      </c>
      <c r="J869" s="14" t="s">
        <v>385</v>
      </c>
      <c r="K869" s="14">
        <v>0</v>
      </c>
      <c r="L869" s="14" t="s">
        <v>385</v>
      </c>
      <c r="M869" s="14">
        <v>0</v>
      </c>
      <c r="N869" s="14" t="s">
        <v>385</v>
      </c>
      <c r="O869" s="14">
        <v>0</v>
      </c>
    </row>
    <row r="870" spans="1:15" ht="28.5">
      <c r="A870" s="122">
        <v>79</v>
      </c>
      <c r="B870" s="122"/>
      <c r="C870" s="265" t="s">
        <v>1211</v>
      </c>
      <c r="D870" s="122" t="s">
        <v>10</v>
      </c>
      <c r="E870" s="269">
        <v>702.1</v>
      </c>
      <c r="F870" s="86">
        <v>2</v>
      </c>
      <c r="G870" s="14">
        <f t="shared" si="25"/>
        <v>1404.2</v>
      </c>
      <c r="H870" s="14" t="s">
        <v>385</v>
      </c>
      <c r="I870" s="14">
        <v>0</v>
      </c>
      <c r="J870" s="14" t="s">
        <v>385</v>
      </c>
      <c r="K870" s="14">
        <v>0</v>
      </c>
      <c r="L870" s="14" t="s">
        <v>385</v>
      </c>
      <c r="M870" s="14">
        <v>0</v>
      </c>
      <c r="N870" s="14" t="s">
        <v>385</v>
      </c>
      <c r="O870" s="14">
        <v>0</v>
      </c>
    </row>
    <row r="871" spans="1:15" ht="42.75">
      <c r="A871" s="122">
        <v>80</v>
      </c>
      <c r="B871" s="122"/>
      <c r="C871" s="265" t="s">
        <v>1212</v>
      </c>
      <c r="D871" s="122" t="s">
        <v>10</v>
      </c>
      <c r="E871" s="266">
        <v>18868</v>
      </c>
      <c r="F871" s="122">
        <v>2</v>
      </c>
      <c r="G871" s="14">
        <f t="shared" si="25"/>
        <v>37736</v>
      </c>
      <c r="H871" s="14" t="s">
        <v>385</v>
      </c>
      <c r="I871" s="14">
        <v>0</v>
      </c>
      <c r="J871" s="14" t="s">
        <v>385</v>
      </c>
      <c r="K871" s="14">
        <v>0</v>
      </c>
      <c r="L871" s="14" t="s">
        <v>385</v>
      </c>
      <c r="M871" s="14">
        <v>0</v>
      </c>
      <c r="N871" s="14" t="s">
        <v>385</v>
      </c>
      <c r="O871" s="14">
        <v>0</v>
      </c>
    </row>
    <row r="872" spans="1:15" ht="42.75">
      <c r="A872" s="122">
        <v>81</v>
      </c>
      <c r="B872" s="122"/>
      <c r="C872" s="265" t="s">
        <v>1213</v>
      </c>
      <c r="D872" s="122" t="s">
        <v>10</v>
      </c>
      <c r="E872" s="266">
        <v>29500</v>
      </c>
      <c r="F872" s="122">
        <v>1</v>
      </c>
      <c r="G872" s="14">
        <f t="shared" si="25"/>
        <v>29500</v>
      </c>
      <c r="H872" s="14" t="s">
        <v>385</v>
      </c>
      <c r="I872" s="14">
        <v>0</v>
      </c>
      <c r="J872" s="14" t="s">
        <v>385</v>
      </c>
      <c r="K872" s="14">
        <v>0</v>
      </c>
      <c r="L872" s="14" t="s">
        <v>385</v>
      </c>
      <c r="M872" s="14">
        <v>0</v>
      </c>
      <c r="N872" s="14" t="s">
        <v>385</v>
      </c>
      <c r="O872" s="14">
        <v>0</v>
      </c>
    </row>
    <row r="873" spans="1:15" ht="28.5">
      <c r="A873" s="122">
        <v>82</v>
      </c>
      <c r="B873" s="122"/>
      <c r="C873" s="265" t="s">
        <v>1214</v>
      </c>
      <c r="D873" s="122" t="s">
        <v>10</v>
      </c>
      <c r="E873" s="270">
        <v>351.64</v>
      </c>
      <c r="F873" s="122">
        <v>4</v>
      </c>
      <c r="G873" s="14">
        <f t="shared" si="25"/>
        <v>1406.56</v>
      </c>
      <c r="H873" s="14" t="s">
        <v>385</v>
      </c>
      <c r="I873" s="14">
        <v>0</v>
      </c>
      <c r="J873" s="14" t="s">
        <v>385</v>
      </c>
      <c r="K873" s="14">
        <v>0</v>
      </c>
      <c r="L873" s="14" t="s">
        <v>385</v>
      </c>
      <c r="M873" s="14">
        <v>0</v>
      </c>
      <c r="N873" s="14" t="s">
        <v>385</v>
      </c>
      <c r="O873" s="14">
        <v>0</v>
      </c>
    </row>
    <row r="874" spans="1:15" ht="28.5">
      <c r="A874" s="122">
        <v>83</v>
      </c>
      <c r="B874" s="122"/>
      <c r="C874" s="265" t="s">
        <v>1215</v>
      </c>
      <c r="D874" s="122" t="s">
        <v>10</v>
      </c>
      <c r="E874" s="270">
        <v>233.64</v>
      </c>
      <c r="F874" s="122">
        <v>3</v>
      </c>
      <c r="G874" s="14">
        <f t="shared" si="25"/>
        <v>700.92</v>
      </c>
      <c r="H874" s="14" t="s">
        <v>385</v>
      </c>
      <c r="I874" s="14">
        <v>0</v>
      </c>
      <c r="J874" s="14" t="s">
        <v>385</v>
      </c>
      <c r="K874" s="14">
        <v>0</v>
      </c>
      <c r="L874" s="14" t="s">
        <v>385</v>
      </c>
      <c r="M874" s="14">
        <v>0</v>
      </c>
      <c r="N874" s="14" t="s">
        <v>385</v>
      </c>
      <c r="O874" s="14">
        <v>0</v>
      </c>
    </row>
    <row r="875" spans="1:15" ht="28.5">
      <c r="A875" s="122">
        <v>84</v>
      </c>
      <c r="B875" s="122"/>
      <c r="C875" s="265" t="s">
        <v>1216</v>
      </c>
      <c r="D875" s="122" t="s">
        <v>10</v>
      </c>
      <c r="E875" s="269">
        <v>413</v>
      </c>
      <c r="F875" s="86">
        <v>12</v>
      </c>
      <c r="G875" s="14">
        <f t="shared" si="25"/>
        <v>4956</v>
      </c>
      <c r="H875" s="14" t="s">
        <v>385</v>
      </c>
      <c r="I875" s="14">
        <v>0</v>
      </c>
      <c r="J875" s="14" t="s">
        <v>385</v>
      </c>
      <c r="K875" s="14">
        <v>0</v>
      </c>
      <c r="L875" s="14" t="s">
        <v>385</v>
      </c>
      <c r="M875" s="14">
        <v>0</v>
      </c>
      <c r="N875" s="14" t="s">
        <v>385</v>
      </c>
      <c r="O875" s="14">
        <v>0</v>
      </c>
    </row>
    <row r="876" spans="1:15">
      <c r="A876" s="122">
        <v>85</v>
      </c>
      <c r="B876" s="122"/>
      <c r="C876" s="265" t="s">
        <v>1217</v>
      </c>
      <c r="D876" s="122" t="s">
        <v>10</v>
      </c>
      <c r="E876" s="271">
        <v>291.45999999999998</v>
      </c>
      <c r="F876" s="86">
        <v>18</v>
      </c>
      <c r="G876" s="14">
        <f t="shared" si="25"/>
        <v>5246.28</v>
      </c>
      <c r="H876" s="14" t="s">
        <v>385</v>
      </c>
      <c r="I876" s="14">
        <v>0</v>
      </c>
      <c r="J876" s="14" t="s">
        <v>385</v>
      </c>
      <c r="K876" s="14">
        <v>0</v>
      </c>
      <c r="L876" s="14" t="s">
        <v>385</v>
      </c>
      <c r="M876" s="14">
        <v>0</v>
      </c>
      <c r="N876" s="14" t="s">
        <v>385</v>
      </c>
      <c r="O876" s="14">
        <v>0</v>
      </c>
    </row>
    <row r="877" spans="1:15">
      <c r="A877" s="122">
        <v>86</v>
      </c>
      <c r="B877" s="122"/>
      <c r="C877" s="265" t="s">
        <v>1218</v>
      </c>
      <c r="D877" s="122" t="s">
        <v>10</v>
      </c>
      <c r="E877" s="271">
        <v>35.4</v>
      </c>
      <c r="F877" s="86">
        <v>8</v>
      </c>
      <c r="G877" s="14">
        <f t="shared" si="25"/>
        <v>283.2</v>
      </c>
      <c r="H877" s="14" t="s">
        <v>385</v>
      </c>
      <c r="I877" s="14">
        <v>0</v>
      </c>
      <c r="J877" s="14" t="s">
        <v>385</v>
      </c>
      <c r="K877" s="14">
        <v>0</v>
      </c>
      <c r="L877" s="14" t="s">
        <v>385</v>
      </c>
      <c r="M877" s="14">
        <v>0</v>
      </c>
      <c r="N877" s="14" t="s">
        <v>385</v>
      </c>
      <c r="O877" s="14">
        <v>0</v>
      </c>
    </row>
    <row r="878" spans="1:15">
      <c r="A878" s="122">
        <v>87</v>
      </c>
      <c r="B878" s="122"/>
      <c r="C878" s="265" t="s">
        <v>1219</v>
      </c>
      <c r="D878" s="122" t="s">
        <v>10</v>
      </c>
      <c r="E878" s="271">
        <v>47.2</v>
      </c>
      <c r="F878" s="86">
        <v>12</v>
      </c>
      <c r="G878" s="14">
        <f t="shared" si="25"/>
        <v>566.40000000000009</v>
      </c>
      <c r="H878" s="14" t="s">
        <v>385</v>
      </c>
      <c r="I878" s="14">
        <v>0</v>
      </c>
      <c r="J878" s="14" t="s">
        <v>385</v>
      </c>
      <c r="K878" s="14">
        <v>0</v>
      </c>
      <c r="L878" s="14" t="s">
        <v>385</v>
      </c>
      <c r="M878" s="14">
        <v>0</v>
      </c>
      <c r="N878" s="14" t="s">
        <v>385</v>
      </c>
      <c r="O878" s="14">
        <v>0</v>
      </c>
    </row>
    <row r="879" spans="1:15">
      <c r="A879" s="122">
        <v>88</v>
      </c>
      <c r="B879" s="122"/>
      <c r="C879" s="265" t="s">
        <v>1220</v>
      </c>
      <c r="D879" s="122" t="s">
        <v>10</v>
      </c>
      <c r="E879" s="271">
        <v>35.4</v>
      </c>
      <c r="F879" s="86">
        <v>20</v>
      </c>
      <c r="G879" s="14">
        <f t="shared" si="25"/>
        <v>708</v>
      </c>
      <c r="H879" s="14" t="s">
        <v>385</v>
      </c>
      <c r="I879" s="14">
        <v>0</v>
      </c>
      <c r="J879" s="14" t="s">
        <v>385</v>
      </c>
      <c r="K879" s="14">
        <v>0</v>
      </c>
      <c r="L879" s="14" t="s">
        <v>385</v>
      </c>
      <c r="M879" s="14">
        <v>0</v>
      </c>
      <c r="N879" s="14" t="s">
        <v>385</v>
      </c>
      <c r="O879" s="14">
        <v>0</v>
      </c>
    </row>
    <row r="880" spans="1:15">
      <c r="A880" s="122">
        <v>89</v>
      </c>
      <c r="B880" s="122"/>
      <c r="C880" s="265" t="s">
        <v>1221</v>
      </c>
      <c r="D880" s="122" t="s">
        <v>10</v>
      </c>
      <c r="E880" s="271">
        <v>47.2</v>
      </c>
      <c r="F880" s="86">
        <v>16</v>
      </c>
      <c r="G880" s="14">
        <f t="shared" si="25"/>
        <v>755.2</v>
      </c>
      <c r="H880" s="14" t="s">
        <v>385</v>
      </c>
      <c r="I880" s="14">
        <v>0</v>
      </c>
      <c r="J880" s="14" t="s">
        <v>385</v>
      </c>
      <c r="K880" s="14">
        <v>0</v>
      </c>
      <c r="L880" s="14" t="s">
        <v>385</v>
      </c>
      <c r="M880" s="14">
        <v>0</v>
      </c>
      <c r="N880" s="14" t="s">
        <v>385</v>
      </c>
      <c r="O880" s="14">
        <v>0</v>
      </c>
    </row>
    <row r="881" spans="1:15">
      <c r="A881" s="122">
        <v>90</v>
      </c>
      <c r="B881" s="122"/>
      <c r="C881" s="265" t="s">
        <v>1222</v>
      </c>
      <c r="D881" s="122" t="s">
        <v>10</v>
      </c>
      <c r="E881" s="271">
        <v>35.4</v>
      </c>
      <c r="F881" s="86">
        <v>7</v>
      </c>
      <c r="G881" s="14">
        <f t="shared" si="25"/>
        <v>247.79999999999998</v>
      </c>
      <c r="H881" s="14" t="s">
        <v>385</v>
      </c>
      <c r="I881" s="14">
        <v>0</v>
      </c>
      <c r="J881" s="14" t="s">
        <v>385</v>
      </c>
      <c r="K881" s="14">
        <v>0</v>
      </c>
      <c r="L881" s="14" t="s">
        <v>385</v>
      </c>
      <c r="M881" s="14">
        <v>0</v>
      </c>
      <c r="N881" s="14" t="s">
        <v>385</v>
      </c>
      <c r="O881" s="14">
        <v>0</v>
      </c>
    </row>
    <row r="882" spans="1:15">
      <c r="A882" s="122">
        <v>91</v>
      </c>
      <c r="B882" s="122"/>
      <c r="C882" s="265" t="s">
        <v>1223</v>
      </c>
      <c r="D882" s="122" t="s">
        <v>10</v>
      </c>
      <c r="E882" s="271">
        <v>59</v>
      </c>
      <c r="F882" s="86">
        <v>16</v>
      </c>
      <c r="G882" s="14">
        <f t="shared" si="25"/>
        <v>944</v>
      </c>
      <c r="H882" s="14" t="s">
        <v>385</v>
      </c>
      <c r="I882" s="14">
        <v>0</v>
      </c>
      <c r="J882" s="14" t="s">
        <v>385</v>
      </c>
      <c r="K882" s="14">
        <v>0</v>
      </c>
      <c r="L882" s="14" t="s">
        <v>385</v>
      </c>
      <c r="M882" s="14">
        <v>0</v>
      </c>
      <c r="N882" s="14" t="s">
        <v>385</v>
      </c>
      <c r="O882" s="14">
        <v>0</v>
      </c>
    </row>
    <row r="883" spans="1:15">
      <c r="A883" s="122">
        <v>92</v>
      </c>
      <c r="B883" s="122"/>
      <c r="C883" s="265" t="s">
        <v>1224</v>
      </c>
      <c r="D883" s="86" t="s">
        <v>10</v>
      </c>
      <c r="E883" s="86">
        <v>236</v>
      </c>
      <c r="F883" s="86">
        <v>10</v>
      </c>
      <c r="G883" s="14">
        <f t="shared" si="25"/>
        <v>2360</v>
      </c>
      <c r="H883" s="14" t="s">
        <v>385</v>
      </c>
      <c r="I883" s="14">
        <v>0</v>
      </c>
      <c r="J883" s="14" t="s">
        <v>385</v>
      </c>
      <c r="K883" s="14">
        <v>0</v>
      </c>
      <c r="L883" s="14" t="s">
        <v>385</v>
      </c>
      <c r="M883" s="14">
        <v>0</v>
      </c>
      <c r="N883" s="14" t="s">
        <v>385</v>
      </c>
      <c r="O883" s="14">
        <v>0</v>
      </c>
    </row>
    <row r="884" spans="1:15">
      <c r="A884" s="122">
        <v>93</v>
      </c>
      <c r="B884" s="122"/>
      <c r="C884" s="265" t="s">
        <v>1225</v>
      </c>
      <c r="D884" s="86" t="s">
        <v>10</v>
      </c>
      <c r="E884" s="86">
        <v>250.16</v>
      </c>
      <c r="F884" s="86">
        <v>11</v>
      </c>
      <c r="G884" s="14">
        <f t="shared" si="25"/>
        <v>2751.7599999999998</v>
      </c>
      <c r="H884" s="14" t="s">
        <v>385</v>
      </c>
      <c r="I884" s="14">
        <v>0</v>
      </c>
      <c r="J884" s="14" t="s">
        <v>385</v>
      </c>
      <c r="K884" s="14">
        <v>0</v>
      </c>
      <c r="L884" s="14" t="s">
        <v>385</v>
      </c>
      <c r="M884" s="14">
        <v>0</v>
      </c>
      <c r="N884" s="14" t="s">
        <v>385</v>
      </c>
      <c r="O884" s="14">
        <v>0</v>
      </c>
    </row>
    <row r="885" spans="1:15">
      <c r="A885" s="122">
        <v>94</v>
      </c>
      <c r="B885" s="122"/>
      <c r="C885" s="265" t="s">
        <v>1226</v>
      </c>
      <c r="D885" s="86" t="s">
        <v>626</v>
      </c>
      <c r="E885" s="86">
        <v>389.4</v>
      </c>
      <c r="F885" s="86">
        <v>28</v>
      </c>
      <c r="G885" s="14">
        <f t="shared" si="25"/>
        <v>10903.199999999999</v>
      </c>
      <c r="H885" s="14" t="s">
        <v>385</v>
      </c>
      <c r="I885" s="14">
        <v>0</v>
      </c>
      <c r="J885" s="14" t="s">
        <v>385</v>
      </c>
      <c r="K885" s="14">
        <v>0</v>
      </c>
      <c r="L885" s="14" t="s">
        <v>385</v>
      </c>
      <c r="M885" s="14">
        <v>0</v>
      </c>
      <c r="N885" s="14" t="s">
        <v>385</v>
      </c>
      <c r="O885" s="14">
        <v>0</v>
      </c>
    </row>
    <row r="886" spans="1:15" ht="28.5">
      <c r="A886" s="122">
        <v>95</v>
      </c>
      <c r="B886" s="122"/>
      <c r="C886" s="265" t="s">
        <v>1227</v>
      </c>
      <c r="D886" s="116" t="s">
        <v>10</v>
      </c>
      <c r="E886" s="86">
        <v>342.2</v>
      </c>
      <c r="F886" s="86">
        <v>8</v>
      </c>
      <c r="G886" s="14">
        <f t="shared" si="25"/>
        <v>2737.6</v>
      </c>
      <c r="H886" s="14" t="s">
        <v>385</v>
      </c>
      <c r="I886" s="14">
        <v>0</v>
      </c>
      <c r="J886" s="14" t="s">
        <v>385</v>
      </c>
      <c r="K886" s="14">
        <v>0</v>
      </c>
      <c r="L886" s="14" t="s">
        <v>385</v>
      </c>
      <c r="M886" s="14">
        <v>0</v>
      </c>
      <c r="N886" s="14" t="s">
        <v>385</v>
      </c>
      <c r="O886" s="14">
        <v>0</v>
      </c>
    </row>
    <row r="887" spans="1:15" ht="28.5">
      <c r="A887" s="122">
        <v>96</v>
      </c>
      <c r="B887" s="122"/>
      <c r="C887" s="265" t="s">
        <v>1228</v>
      </c>
      <c r="D887" s="116" t="s">
        <v>10</v>
      </c>
      <c r="E887" s="86">
        <v>342.2</v>
      </c>
      <c r="F887" s="86">
        <v>7</v>
      </c>
      <c r="G887" s="14">
        <f t="shared" si="25"/>
        <v>2395.4</v>
      </c>
      <c r="H887" s="14" t="s">
        <v>385</v>
      </c>
      <c r="I887" s="14">
        <v>0</v>
      </c>
      <c r="J887" s="14" t="s">
        <v>385</v>
      </c>
      <c r="K887" s="14">
        <v>0</v>
      </c>
      <c r="L887" s="14" t="s">
        <v>385</v>
      </c>
      <c r="M887" s="14">
        <v>0</v>
      </c>
      <c r="N887" s="14" t="s">
        <v>385</v>
      </c>
      <c r="O887" s="14">
        <v>0</v>
      </c>
    </row>
    <row r="888" spans="1:15" ht="42.75">
      <c r="A888" s="122">
        <v>97</v>
      </c>
      <c r="B888" s="122"/>
      <c r="C888" s="265" t="s">
        <v>1229</v>
      </c>
      <c r="D888" s="86" t="s">
        <v>10</v>
      </c>
      <c r="E888" s="272">
        <v>5841</v>
      </c>
      <c r="F888" s="86">
        <v>1</v>
      </c>
      <c r="G888" s="14">
        <f t="shared" si="25"/>
        <v>5841</v>
      </c>
      <c r="H888" s="14" t="s">
        <v>385</v>
      </c>
      <c r="I888" s="14">
        <v>0</v>
      </c>
      <c r="J888" s="14" t="s">
        <v>385</v>
      </c>
      <c r="K888" s="14">
        <v>0</v>
      </c>
      <c r="L888" s="14" t="s">
        <v>385</v>
      </c>
      <c r="M888" s="14">
        <v>0</v>
      </c>
      <c r="N888" s="14" t="s">
        <v>385</v>
      </c>
      <c r="O888" s="14">
        <v>0</v>
      </c>
    </row>
    <row r="889" spans="1:15" ht="28.5">
      <c r="A889" s="122">
        <v>98</v>
      </c>
      <c r="B889" s="122"/>
      <c r="C889" s="265" t="s">
        <v>1230</v>
      </c>
      <c r="D889" s="86" t="s">
        <v>10</v>
      </c>
      <c r="E889" s="86">
        <v>696.2</v>
      </c>
      <c r="F889" s="86">
        <v>5</v>
      </c>
      <c r="G889" s="14">
        <f t="shared" si="25"/>
        <v>3481</v>
      </c>
      <c r="H889" s="14" t="s">
        <v>385</v>
      </c>
      <c r="I889" s="14">
        <v>0</v>
      </c>
      <c r="J889" s="14" t="s">
        <v>385</v>
      </c>
      <c r="K889" s="14">
        <v>0</v>
      </c>
      <c r="L889" s="14" t="s">
        <v>385</v>
      </c>
      <c r="M889" s="14">
        <v>0</v>
      </c>
      <c r="N889" s="14" t="s">
        <v>385</v>
      </c>
      <c r="O889" s="14">
        <v>0</v>
      </c>
    </row>
    <row r="890" spans="1:15" ht="57">
      <c r="A890" s="122">
        <v>99</v>
      </c>
      <c r="B890" s="122"/>
      <c r="C890" s="265" t="s">
        <v>1231</v>
      </c>
      <c r="D890" s="86" t="s">
        <v>10</v>
      </c>
      <c r="E890" s="86">
        <v>323.32</v>
      </c>
      <c r="F890" s="86">
        <v>9</v>
      </c>
      <c r="G890" s="14">
        <f t="shared" si="25"/>
        <v>2909.88</v>
      </c>
      <c r="H890" s="14" t="s">
        <v>385</v>
      </c>
      <c r="I890" s="14">
        <v>0</v>
      </c>
      <c r="J890" s="14" t="s">
        <v>385</v>
      </c>
      <c r="K890" s="14">
        <v>0</v>
      </c>
      <c r="L890" s="14" t="s">
        <v>385</v>
      </c>
      <c r="M890" s="14">
        <v>0</v>
      </c>
      <c r="N890" s="14" t="s">
        <v>385</v>
      </c>
      <c r="O890" s="14">
        <v>0</v>
      </c>
    </row>
    <row r="891" spans="1:15">
      <c r="A891" s="122">
        <v>100</v>
      </c>
      <c r="B891" s="122"/>
      <c r="C891" s="265" t="s">
        <v>1232</v>
      </c>
      <c r="D891" s="86" t="s">
        <v>10</v>
      </c>
      <c r="E891" s="86">
        <v>1000</v>
      </c>
      <c r="F891" s="86">
        <v>1</v>
      </c>
      <c r="G891" s="14">
        <f t="shared" si="25"/>
        <v>1000</v>
      </c>
      <c r="H891" s="14" t="s">
        <v>385</v>
      </c>
      <c r="I891" s="14">
        <v>0</v>
      </c>
      <c r="J891" s="14" t="s">
        <v>385</v>
      </c>
      <c r="K891" s="14">
        <v>0</v>
      </c>
      <c r="L891" s="14" t="s">
        <v>385</v>
      </c>
      <c r="M891" s="14">
        <v>0</v>
      </c>
      <c r="N891" s="14" t="s">
        <v>385</v>
      </c>
      <c r="O891" s="14">
        <v>0</v>
      </c>
    </row>
    <row r="892" spans="1:15">
      <c r="A892" s="122">
        <v>101</v>
      </c>
      <c r="B892" s="122"/>
      <c r="C892" s="265" t="s">
        <v>1233</v>
      </c>
      <c r="D892" s="86" t="s">
        <v>10</v>
      </c>
      <c r="E892" s="86">
        <v>50</v>
      </c>
      <c r="F892" s="86">
        <v>1</v>
      </c>
      <c r="G892" s="14">
        <f t="shared" si="25"/>
        <v>50</v>
      </c>
      <c r="H892" s="14" t="s">
        <v>385</v>
      </c>
      <c r="I892" s="14">
        <v>0</v>
      </c>
      <c r="J892" s="14" t="s">
        <v>385</v>
      </c>
      <c r="K892" s="14">
        <v>0</v>
      </c>
      <c r="L892" s="14" t="s">
        <v>385</v>
      </c>
      <c r="M892" s="14">
        <v>0</v>
      </c>
      <c r="N892" s="14" t="s">
        <v>385</v>
      </c>
      <c r="O892" s="14">
        <v>0</v>
      </c>
    </row>
    <row r="893" spans="1:15">
      <c r="A893" s="122">
        <v>102</v>
      </c>
      <c r="B893" s="122"/>
      <c r="C893" s="265" t="s">
        <v>1234</v>
      </c>
      <c r="D893" s="86" t="s">
        <v>10</v>
      </c>
      <c r="E893" s="86">
        <v>150</v>
      </c>
      <c r="F893" s="86">
        <v>25</v>
      </c>
      <c r="G893" s="14">
        <f t="shared" si="25"/>
        <v>3750</v>
      </c>
      <c r="H893" s="14" t="s">
        <v>385</v>
      </c>
      <c r="I893" s="14">
        <v>0</v>
      </c>
      <c r="J893" s="14" t="s">
        <v>385</v>
      </c>
      <c r="K893" s="14">
        <v>0</v>
      </c>
      <c r="L893" s="14" t="s">
        <v>385</v>
      </c>
      <c r="M893" s="14">
        <v>0</v>
      </c>
      <c r="N893" s="14" t="s">
        <v>385</v>
      </c>
      <c r="O893" s="14">
        <v>0</v>
      </c>
    </row>
    <row r="894" spans="1:15">
      <c r="A894" s="122">
        <v>103</v>
      </c>
      <c r="B894" s="122"/>
      <c r="C894" s="265" t="s">
        <v>1235</v>
      </c>
      <c r="D894" s="86" t="s">
        <v>1076</v>
      </c>
      <c r="E894" s="86">
        <v>5267</v>
      </c>
      <c r="F894" s="86">
        <v>3</v>
      </c>
      <c r="G894" s="14">
        <f t="shared" si="25"/>
        <v>15801</v>
      </c>
      <c r="H894" s="14" t="s">
        <v>385</v>
      </c>
      <c r="I894" s="14">
        <v>0</v>
      </c>
      <c r="J894" s="14" t="s">
        <v>385</v>
      </c>
      <c r="K894" s="14">
        <v>0</v>
      </c>
      <c r="L894" s="14" t="s">
        <v>385</v>
      </c>
      <c r="M894" s="14">
        <v>0</v>
      </c>
      <c r="N894" s="14" t="s">
        <v>385</v>
      </c>
      <c r="O894" s="14">
        <v>0</v>
      </c>
    </row>
    <row r="895" spans="1:15">
      <c r="A895" s="122">
        <v>104</v>
      </c>
      <c r="B895" s="122"/>
      <c r="C895" s="265" t="s">
        <v>1236</v>
      </c>
      <c r="D895" s="86" t="s">
        <v>1076</v>
      </c>
      <c r="E895" s="86">
        <v>300</v>
      </c>
      <c r="F895" s="86">
        <v>3</v>
      </c>
      <c r="G895" s="14">
        <f t="shared" si="25"/>
        <v>900</v>
      </c>
      <c r="H895" s="14" t="s">
        <v>385</v>
      </c>
      <c r="I895" s="14">
        <v>0</v>
      </c>
      <c r="J895" s="14" t="s">
        <v>385</v>
      </c>
      <c r="K895" s="14">
        <v>0</v>
      </c>
      <c r="L895" s="14" t="s">
        <v>385</v>
      </c>
      <c r="M895" s="14">
        <v>0</v>
      </c>
      <c r="N895" s="14" t="s">
        <v>385</v>
      </c>
      <c r="O895" s="14">
        <v>0</v>
      </c>
    </row>
    <row r="896" spans="1:15" ht="28.5">
      <c r="A896" s="122">
        <v>105</v>
      </c>
      <c r="B896" s="122"/>
      <c r="C896" s="265" t="s">
        <v>1237</v>
      </c>
      <c r="D896" s="86" t="s">
        <v>32</v>
      </c>
      <c r="E896" s="86">
        <v>500</v>
      </c>
      <c r="F896" s="86">
        <v>1</v>
      </c>
      <c r="G896" s="14">
        <f t="shared" si="25"/>
        <v>500</v>
      </c>
      <c r="H896" s="14" t="s">
        <v>385</v>
      </c>
      <c r="I896" s="14">
        <v>0</v>
      </c>
      <c r="J896" s="14" t="s">
        <v>385</v>
      </c>
      <c r="K896" s="14">
        <v>0</v>
      </c>
      <c r="L896" s="14" t="s">
        <v>385</v>
      </c>
      <c r="M896" s="14">
        <v>0</v>
      </c>
      <c r="N896" s="14" t="s">
        <v>385</v>
      </c>
      <c r="O896" s="14">
        <v>0</v>
      </c>
    </row>
    <row r="897" spans="1:15">
      <c r="A897" s="122">
        <v>106</v>
      </c>
      <c r="B897" s="122"/>
      <c r="C897" s="265" t="s">
        <v>1238</v>
      </c>
      <c r="D897" s="86" t="s">
        <v>32</v>
      </c>
      <c r="E897" s="86">
        <v>684.4</v>
      </c>
      <c r="F897" s="86">
        <v>4</v>
      </c>
      <c r="G897" s="14">
        <f t="shared" si="25"/>
        <v>2737.6</v>
      </c>
      <c r="H897" s="14" t="s">
        <v>385</v>
      </c>
      <c r="I897" s="14">
        <v>0</v>
      </c>
      <c r="J897" s="14" t="s">
        <v>385</v>
      </c>
      <c r="K897" s="14">
        <v>0</v>
      </c>
      <c r="L897" s="14" t="s">
        <v>385</v>
      </c>
      <c r="M897" s="14">
        <v>0</v>
      </c>
      <c r="N897" s="14" t="s">
        <v>385</v>
      </c>
      <c r="O897" s="14">
        <v>0</v>
      </c>
    </row>
    <row r="898" spans="1:15">
      <c r="A898" s="122">
        <v>107</v>
      </c>
      <c r="B898" s="122"/>
      <c r="C898" s="265" t="s">
        <v>1239</v>
      </c>
      <c r="D898" s="86" t="s">
        <v>370</v>
      </c>
      <c r="E898" s="86">
        <v>472</v>
      </c>
      <c r="F898" s="86">
        <v>1.25</v>
      </c>
      <c r="G898" s="14">
        <f t="shared" si="25"/>
        <v>590</v>
      </c>
      <c r="H898" s="14" t="s">
        <v>385</v>
      </c>
      <c r="I898" s="14">
        <v>0</v>
      </c>
      <c r="J898" s="14" t="s">
        <v>385</v>
      </c>
      <c r="K898" s="14">
        <v>0</v>
      </c>
      <c r="L898" s="14" t="s">
        <v>385</v>
      </c>
      <c r="M898" s="14">
        <v>0</v>
      </c>
      <c r="N898" s="14" t="s">
        <v>385</v>
      </c>
      <c r="O898" s="14">
        <v>0</v>
      </c>
    </row>
    <row r="899" spans="1:15" ht="28.5">
      <c r="A899" s="122">
        <v>108</v>
      </c>
      <c r="B899" s="122"/>
      <c r="C899" s="265" t="s">
        <v>1240</v>
      </c>
      <c r="D899" s="86" t="s">
        <v>32</v>
      </c>
      <c r="E899" s="86">
        <v>2891</v>
      </c>
      <c r="F899" s="86">
        <v>1</v>
      </c>
      <c r="G899" s="14">
        <f t="shared" si="25"/>
        <v>2891</v>
      </c>
      <c r="H899" s="14" t="s">
        <v>385</v>
      </c>
      <c r="I899" s="14">
        <v>0</v>
      </c>
      <c r="J899" s="14" t="s">
        <v>385</v>
      </c>
      <c r="K899" s="14">
        <v>0</v>
      </c>
      <c r="L899" s="14" t="s">
        <v>385</v>
      </c>
      <c r="M899" s="14">
        <v>0</v>
      </c>
      <c r="N899" s="14" t="s">
        <v>385</v>
      </c>
      <c r="O899" s="273">
        <v>0</v>
      </c>
    </row>
    <row r="900" spans="1:15">
      <c r="A900" s="122">
        <v>109</v>
      </c>
      <c r="B900" s="122"/>
      <c r="C900" s="265" t="s">
        <v>1241</v>
      </c>
      <c r="D900" s="86" t="s">
        <v>32</v>
      </c>
      <c r="E900" s="86">
        <v>800</v>
      </c>
      <c r="F900" s="86">
        <v>6</v>
      </c>
      <c r="G900" s="14">
        <f t="shared" si="25"/>
        <v>4800</v>
      </c>
      <c r="H900" s="14" t="s">
        <v>385</v>
      </c>
      <c r="I900" s="14">
        <v>0</v>
      </c>
      <c r="J900" s="14" t="s">
        <v>385</v>
      </c>
      <c r="K900" s="14">
        <v>0</v>
      </c>
      <c r="L900" s="14" t="s">
        <v>385</v>
      </c>
      <c r="M900" s="14">
        <v>0</v>
      </c>
      <c r="N900" s="14" t="s">
        <v>385</v>
      </c>
      <c r="O900" s="273">
        <v>0</v>
      </c>
    </row>
    <row r="901" spans="1:15">
      <c r="A901" s="122">
        <v>110</v>
      </c>
      <c r="B901" s="122"/>
      <c r="C901" s="265" t="s">
        <v>1242</v>
      </c>
      <c r="D901" s="86" t="s">
        <v>32</v>
      </c>
      <c r="E901" s="86">
        <v>811.9</v>
      </c>
      <c r="F901" s="86">
        <v>4</v>
      </c>
      <c r="G901" s="14">
        <f t="shared" si="25"/>
        <v>3247.6</v>
      </c>
      <c r="H901" s="14" t="s">
        <v>385</v>
      </c>
      <c r="I901" s="14">
        <v>0</v>
      </c>
      <c r="J901" s="14" t="s">
        <v>385</v>
      </c>
      <c r="K901" s="14">
        <v>0</v>
      </c>
      <c r="L901" s="14" t="s">
        <v>385</v>
      </c>
      <c r="M901" s="14">
        <v>0</v>
      </c>
      <c r="N901" s="14" t="s">
        <v>385</v>
      </c>
      <c r="O901" s="273">
        <v>0</v>
      </c>
    </row>
    <row r="902" spans="1:15" ht="42.75">
      <c r="A902" s="122">
        <v>111</v>
      </c>
      <c r="B902" s="122"/>
      <c r="C902" s="265" t="s">
        <v>1243</v>
      </c>
      <c r="D902" s="86" t="s">
        <v>32</v>
      </c>
      <c r="E902" s="86">
        <v>2985.4</v>
      </c>
      <c r="F902" s="86">
        <v>2</v>
      </c>
      <c r="G902" s="14">
        <f t="shared" si="25"/>
        <v>5970.8</v>
      </c>
      <c r="H902" s="14" t="s">
        <v>385</v>
      </c>
      <c r="I902" s="14">
        <v>0</v>
      </c>
      <c r="J902" s="14" t="s">
        <v>385</v>
      </c>
      <c r="K902" s="14">
        <v>0</v>
      </c>
      <c r="L902" s="14" t="s">
        <v>385</v>
      </c>
      <c r="M902" s="14">
        <v>0</v>
      </c>
      <c r="N902" s="14" t="s">
        <v>385</v>
      </c>
      <c r="O902" s="14">
        <v>0</v>
      </c>
    </row>
    <row r="903" spans="1:15" ht="42.75">
      <c r="A903" s="122">
        <v>112</v>
      </c>
      <c r="B903" s="122"/>
      <c r="C903" s="265" t="s">
        <v>1244</v>
      </c>
      <c r="D903" s="86" t="s">
        <v>32</v>
      </c>
      <c r="E903" s="86">
        <v>2985.4</v>
      </c>
      <c r="F903" s="86">
        <v>3</v>
      </c>
      <c r="G903" s="14">
        <f t="shared" si="25"/>
        <v>8956.2000000000007</v>
      </c>
      <c r="H903" s="14" t="s">
        <v>385</v>
      </c>
      <c r="I903" s="14">
        <v>0</v>
      </c>
      <c r="J903" s="14" t="s">
        <v>385</v>
      </c>
      <c r="K903" s="14">
        <v>0</v>
      </c>
      <c r="L903" s="14" t="s">
        <v>385</v>
      </c>
      <c r="M903" s="14">
        <v>0</v>
      </c>
      <c r="N903" s="14" t="s">
        <v>385</v>
      </c>
      <c r="O903" s="14">
        <v>0</v>
      </c>
    </row>
    <row r="904" spans="1:15" ht="42.75">
      <c r="A904" s="122">
        <v>113</v>
      </c>
      <c r="B904" s="122"/>
      <c r="C904" s="265" t="s">
        <v>1245</v>
      </c>
      <c r="D904" s="86" t="s">
        <v>32</v>
      </c>
      <c r="E904" s="86">
        <v>2985.4</v>
      </c>
      <c r="F904" s="86">
        <v>6</v>
      </c>
      <c r="G904" s="14">
        <f t="shared" si="25"/>
        <v>17912.400000000001</v>
      </c>
      <c r="H904" s="14" t="s">
        <v>385</v>
      </c>
      <c r="I904" s="14">
        <v>0</v>
      </c>
      <c r="J904" s="14" t="s">
        <v>385</v>
      </c>
      <c r="K904" s="14">
        <v>0</v>
      </c>
      <c r="L904" s="14" t="s">
        <v>385</v>
      </c>
      <c r="M904" s="14">
        <v>0</v>
      </c>
      <c r="N904" s="14" t="s">
        <v>385</v>
      </c>
      <c r="O904" s="14">
        <v>0</v>
      </c>
    </row>
    <row r="905" spans="1:15" ht="28.5">
      <c r="A905" s="122">
        <v>114</v>
      </c>
      <c r="B905" s="122"/>
      <c r="C905" s="265" t="s">
        <v>1246</v>
      </c>
      <c r="D905" s="86" t="s">
        <v>32</v>
      </c>
      <c r="E905" s="86">
        <v>2891</v>
      </c>
      <c r="F905" s="86">
        <v>2</v>
      </c>
      <c r="G905" s="14">
        <f t="shared" si="25"/>
        <v>5782</v>
      </c>
      <c r="H905" s="14" t="s">
        <v>385</v>
      </c>
      <c r="I905" s="14">
        <v>0</v>
      </c>
      <c r="J905" s="14" t="s">
        <v>385</v>
      </c>
      <c r="K905" s="14">
        <v>0</v>
      </c>
      <c r="L905" s="14" t="s">
        <v>385</v>
      </c>
      <c r="M905" s="14">
        <v>0</v>
      </c>
      <c r="N905" s="14" t="s">
        <v>385</v>
      </c>
      <c r="O905" s="14">
        <v>0</v>
      </c>
    </row>
    <row r="906" spans="1:15" ht="28.5">
      <c r="A906" s="122">
        <v>115</v>
      </c>
      <c r="B906" s="122"/>
      <c r="C906" s="265" t="s">
        <v>1247</v>
      </c>
      <c r="D906" s="86" t="s">
        <v>32</v>
      </c>
      <c r="E906" s="86">
        <v>2360</v>
      </c>
      <c r="F906" s="274">
        <v>5</v>
      </c>
      <c r="G906" s="14">
        <f t="shared" si="25"/>
        <v>11800</v>
      </c>
      <c r="H906" s="14" t="s">
        <v>385</v>
      </c>
      <c r="I906" s="14">
        <v>0</v>
      </c>
      <c r="J906" s="14" t="s">
        <v>385</v>
      </c>
      <c r="K906" s="14">
        <v>0</v>
      </c>
      <c r="L906" s="14" t="s">
        <v>385</v>
      </c>
      <c r="M906" s="14">
        <v>0</v>
      </c>
      <c r="N906" s="14" t="s">
        <v>385</v>
      </c>
      <c r="O906" s="14">
        <v>0</v>
      </c>
    </row>
    <row r="907" spans="1:15">
      <c r="A907" s="122">
        <v>116</v>
      </c>
      <c r="B907" s="122"/>
      <c r="C907" s="265" t="s">
        <v>1248</v>
      </c>
      <c r="D907" s="86" t="s">
        <v>32</v>
      </c>
      <c r="E907" s="86">
        <v>20000</v>
      </c>
      <c r="F907" s="86">
        <v>1</v>
      </c>
      <c r="G907" s="14">
        <f t="shared" si="25"/>
        <v>20000</v>
      </c>
      <c r="H907" s="14" t="s">
        <v>385</v>
      </c>
      <c r="I907" s="14">
        <v>0</v>
      </c>
      <c r="J907" s="14" t="s">
        <v>385</v>
      </c>
      <c r="K907" s="14">
        <v>0</v>
      </c>
      <c r="L907" s="14" t="s">
        <v>385</v>
      </c>
      <c r="M907" s="14">
        <v>0</v>
      </c>
      <c r="N907" s="14" t="s">
        <v>385</v>
      </c>
      <c r="O907" s="14">
        <v>0</v>
      </c>
    </row>
    <row r="908" spans="1:15" ht="28.5">
      <c r="A908" s="122">
        <v>117</v>
      </c>
      <c r="B908" s="122"/>
      <c r="C908" s="265" t="s">
        <v>1249</v>
      </c>
      <c r="D908" s="86" t="s">
        <v>32</v>
      </c>
      <c r="E908" s="86">
        <v>1060.8</v>
      </c>
      <c r="F908" s="86">
        <v>2</v>
      </c>
      <c r="G908" s="14">
        <f t="shared" si="25"/>
        <v>2121.6</v>
      </c>
      <c r="H908" s="14" t="s">
        <v>385</v>
      </c>
      <c r="I908" s="14">
        <v>0</v>
      </c>
      <c r="J908" s="14" t="s">
        <v>385</v>
      </c>
      <c r="K908" s="14">
        <v>0</v>
      </c>
      <c r="L908" s="14" t="s">
        <v>385</v>
      </c>
      <c r="M908" s="14">
        <v>0</v>
      </c>
      <c r="N908" s="14" t="s">
        <v>385</v>
      </c>
      <c r="O908" s="14">
        <v>0</v>
      </c>
    </row>
    <row r="909" spans="1:15" ht="28.5">
      <c r="A909" s="122">
        <v>118</v>
      </c>
      <c r="B909" s="122"/>
      <c r="C909" s="265" t="s">
        <v>1250</v>
      </c>
      <c r="D909" s="86" t="s">
        <v>32</v>
      </c>
      <c r="E909" s="86">
        <v>1060.8</v>
      </c>
      <c r="F909" s="86">
        <v>4</v>
      </c>
      <c r="G909" s="14">
        <f t="shared" si="25"/>
        <v>4243.2</v>
      </c>
      <c r="H909" s="14" t="s">
        <v>385</v>
      </c>
      <c r="I909" s="14">
        <v>0</v>
      </c>
      <c r="J909" s="14" t="s">
        <v>1251</v>
      </c>
      <c r="K909" s="14">
        <v>0</v>
      </c>
      <c r="L909" s="14" t="s">
        <v>1251</v>
      </c>
      <c r="M909" s="14">
        <v>0</v>
      </c>
      <c r="N909" s="14" t="s">
        <v>385</v>
      </c>
      <c r="O909" s="14">
        <v>0</v>
      </c>
    </row>
    <row r="910" spans="1:15" ht="28.5">
      <c r="A910" s="122">
        <v>119</v>
      </c>
      <c r="B910" s="122"/>
      <c r="C910" s="265" t="s">
        <v>1252</v>
      </c>
      <c r="D910" s="86" t="s">
        <v>32</v>
      </c>
      <c r="E910" s="86">
        <v>1060.8</v>
      </c>
      <c r="F910" s="86">
        <v>2</v>
      </c>
      <c r="G910" s="14">
        <f t="shared" si="25"/>
        <v>2121.6</v>
      </c>
      <c r="H910" s="14" t="s">
        <v>385</v>
      </c>
      <c r="I910" s="14">
        <v>0</v>
      </c>
      <c r="J910" s="14" t="s">
        <v>1251</v>
      </c>
      <c r="K910" s="14">
        <v>0</v>
      </c>
      <c r="L910" s="14" t="s">
        <v>1251</v>
      </c>
      <c r="M910" s="14">
        <v>0</v>
      </c>
      <c r="N910" s="14" t="s">
        <v>385</v>
      </c>
      <c r="O910" s="14">
        <v>0</v>
      </c>
    </row>
    <row r="911" spans="1:15" ht="28.5">
      <c r="A911" s="122">
        <v>120</v>
      </c>
      <c r="B911" s="122"/>
      <c r="C911" s="265" t="s">
        <v>1253</v>
      </c>
      <c r="D911" s="86" t="s">
        <v>32</v>
      </c>
      <c r="E911" s="86">
        <v>1060.8</v>
      </c>
      <c r="F911" s="86">
        <v>3</v>
      </c>
      <c r="G911" s="14">
        <f t="shared" si="25"/>
        <v>3182.3999999999996</v>
      </c>
      <c r="H911" s="14" t="s">
        <v>385</v>
      </c>
      <c r="I911" s="14">
        <v>0</v>
      </c>
      <c r="J911" s="14" t="s">
        <v>1251</v>
      </c>
      <c r="K911" s="14">
        <v>0</v>
      </c>
      <c r="L911" s="14" t="s">
        <v>1251</v>
      </c>
      <c r="M911" s="14">
        <v>0</v>
      </c>
      <c r="N911" s="14" t="s">
        <v>385</v>
      </c>
      <c r="O911" s="14">
        <v>0</v>
      </c>
    </row>
    <row r="912" spans="1:15" ht="28.5">
      <c r="A912" s="122">
        <v>121</v>
      </c>
      <c r="B912" s="122"/>
      <c r="C912" s="265" t="s">
        <v>1254</v>
      </c>
      <c r="D912" s="86" t="s">
        <v>32</v>
      </c>
      <c r="E912" s="86">
        <v>1060.8</v>
      </c>
      <c r="F912" s="86">
        <v>4</v>
      </c>
      <c r="G912" s="14">
        <f t="shared" si="25"/>
        <v>4243.2</v>
      </c>
      <c r="H912" s="14" t="s">
        <v>385</v>
      </c>
      <c r="I912" s="14">
        <v>0</v>
      </c>
      <c r="J912" s="14" t="s">
        <v>1251</v>
      </c>
      <c r="K912" s="14">
        <v>0</v>
      </c>
      <c r="L912" s="14" t="s">
        <v>1251</v>
      </c>
      <c r="M912" s="14">
        <v>0</v>
      </c>
      <c r="N912" s="14" t="s">
        <v>385</v>
      </c>
      <c r="O912" s="14">
        <v>0</v>
      </c>
    </row>
    <row r="913" spans="1:15" ht="28.5">
      <c r="A913" s="122">
        <v>122</v>
      </c>
      <c r="B913" s="122"/>
      <c r="C913" s="265" t="s">
        <v>1255</v>
      </c>
      <c r="D913" s="86" t="s">
        <v>32</v>
      </c>
      <c r="E913" s="86">
        <v>1060.8</v>
      </c>
      <c r="F913" s="86">
        <v>3</v>
      </c>
      <c r="G913" s="14">
        <f t="shared" si="25"/>
        <v>3182.3999999999996</v>
      </c>
      <c r="H913" s="14" t="s">
        <v>385</v>
      </c>
      <c r="I913" s="14">
        <v>0</v>
      </c>
      <c r="J913" s="14" t="s">
        <v>1251</v>
      </c>
      <c r="K913" s="14">
        <v>0</v>
      </c>
      <c r="L913" s="14" t="s">
        <v>1251</v>
      </c>
      <c r="M913" s="14">
        <v>0</v>
      </c>
      <c r="N913" s="14" t="s">
        <v>385</v>
      </c>
      <c r="O913" s="14">
        <v>0</v>
      </c>
    </row>
    <row r="914" spans="1:15" ht="28.5">
      <c r="A914" s="122">
        <v>123</v>
      </c>
      <c r="B914" s="122"/>
      <c r="C914" s="265" t="s">
        <v>1256</v>
      </c>
      <c r="D914" s="86" t="s">
        <v>32</v>
      </c>
      <c r="E914" s="86">
        <v>1060.8</v>
      </c>
      <c r="F914" s="86">
        <v>2</v>
      </c>
      <c r="G914" s="14">
        <f t="shared" si="25"/>
        <v>2121.6</v>
      </c>
      <c r="H914" s="14" t="s">
        <v>385</v>
      </c>
      <c r="I914" s="14">
        <v>0</v>
      </c>
      <c r="J914" s="14" t="s">
        <v>1251</v>
      </c>
      <c r="K914" s="14">
        <v>0</v>
      </c>
      <c r="L914" s="14" t="s">
        <v>1251</v>
      </c>
      <c r="M914" s="14">
        <v>0</v>
      </c>
      <c r="N914" s="14" t="s">
        <v>385</v>
      </c>
      <c r="O914" s="14">
        <v>0</v>
      </c>
    </row>
    <row r="915" spans="1:15" ht="28.5">
      <c r="A915" s="122">
        <v>124</v>
      </c>
      <c r="B915" s="122"/>
      <c r="C915" s="265" t="s">
        <v>1257</v>
      </c>
      <c r="D915" s="86" t="s">
        <v>32</v>
      </c>
      <c r="E915" s="86">
        <v>1060.8</v>
      </c>
      <c r="F915" s="86">
        <v>3</v>
      </c>
      <c r="G915" s="14">
        <f t="shared" si="25"/>
        <v>3182.3999999999996</v>
      </c>
      <c r="H915" s="14" t="s">
        <v>385</v>
      </c>
      <c r="I915" s="14">
        <v>0</v>
      </c>
      <c r="J915" s="14" t="s">
        <v>1251</v>
      </c>
      <c r="K915" s="14">
        <v>0</v>
      </c>
      <c r="L915" s="14" t="s">
        <v>1251</v>
      </c>
      <c r="M915" s="14">
        <v>0</v>
      </c>
      <c r="N915" s="14" t="s">
        <v>385</v>
      </c>
      <c r="O915" s="14">
        <v>0</v>
      </c>
    </row>
    <row r="916" spans="1:15" ht="28.5">
      <c r="A916" s="122">
        <v>125</v>
      </c>
      <c r="B916" s="122"/>
      <c r="C916" s="265" t="s">
        <v>1258</v>
      </c>
      <c r="D916" s="86" t="s">
        <v>32</v>
      </c>
      <c r="E916" s="86">
        <v>1060.8</v>
      </c>
      <c r="F916" s="86">
        <v>1</v>
      </c>
      <c r="G916" s="14">
        <f t="shared" si="25"/>
        <v>1060.8</v>
      </c>
      <c r="H916" s="14" t="s">
        <v>385</v>
      </c>
      <c r="I916" s="14">
        <v>0</v>
      </c>
      <c r="J916" s="14" t="s">
        <v>1251</v>
      </c>
      <c r="K916" s="14">
        <v>0</v>
      </c>
      <c r="L916" s="14" t="s">
        <v>1251</v>
      </c>
      <c r="M916" s="14">
        <v>0</v>
      </c>
      <c r="N916" s="14" t="s">
        <v>385</v>
      </c>
      <c r="O916" s="14">
        <v>0</v>
      </c>
    </row>
    <row r="917" spans="1:15" ht="28.5">
      <c r="A917" s="122">
        <v>126</v>
      </c>
      <c r="B917" s="122"/>
      <c r="C917" s="265" t="s">
        <v>1259</v>
      </c>
      <c r="D917" s="86" t="s">
        <v>32</v>
      </c>
      <c r="E917" s="86">
        <v>1060.8</v>
      </c>
      <c r="F917" s="86">
        <v>6</v>
      </c>
      <c r="G917" s="14">
        <f t="shared" si="25"/>
        <v>6364.7999999999993</v>
      </c>
      <c r="H917" s="14" t="s">
        <v>385</v>
      </c>
      <c r="I917" s="14">
        <v>0</v>
      </c>
      <c r="J917" s="14" t="s">
        <v>1251</v>
      </c>
      <c r="K917" s="14">
        <v>0</v>
      </c>
      <c r="L917" s="14" t="s">
        <v>1251</v>
      </c>
      <c r="M917" s="14">
        <v>0</v>
      </c>
      <c r="N917" s="14" t="s">
        <v>385</v>
      </c>
      <c r="O917" s="14">
        <v>0</v>
      </c>
    </row>
    <row r="918" spans="1:15" ht="28.5">
      <c r="A918" s="122">
        <v>127</v>
      </c>
      <c r="B918" s="122"/>
      <c r="C918" s="265" t="s">
        <v>1260</v>
      </c>
      <c r="D918" s="86" t="s">
        <v>32</v>
      </c>
      <c r="E918" s="86">
        <v>1060.8</v>
      </c>
      <c r="F918" s="86">
        <v>6</v>
      </c>
      <c r="G918" s="14">
        <f t="shared" si="25"/>
        <v>6364.7999999999993</v>
      </c>
      <c r="H918" s="14" t="s">
        <v>385</v>
      </c>
      <c r="I918" s="14">
        <v>0</v>
      </c>
      <c r="J918" s="14" t="s">
        <v>1251</v>
      </c>
      <c r="K918" s="14">
        <v>0</v>
      </c>
      <c r="L918" s="14" t="s">
        <v>1251</v>
      </c>
      <c r="M918" s="14">
        <v>0</v>
      </c>
      <c r="N918" s="14" t="s">
        <v>385</v>
      </c>
      <c r="O918" s="14">
        <v>0</v>
      </c>
    </row>
    <row r="919" spans="1:15" ht="28.5">
      <c r="A919" s="122">
        <v>128</v>
      </c>
      <c r="B919" s="122"/>
      <c r="C919" s="265" t="s">
        <v>1261</v>
      </c>
      <c r="D919" s="86" t="s">
        <v>32</v>
      </c>
      <c r="E919" s="86">
        <v>1060.8</v>
      </c>
      <c r="F919" s="86">
        <v>1</v>
      </c>
      <c r="G919" s="14">
        <f t="shared" si="25"/>
        <v>1060.8</v>
      </c>
      <c r="H919" s="14" t="s">
        <v>385</v>
      </c>
      <c r="I919" s="14">
        <v>0</v>
      </c>
      <c r="J919" s="14" t="s">
        <v>1251</v>
      </c>
      <c r="K919" s="14">
        <v>0</v>
      </c>
      <c r="L919" s="14" t="s">
        <v>1251</v>
      </c>
      <c r="M919" s="14">
        <v>0</v>
      </c>
      <c r="N919" s="14" t="s">
        <v>385</v>
      </c>
      <c r="O919" s="14">
        <v>0</v>
      </c>
    </row>
    <row r="920" spans="1:15" ht="28.5">
      <c r="A920" s="122">
        <v>129</v>
      </c>
      <c r="B920" s="122"/>
      <c r="C920" s="265" t="s">
        <v>1262</v>
      </c>
      <c r="D920" s="86" t="s">
        <v>32</v>
      </c>
      <c r="E920" s="86">
        <v>1060.8</v>
      </c>
      <c r="F920" s="86">
        <v>3</v>
      </c>
      <c r="G920" s="14">
        <f t="shared" si="25"/>
        <v>3182.3999999999996</v>
      </c>
      <c r="H920" s="14" t="s">
        <v>385</v>
      </c>
      <c r="I920" s="14">
        <v>0</v>
      </c>
      <c r="J920" s="14" t="s">
        <v>1251</v>
      </c>
      <c r="K920" s="14">
        <v>0</v>
      </c>
      <c r="L920" s="14" t="s">
        <v>1251</v>
      </c>
      <c r="M920" s="14">
        <v>0</v>
      </c>
      <c r="N920" s="14" t="s">
        <v>385</v>
      </c>
      <c r="O920" s="14">
        <v>0</v>
      </c>
    </row>
    <row r="921" spans="1:15" ht="28.5">
      <c r="A921" s="122">
        <v>130</v>
      </c>
      <c r="B921" s="122"/>
      <c r="C921" s="265" t="s">
        <v>1263</v>
      </c>
      <c r="D921" s="86" t="s">
        <v>32</v>
      </c>
      <c r="E921" s="86">
        <v>1060.8</v>
      </c>
      <c r="F921" s="86">
        <v>1</v>
      </c>
      <c r="G921" s="14">
        <f t="shared" ref="G921:G924" si="26">E921*F921</f>
        <v>1060.8</v>
      </c>
      <c r="H921" s="14" t="s">
        <v>385</v>
      </c>
      <c r="I921" s="14">
        <v>0</v>
      </c>
      <c r="J921" s="14" t="s">
        <v>1251</v>
      </c>
      <c r="K921" s="14">
        <v>0</v>
      </c>
      <c r="L921" s="14" t="s">
        <v>1251</v>
      </c>
      <c r="M921" s="14">
        <v>0</v>
      </c>
      <c r="N921" s="14" t="s">
        <v>385</v>
      </c>
      <c r="O921" s="14">
        <v>0</v>
      </c>
    </row>
    <row r="922" spans="1:15" ht="28.5">
      <c r="A922" s="122">
        <v>131</v>
      </c>
      <c r="B922" s="122"/>
      <c r="C922" s="265" t="s">
        <v>1264</v>
      </c>
      <c r="D922" s="86" t="s">
        <v>32</v>
      </c>
      <c r="E922" s="86">
        <v>1060.8</v>
      </c>
      <c r="F922" s="86">
        <v>4</v>
      </c>
      <c r="G922" s="14">
        <f t="shared" si="26"/>
        <v>4243.2</v>
      </c>
      <c r="H922" s="14" t="s">
        <v>385</v>
      </c>
      <c r="I922" s="14">
        <v>0</v>
      </c>
      <c r="J922" s="14"/>
      <c r="K922" s="14">
        <v>0</v>
      </c>
      <c r="L922" s="14"/>
      <c r="M922" s="14">
        <v>0</v>
      </c>
      <c r="N922" s="14" t="s">
        <v>385</v>
      </c>
      <c r="O922" s="14">
        <v>0</v>
      </c>
    </row>
    <row r="923" spans="1:15">
      <c r="A923" s="122">
        <v>132</v>
      </c>
      <c r="B923" s="122"/>
      <c r="C923" s="265" t="s">
        <v>1265</v>
      </c>
      <c r="D923" s="86" t="s">
        <v>32</v>
      </c>
      <c r="E923" s="86">
        <v>7292.4</v>
      </c>
      <c r="F923" s="86">
        <v>16</v>
      </c>
      <c r="G923" s="14">
        <f t="shared" si="26"/>
        <v>116678.39999999999</v>
      </c>
      <c r="H923" s="14" t="s">
        <v>385</v>
      </c>
      <c r="I923" s="14">
        <v>0</v>
      </c>
      <c r="J923" s="14"/>
      <c r="K923" s="14">
        <v>0</v>
      </c>
      <c r="L923" s="14"/>
      <c r="M923" s="14">
        <v>0</v>
      </c>
      <c r="N923" s="14" t="s">
        <v>385</v>
      </c>
      <c r="O923" s="14">
        <v>0</v>
      </c>
    </row>
    <row r="924" spans="1:15" ht="28.5">
      <c r="A924" s="122">
        <v>133</v>
      </c>
      <c r="B924" s="122"/>
      <c r="C924" s="265" t="s">
        <v>1266</v>
      </c>
      <c r="D924" s="86" t="s">
        <v>32</v>
      </c>
      <c r="E924" s="272">
        <v>5000</v>
      </c>
      <c r="F924" s="86">
        <v>1</v>
      </c>
      <c r="G924" s="14">
        <f t="shared" si="26"/>
        <v>5000</v>
      </c>
      <c r="H924" s="14" t="s">
        <v>385</v>
      </c>
      <c r="I924" s="14">
        <v>0</v>
      </c>
      <c r="J924" s="14"/>
      <c r="K924" s="14">
        <v>0</v>
      </c>
      <c r="L924" s="14"/>
      <c r="M924" s="14">
        <v>0</v>
      </c>
      <c r="N924" s="14" t="s">
        <v>385</v>
      </c>
      <c r="O924" s="14">
        <v>0</v>
      </c>
    </row>
    <row r="925" spans="1:15">
      <c r="A925" s="122">
        <v>134</v>
      </c>
      <c r="B925" s="122"/>
      <c r="C925" s="265" t="s">
        <v>1267</v>
      </c>
      <c r="D925" s="86" t="s">
        <v>32</v>
      </c>
      <c r="E925" s="272">
        <v>15000</v>
      </c>
      <c r="F925" s="86">
        <v>3</v>
      </c>
      <c r="G925" s="14">
        <v>0</v>
      </c>
      <c r="H925" s="14" t="s">
        <v>385</v>
      </c>
      <c r="I925" s="14">
        <v>0</v>
      </c>
      <c r="J925" s="14" t="s">
        <v>1251</v>
      </c>
      <c r="K925" s="14">
        <v>0</v>
      </c>
      <c r="L925" s="14" t="s">
        <v>1251</v>
      </c>
      <c r="M925" s="14">
        <v>45000</v>
      </c>
      <c r="N925" s="14" t="s">
        <v>385</v>
      </c>
      <c r="O925" s="14">
        <v>0</v>
      </c>
    </row>
    <row r="926" spans="1:15">
      <c r="A926" s="122">
        <v>135</v>
      </c>
      <c r="B926" s="122"/>
      <c r="C926" s="265" t="s">
        <v>1268</v>
      </c>
      <c r="D926" s="86" t="s">
        <v>32</v>
      </c>
      <c r="E926" s="272">
        <v>1000</v>
      </c>
      <c r="F926" s="86">
        <v>1</v>
      </c>
      <c r="G926" s="14">
        <v>0</v>
      </c>
      <c r="H926" s="14" t="s">
        <v>385</v>
      </c>
      <c r="I926" s="14">
        <v>0</v>
      </c>
      <c r="J926" s="14" t="s">
        <v>1251</v>
      </c>
      <c r="K926" s="14">
        <v>0</v>
      </c>
      <c r="L926" s="14" t="s">
        <v>1251</v>
      </c>
      <c r="M926" s="14">
        <v>1000</v>
      </c>
      <c r="N926" s="14" t="s">
        <v>385</v>
      </c>
      <c r="O926" s="14">
        <v>0</v>
      </c>
    </row>
    <row r="927" spans="1:15" ht="71.25">
      <c r="A927" s="122">
        <v>136</v>
      </c>
      <c r="B927" s="122"/>
      <c r="C927" s="265" t="s">
        <v>1269</v>
      </c>
      <c r="D927" s="86" t="s">
        <v>32</v>
      </c>
      <c r="E927" s="272">
        <v>501.5</v>
      </c>
      <c r="F927" s="86">
        <v>4</v>
      </c>
      <c r="G927" s="14">
        <f>E927*F927</f>
        <v>2006</v>
      </c>
      <c r="H927" s="14" t="s">
        <v>385</v>
      </c>
      <c r="I927" s="14">
        <v>0</v>
      </c>
      <c r="J927" s="14" t="s">
        <v>1251</v>
      </c>
      <c r="K927" s="14">
        <v>0</v>
      </c>
      <c r="L927" s="14" t="s">
        <v>1251</v>
      </c>
      <c r="M927" s="14">
        <v>0</v>
      </c>
      <c r="N927" s="14" t="s">
        <v>385</v>
      </c>
      <c r="O927" s="14">
        <v>0</v>
      </c>
    </row>
    <row r="928" spans="1:15" ht="42.75">
      <c r="A928" s="122">
        <v>137</v>
      </c>
      <c r="B928" s="122"/>
      <c r="C928" s="265" t="s">
        <v>1270</v>
      </c>
      <c r="D928" s="86" t="s">
        <v>32</v>
      </c>
      <c r="E928" s="272">
        <v>2360</v>
      </c>
      <c r="F928" s="86">
        <v>2</v>
      </c>
      <c r="G928" s="14">
        <f t="shared" ref="G928:G942" si="27">E928*F928</f>
        <v>4720</v>
      </c>
      <c r="H928" s="14" t="s">
        <v>385</v>
      </c>
      <c r="I928" s="14">
        <v>0</v>
      </c>
      <c r="J928" s="14" t="s">
        <v>1251</v>
      </c>
      <c r="K928" s="14">
        <v>0</v>
      </c>
      <c r="L928" s="14" t="s">
        <v>1251</v>
      </c>
      <c r="M928" s="14">
        <v>0</v>
      </c>
      <c r="N928" s="14" t="s">
        <v>385</v>
      </c>
      <c r="O928" s="14">
        <v>0</v>
      </c>
    </row>
    <row r="929" spans="1:15" ht="42.75">
      <c r="A929" s="122">
        <v>138</v>
      </c>
      <c r="B929" s="122"/>
      <c r="C929" s="265" t="s">
        <v>1271</v>
      </c>
      <c r="D929" s="86" t="s">
        <v>32</v>
      </c>
      <c r="E929" s="272">
        <v>212.4</v>
      </c>
      <c r="F929" s="86">
        <v>4</v>
      </c>
      <c r="G929" s="14">
        <f t="shared" si="27"/>
        <v>849.6</v>
      </c>
      <c r="H929" s="14" t="s">
        <v>385</v>
      </c>
      <c r="I929" s="14">
        <v>0</v>
      </c>
      <c r="J929" s="14" t="s">
        <v>1251</v>
      </c>
      <c r="K929" s="14">
        <v>0</v>
      </c>
      <c r="L929" s="14" t="s">
        <v>1251</v>
      </c>
      <c r="M929" s="14">
        <v>0</v>
      </c>
      <c r="N929" s="14" t="s">
        <v>385</v>
      </c>
      <c r="O929" s="14">
        <v>0</v>
      </c>
    </row>
    <row r="930" spans="1:15" ht="28.5">
      <c r="A930" s="122">
        <v>139</v>
      </c>
      <c r="B930" s="122"/>
      <c r="C930" s="265" t="s">
        <v>1272</v>
      </c>
      <c r="D930" s="86" t="s">
        <v>32</v>
      </c>
      <c r="E930" s="272">
        <v>6254</v>
      </c>
      <c r="F930" s="86">
        <v>3</v>
      </c>
      <c r="G930" s="14">
        <f t="shared" si="27"/>
        <v>18762</v>
      </c>
      <c r="H930" s="14" t="s">
        <v>385</v>
      </c>
      <c r="I930" s="14">
        <v>0</v>
      </c>
      <c r="J930" s="14" t="s">
        <v>1251</v>
      </c>
      <c r="K930" s="14">
        <v>0</v>
      </c>
      <c r="L930" s="14" t="s">
        <v>1251</v>
      </c>
      <c r="M930" s="14">
        <v>0</v>
      </c>
      <c r="N930" s="14" t="s">
        <v>385</v>
      </c>
      <c r="O930" s="14">
        <v>0</v>
      </c>
    </row>
    <row r="931" spans="1:15" ht="42.75">
      <c r="A931" s="122">
        <v>140</v>
      </c>
      <c r="B931" s="122"/>
      <c r="C931" s="265" t="s">
        <v>1273</v>
      </c>
      <c r="D931" s="86" t="s">
        <v>32</v>
      </c>
      <c r="E931" s="272">
        <v>69030</v>
      </c>
      <c r="F931" s="86">
        <v>1</v>
      </c>
      <c r="G931" s="14">
        <f t="shared" si="27"/>
        <v>69030</v>
      </c>
      <c r="H931" s="14" t="s">
        <v>385</v>
      </c>
      <c r="I931" s="14">
        <v>0</v>
      </c>
      <c r="J931" s="14" t="s">
        <v>1251</v>
      </c>
      <c r="K931" s="14">
        <v>0</v>
      </c>
      <c r="L931" s="14" t="s">
        <v>1251</v>
      </c>
      <c r="M931" s="14">
        <v>0</v>
      </c>
      <c r="N931" s="14" t="s">
        <v>385</v>
      </c>
      <c r="O931" s="14">
        <v>0</v>
      </c>
    </row>
    <row r="932" spans="1:15" ht="42.75">
      <c r="A932" s="122">
        <v>141</v>
      </c>
      <c r="B932" s="122"/>
      <c r="C932" s="265" t="s">
        <v>1274</v>
      </c>
      <c r="D932" s="86" t="s">
        <v>32</v>
      </c>
      <c r="E932" s="272">
        <v>41300</v>
      </c>
      <c r="F932" s="86">
        <v>1</v>
      </c>
      <c r="G932" s="14">
        <f t="shared" si="27"/>
        <v>41300</v>
      </c>
      <c r="H932" s="14" t="s">
        <v>385</v>
      </c>
      <c r="I932" s="14">
        <v>0</v>
      </c>
      <c r="J932" s="14" t="s">
        <v>1251</v>
      </c>
      <c r="K932" s="14">
        <v>0</v>
      </c>
      <c r="L932" s="14" t="s">
        <v>1251</v>
      </c>
      <c r="M932" s="14">
        <v>0</v>
      </c>
      <c r="N932" s="14" t="s">
        <v>385</v>
      </c>
      <c r="O932" s="14">
        <v>0</v>
      </c>
    </row>
    <row r="933" spans="1:15" ht="28.5">
      <c r="A933" s="122">
        <v>142</v>
      </c>
      <c r="B933" s="122"/>
      <c r="C933" s="265" t="s">
        <v>1275</v>
      </c>
      <c r="D933" s="86" t="s">
        <v>32</v>
      </c>
      <c r="E933" s="272">
        <v>26078</v>
      </c>
      <c r="F933" s="86">
        <v>1</v>
      </c>
      <c r="G933" s="14">
        <f t="shared" si="27"/>
        <v>26078</v>
      </c>
      <c r="H933" s="14" t="s">
        <v>385</v>
      </c>
      <c r="I933" s="14">
        <v>0</v>
      </c>
      <c r="J933" s="14" t="s">
        <v>1251</v>
      </c>
      <c r="K933" s="14">
        <v>0</v>
      </c>
      <c r="L933" s="14" t="s">
        <v>1251</v>
      </c>
      <c r="M933" s="14">
        <v>0</v>
      </c>
      <c r="N933" s="14" t="s">
        <v>385</v>
      </c>
      <c r="O933" s="14">
        <v>0</v>
      </c>
    </row>
    <row r="934" spans="1:15" ht="42.75">
      <c r="A934" s="122">
        <v>143</v>
      </c>
      <c r="B934" s="122"/>
      <c r="C934" s="265" t="s">
        <v>1276</v>
      </c>
      <c r="D934" s="86" t="s">
        <v>32</v>
      </c>
      <c r="E934" s="272">
        <v>5900</v>
      </c>
      <c r="F934" s="86">
        <v>1</v>
      </c>
      <c r="G934" s="14">
        <f t="shared" si="27"/>
        <v>5900</v>
      </c>
      <c r="H934" s="14" t="s">
        <v>385</v>
      </c>
      <c r="I934" s="14">
        <v>0</v>
      </c>
      <c r="J934" s="14" t="s">
        <v>1251</v>
      </c>
      <c r="K934" s="14">
        <v>0</v>
      </c>
      <c r="L934" s="14" t="s">
        <v>1251</v>
      </c>
      <c r="M934" s="14">
        <v>0</v>
      </c>
      <c r="N934" s="14" t="s">
        <v>385</v>
      </c>
      <c r="O934" s="14">
        <v>0</v>
      </c>
    </row>
    <row r="935" spans="1:15" ht="28.5">
      <c r="A935" s="122">
        <v>144</v>
      </c>
      <c r="B935" s="122"/>
      <c r="C935" s="265" t="s">
        <v>1277</v>
      </c>
      <c r="D935" s="86" t="s">
        <v>32</v>
      </c>
      <c r="E935" s="272">
        <v>4720</v>
      </c>
      <c r="F935" s="86">
        <v>2</v>
      </c>
      <c r="G935" s="14">
        <f t="shared" si="27"/>
        <v>9440</v>
      </c>
      <c r="H935" s="14" t="s">
        <v>385</v>
      </c>
      <c r="I935" s="14">
        <v>0</v>
      </c>
      <c r="J935" s="14" t="s">
        <v>1251</v>
      </c>
      <c r="K935" s="14">
        <v>0</v>
      </c>
      <c r="L935" s="14" t="s">
        <v>1251</v>
      </c>
      <c r="M935" s="14">
        <v>0</v>
      </c>
      <c r="N935" s="14" t="s">
        <v>385</v>
      </c>
      <c r="O935" s="14">
        <v>0</v>
      </c>
    </row>
    <row r="936" spans="1:15">
      <c r="A936" s="122">
        <v>145</v>
      </c>
      <c r="B936" s="122"/>
      <c r="C936" s="265" t="s">
        <v>1278</v>
      </c>
      <c r="D936" s="86" t="s">
        <v>32</v>
      </c>
      <c r="E936" s="272">
        <v>944</v>
      </c>
      <c r="F936" s="86">
        <v>1</v>
      </c>
      <c r="G936" s="14">
        <f t="shared" si="27"/>
        <v>944</v>
      </c>
      <c r="H936" s="14" t="s">
        <v>385</v>
      </c>
      <c r="I936" s="14">
        <v>0</v>
      </c>
      <c r="J936" s="14" t="s">
        <v>1251</v>
      </c>
      <c r="K936" s="14">
        <v>0</v>
      </c>
      <c r="L936" s="14" t="s">
        <v>1251</v>
      </c>
      <c r="M936" s="14">
        <v>0</v>
      </c>
      <c r="N936" s="14" t="s">
        <v>385</v>
      </c>
      <c r="O936" s="14">
        <v>0</v>
      </c>
    </row>
    <row r="937" spans="1:15">
      <c r="A937" s="122">
        <v>146</v>
      </c>
      <c r="B937" s="122"/>
      <c r="C937" s="265" t="s">
        <v>1279</v>
      </c>
      <c r="D937" s="86" t="s">
        <v>214</v>
      </c>
      <c r="E937" s="272">
        <v>20</v>
      </c>
      <c r="F937" s="86">
        <v>35</v>
      </c>
      <c r="G937" s="14">
        <v>0</v>
      </c>
      <c r="H937" s="14" t="s">
        <v>385</v>
      </c>
      <c r="I937" s="14">
        <v>0</v>
      </c>
      <c r="J937" s="14" t="s">
        <v>1251</v>
      </c>
      <c r="K937" s="14">
        <v>0</v>
      </c>
      <c r="L937" s="14" t="s">
        <v>1251</v>
      </c>
      <c r="M937" s="14">
        <v>0</v>
      </c>
      <c r="N937" s="14" t="s">
        <v>385</v>
      </c>
      <c r="O937" s="14">
        <v>700</v>
      </c>
    </row>
    <row r="938" spans="1:15">
      <c r="A938" s="122">
        <v>147</v>
      </c>
      <c r="B938" s="122"/>
      <c r="C938" s="265" t="s">
        <v>1280</v>
      </c>
      <c r="D938" s="86" t="s">
        <v>32</v>
      </c>
      <c r="E938" s="272">
        <v>10</v>
      </c>
      <c r="F938" s="86">
        <v>8</v>
      </c>
      <c r="G938" s="14">
        <v>0</v>
      </c>
      <c r="H938" s="14" t="s">
        <v>385</v>
      </c>
      <c r="I938" s="14">
        <v>0</v>
      </c>
      <c r="J938" s="14" t="s">
        <v>1251</v>
      </c>
      <c r="K938" s="14">
        <v>0</v>
      </c>
      <c r="L938" s="14" t="s">
        <v>1251</v>
      </c>
      <c r="M938" s="14">
        <v>0</v>
      </c>
      <c r="N938" s="14" t="s">
        <v>385</v>
      </c>
      <c r="O938" s="14">
        <v>80</v>
      </c>
    </row>
    <row r="939" spans="1:15" ht="28.5">
      <c r="A939" s="122">
        <v>148</v>
      </c>
      <c r="B939" s="122"/>
      <c r="C939" s="265" t="s">
        <v>1281</v>
      </c>
      <c r="D939" s="86" t="s">
        <v>32</v>
      </c>
      <c r="E939" s="272">
        <v>15340</v>
      </c>
      <c r="F939" s="86">
        <v>1</v>
      </c>
      <c r="G939" s="14">
        <f t="shared" si="27"/>
        <v>15340</v>
      </c>
      <c r="H939" s="14" t="s">
        <v>385</v>
      </c>
      <c r="I939" s="14">
        <v>0</v>
      </c>
      <c r="J939" s="14" t="s">
        <v>1251</v>
      </c>
      <c r="K939" s="14">
        <v>0</v>
      </c>
      <c r="L939" s="14" t="s">
        <v>1251</v>
      </c>
      <c r="M939" s="14">
        <v>0</v>
      </c>
      <c r="N939" s="14" t="s">
        <v>385</v>
      </c>
      <c r="O939" s="14">
        <v>0</v>
      </c>
    </row>
    <row r="940" spans="1:15" ht="28.5">
      <c r="A940" s="122">
        <v>149</v>
      </c>
      <c r="B940" s="122"/>
      <c r="C940" s="265" t="s">
        <v>1282</v>
      </c>
      <c r="D940" s="86" t="s">
        <v>32</v>
      </c>
      <c r="E940" s="272">
        <v>12980</v>
      </c>
      <c r="F940" s="86">
        <v>1</v>
      </c>
      <c r="G940" s="14">
        <f t="shared" si="27"/>
        <v>12980</v>
      </c>
      <c r="H940" s="14" t="s">
        <v>385</v>
      </c>
      <c r="I940" s="14">
        <v>0</v>
      </c>
      <c r="J940" s="14" t="s">
        <v>1251</v>
      </c>
      <c r="K940" s="14">
        <v>0</v>
      </c>
      <c r="L940" s="14" t="s">
        <v>1251</v>
      </c>
      <c r="M940" s="14">
        <v>0</v>
      </c>
      <c r="N940" s="14" t="s">
        <v>385</v>
      </c>
      <c r="O940" s="14">
        <v>0</v>
      </c>
    </row>
    <row r="941" spans="1:15" ht="28.5">
      <c r="A941" s="122">
        <v>150</v>
      </c>
      <c r="B941" s="122"/>
      <c r="C941" s="265" t="s">
        <v>1283</v>
      </c>
      <c r="D941" s="86" t="s">
        <v>32</v>
      </c>
      <c r="E941" s="272">
        <v>11800</v>
      </c>
      <c r="F941" s="86">
        <v>1</v>
      </c>
      <c r="G941" s="14">
        <f t="shared" si="27"/>
        <v>11800</v>
      </c>
      <c r="H941" s="14" t="s">
        <v>385</v>
      </c>
      <c r="I941" s="14">
        <v>0</v>
      </c>
      <c r="J941" s="14" t="s">
        <v>1251</v>
      </c>
      <c r="K941" s="14">
        <v>0</v>
      </c>
      <c r="L941" s="14" t="s">
        <v>1251</v>
      </c>
      <c r="M941" s="14">
        <v>0</v>
      </c>
      <c r="N941" s="14" t="s">
        <v>385</v>
      </c>
      <c r="O941" s="14">
        <v>0</v>
      </c>
    </row>
    <row r="942" spans="1:15" ht="28.5">
      <c r="A942" s="122">
        <v>151</v>
      </c>
      <c r="B942" s="122"/>
      <c r="C942" s="265" t="s">
        <v>1284</v>
      </c>
      <c r="D942" s="86" t="s">
        <v>32</v>
      </c>
      <c r="E942" s="272">
        <v>4012</v>
      </c>
      <c r="F942" s="86">
        <v>1</v>
      </c>
      <c r="G942" s="14">
        <f t="shared" si="27"/>
        <v>4012</v>
      </c>
      <c r="H942" s="14" t="s">
        <v>385</v>
      </c>
      <c r="I942" s="14">
        <v>0</v>
      </c>
      <c r="J942" s="14" t="s">
        <v>1251</v>
      </c>
      <c r="K942" s="14">
        <v>0</v>
      </c>
      <c r="L942" s="14" t="s">
        <v>1251</v>
      </c>
      <c r="M942" s="14">
        <v>0</v>
      </c>
      <c r="N942" s="14" t="s">
        <v>385</v>
      </c>
      <c r="O942" s="14">
        <v>0</v>
      </c>
    </row>
    <row r="943" spans="1:15">
      <c r="A943" s="122">
        <v>152</v>
      </c>
      <c r="B943" s="122"/>
      <c r="C943" s="265" t="s">
        <v>1285</v>
      </c>
      <c r="D943" s="86" t="s">
        <v>370</v>
      </c>
      <c r="E943" s="272">
        <v>30</v>
      </c>
      <c r="F943" s="86">
        <v>8</v>
      </c>
      <c r="G943" s="14">
        <v>0</v>
      </c>
      <c r="H943" s="14" t="s">
        <v>385</v>
      </c>
      <c r="I943" s="14">
        <v>0</v>
      </c>
      <c r="J943" s="14" t="s">
        <v>1251</v>
      </c>
      <c r="K943" s="14">
        <v>0</v>
      </c>
      <c r="L943" s="14" t="s">
        <v>1251</v>
      </c>
      <c r="M943" s="14">
        <v>0</v>
      </c>
      <c r="N943" s="14" t="s">
        <v>385</v>
      </c>
      <c r="O943" s="14">
        <v>240</v>
      </c>
    </row>
    <row r="944" spans="1:15" ht="28.5">
      <c r="A944" s="122">
        <v>153</v>
      </c>
      <c r="B944" s="122"/>
      <c r="C944" s="265" t="s">
        <v>1286</v>
      </c>
      <c r="D944" s="86" t="s">
        <v>32</v>
      </c>
      <c r="E944" s="272">
        <v>76700</v>
      </c>
      <c r="F944" s="86">
        <v>1</v>
      </c>
      <c r="G944" s="14">
        <f>E944*F944</f>
        <v>76700</v>
      </c>
      <c r="H944" s="14" t="s">
        <v>385</v>
      </c>
      <c r="I944" s="14">
        <v>0</v>
      </c>
      <c r="J944" s="14" t="s">
        <v>1251</v>
      </c>
      <c r="K944" s="14">
        <v>0</v>
      </c>
      <c r="L944" s="14" t="s">
        <v>1251</v>
      </c>
      <c r="M944" s="14">
        <v>0</v>
      </c>
      <c r="N944" s="14" t="s">
        <v>385</v>
      </c>
      <c r="O944" s="14">
        <v>0</v>
      </c>
    </row>
    <row r="945" spans="1:15" ht="28.5">
      <c r="A945" s="122">
        <v>154</v>
      </c>
      <c r="B945" s="122"/>
      <c r="C945" s="265" t="s">
        <v>1287</v>
      </c>
      <c r="D945" s="86" t="s">
        <v>32</v>
      </c>
      <c r="E945" s="272">
        <v>41300</v>
      </c>
      <c r="F945" s="86">
        <v>1</v>
      </c>
      <c r="G945" s="14">
        <f t="shared" ref="G945:G956" si="28">E945*F945</f>
        <v>41300</v>
      </c>
      <c r="H945" s="14" t="s">
        <v>385</v>
      </c>
      <c r="I945" s="14">
        <v>0</v>
      </c>
      <c r="J945" s="14" t="s">
        <v>1251</v>
      </c>
      <c r="K945" s="14">
        <v>0</v>
      </c>
      <c r="L945" s="14" t="s">
        <v>1251</v>
      </c>
      <c r="M945" s="14">
        <v>0</v>
      </c>
      <c r="N945" s="14" t="s">
        <v>385</v>
      </c>
      <c r="O945" s="14">
        <v>0</v>
      </c>
    </row>
    <row r="946" spans="1:15" ht="42.75">
      <c r="A946" s="122">
        <v>155</v>
      </c>
      <c r="B946" s="122"/>
      <c r="C946" s="265" t="s">
        <v>1288</v>
      </c>
      <c r="D946" s="86" t="s">
        <v>32</v>
      </c>
      <c r="E946" s="272">
        <v>47200</v>
      </c>
      <c r="F946" s="86">
        <v>1</v>
      </c>
      <c r="G946" s="14">
        <f t="shared" si="28"/>
        <v>47200</v>
      </c>
      <c r="H946" s="14" t="s">
        <v>385</v>
      </c>
      <c r="I946" s="14">
        <v>0</v>
      </c>
      <c r="J946" s="14" t="s">
        <v>1251</v>
      </c>
      <c r="K946" s="14">
        <v>0</v>
      </c>
      <c r="L946" s="14" t="s">
        <v>1251</v>
      </c>
      <c r="M946" s="14">
        <v>0</v>
      </c>
      <c r="N946" s="14" t="s">
        <v>385</v>
      </c>
      <c r="O946" s="14">
        <v>0</v>
      </c>
    </row>
    <row r="947" spans="1:15" ht="28.5">
      <c r="A947" s="122">
        <v>156</v>
      </c>
      <c r="B947" s="122"/>
      <c r="C947" s="265" t="s">
        <v>1289</v>
      </c>
      <c r="D947" s="86" t="s">
        <v>32</v>
      </c>
      <c r="E947" s="272">
        <v>4130</v>
      </c>
      <c r="F947" s="86">
        <v>2</v>
      </c>
      <c r="G947" s="14">
        <f t="shared" si="28"/>
        <v>8260</v>
      </c>
      <c r="H947" s="14" t="s">
        <v>385</v>
      </c>
      <c r="I947" s="14">
        <v>0</v>
      </c>
      <c r="J947" s="14" t="s">
        <v>1251</v>
      </c>
      <c r="K947" s="14">
        <v>0</v>
      </c>
      <c r="L947" s="14" t="s">
        <v>1251</v>
      </c>
      <c r="M947" s="14">
        <v>0</v>
      </c>
      <c r="N947" s="14" t="s">
        <v>385</v>
      </c>
      <c r="O947" s="14">
        <v>0</v>
      </c>
    </row>
    <row r="948" spans="1:15" ht="28.5">
      <c r="A948" s="122">
        <v>157</v>
      </c>
      <c r="B948" s="122"/>
      <c r="C948" s="265" t="s">
        <v>1290</v>
      </c>
      <c r="D948" s="86" t="s">
        <v>32</v>
      </c>
      <c r="E948" s="272">
        <v>5310</v>
      </c>
      <c r="F948" s="86">
        <v>1</v>
      </c>
      <c r="G948" s="14">
        <f t="shared" si="28"/>
        <v>5310</v>
      </c>
      <c r="H948" s="14" t="s">
        <v>385</v>
      </c>
      <c r="I948" s="14">
        <v>0</v>
      </c>
      <c r="J948" s="14" t="s">
        <v>1251</v>
      </c>
      <c r="K948" s="14">
        <v>0</v>
      </c>
      <c r="L948" s="14" t="s">
        <v>1251</v>
      </c>
      <c r="M948" s="14">
        <v>0</v>
      </c>
      <c r="N948" s="14" t="s">
        <v>385</v>
      </c>
      <c r="O948" s="14">
        <v>0</v>
      </c>
    </row>
    <row r="949" spans="1:15" ht="28.5">
      <c r="A949" s="122">
        <v>158</v>
      </c>
      <c r="B949" s="122"/>
      <c r="C949" s="265" t="s">
        <v>1291</v>
      </c>
      <c r="D949" s="86" t="s">
        <v>32</v>
      </c>
      <c r="E949" s="272">
        <v>3540</v>
      </c>
      <c r="F949" s="86">
        <v>1</v>
      </c>
      <c r="G949" s="14">
        <f t="shared" si="28"/>
        <v>3540</v>
      </c>
      <c r="H949" s="14" t="s">
        <v>385</v>
      </c>
      <c r="I949" s="14">
        <v>0</v>
      </c>
      <c r="J949" s="14" t="s">
        <v>1251</v>
      </c>
      <c r="K949" s="14">
        <v>0</v>
      </c>
      <c r="L949" s="14" t="s">
        <v>1251</v>
      </c>
      <c r="M949" s="14">
        <v>0</v>
      </c>
      <c r="N949" s="14" t="s">
        <v>385</v>
      </c>
      <c r="O949" s="14">
        <v>0</v>
      </c>
    </row>
    <row r="950" spans="1:15">
      <c r="A950" s="122">
        <v>159</v>
      </c>
      <c r="B950" s="122"/>
      <c r="C950" s="265" t="s">
        <v>1292</v>
      </c>
      <c r="D950" s="86" t="s">
        <v>32</v>
      </c>
      <c r="E950" s="272">
        <v>4720</v>
      </c>
      <c r="F950" s="86">
        <v>3</v>
      </c>
      <c r="G950" s="14">
        <f t="shared" si="28"/>
        <v>14160</v>
      </c>
      <c r="H950" s="14" t="s">
        <v>385</v>
      </c>
      <c r="I950" s="14">
        <v>0</v>
      </c>
      <c r="J950" s="14" t="s">
        <v>1251</v>
      </c>
      <c r="K950" s="14">
        <v>0</v>
      </c>
      <c r="L950" s="14" t="s">
        <v>1251</v>
      </c>
      <c r="M950" s="14">
        <v>0</v>
      </c>
      <c r="N950" s="14" t="s">
        <v>385</v>
      </c>
      <c r="O950" s="14">
        <v>0</v>
      </c>
    </row>
    <row r="951" spans="1:15" ht="28.5">
      <c r="A951" s="122">
        <v>160</v>
      </c>
      <c r="B951" s="122"/>
      <c r="C951" s="265" t="s">
        <v>1293</v>
      </c>
      <c r="D951" s="86" t="s">
        <v>1189</v>
      </c>
      <c r="E951" s="275">
        <v>155.465</v>
      </c>
      <c r="F951" s="86">
        <v>1508</v>
      </c>
      <c r="G951" s="14">
        <f t="shared" si="28"/>
        <v>234441.22</v>
      </c>
      <c r="H951" s="14" t="s">
        <v>385</v>
      </c>
      <c r="I951" s="14">
        <v>0</v>
      </c>
      <c r="J951" s="14" t="s">
        <v>1251</v>
      </c>
      <c r="K951" s="14">
        <v>0</v>
      </c>
      <c r="L951" s="14" t="s">
        <v>1251</v>
      </c>
      <c r="M951" s="14">
        <v>0</v>
      </c>
      <c r="N951" s="14" t="s">
        <v>385</v>
      </c>
      <c r="O951" s="14">
        <v>0</v>
      </c>
    </row>
    <row r="952" spans="1:15">
      <c r="A952" s="122">
        <v>161</v>
      </c>
      <c r="B952" s="122"/>
      <c r="C952" s="265" t="s">
        <v>1294</v>
      </c>
      <c r="D952" s="86" t="s">
        <v>32</v>
      </c>
      <c r="E952" s="272">
        <v>4130</v>
      </c>
      <c r="F952" s="86">
        <v>9</v>
      </c>
      <c r="G952" s="14">
        <f t="shared" si="28"/>
        <v>37170</v>
      </c>
      <c r="H952" s="14" t="s">
        <v>385</v>
      </c>
      <c r="I952" s="14">
        <v>0</v>
      </c>
      <c r="J952" s="14" t="s">
        <v>1251</v>
      </c>
      <c r="K952" s="14">
        <v>0</v>
      </c>
      <c r="L952" s="14" t="s">
        <v>1251</v>
      </c>
      <c r="M952" s="14">
        <v>0</v>
      </c>
      <c r="N952" s="14" t="s">
        <v>385</v>
      </c>
      <c r="O952" s="14">
        <v>0</v>
      </c>
    </row>
    <row r="953" spans="1:15">
      <c r="A953" s="122">
        <v>162</v>
      </c>
      <c r="B953" s="122"/>
      <c r="C953" s="265" t="s">
        <v>1295</v>
      </c>
      <c r="D953" s="86" t="s">
        <v>32</v>
      </c>
      <c r="E953" s="272">
        <v>4218.5</v>
      </c>
      <c r="F953" s="86">
        <v>3</v>
      </c>
      <c r="G953" s="14">
        <f t="shared" si="28"/>
        <v>12655.5</v>
      </c>
      <c r="H953" s="14" t="s">
        <v>385</v>
      </c>
      <c r="I953" s="14">
        <v>0</v>
      </c>
      <c r="J953" s="14" t="s">
        <v>1251</v>
      </c>
      <c r="K953" s="14">
        <v>0</v>
      </c>
      <c r="L953" s="14" t="s">
        <v>1251</v>
      </c>
      <c r="M953" s="14">
        <v>0</v>
      </c>
      <c r="N953" s="14" t="s">
        <v>385</v>
      </c>
      <c r="O953" s="14">
        <v>0</v>
      </c>
    </row>
    <row r="954" spans="1:15">
      <c r="A954" s="122">
        <v>163</v>
      </c>
      <c r="B954" s="122"/>
      <c r="C954" s="265" t="s">
        <v>1296</v>
      </c>
      <c r="D954" s="86" t="s">
        <v>32</v>
      </c>
      <c r="E954" s="272">
        <v>5310</v>
      </c>
      <c r="F954" s="86">
        <v>3</v>
      </c>
      <c r="G954" s="14">
        <f t="shared" si="28"/>
        <v>15930</v>
      </c>
      <c r="H954" s="14" t="s">
        <v>385</v>
      </c>
      <c r="I954" s="14">
        <v>0</v>
      </c>
      <c r="J954" s="14" t="s">
        <v>1251</v>
      </c>
      <c r="K954" s="14">
        <v>0</v>
      </c>
      <c r="L954" s="14" t="s">
        <v>1251</v>
      </c>
      <c r="M954" s="14">
        <v>0</v>
      </c>
      <c r="N954" s="14" t="s">
        <v>385</v>
      </c>
      <c r="O954" s="14">
        <v>0</v>
      </c>
    </row>
    <row r="955" spans="1:15">
      <c r="A955" s="122">
        <v>164</v>
      </c>
      <c r="B955" s="122"/>
      <c r="C955" s="265" t="s">
        <v>1297</v>
      </c>
      <c r="D955" s="86" t="s">
        <v>32</v>
      </c>
      <c r="E955" s="272">
        <v>5900</v>
      </c>
      <c r="F955" s="86">
        <v>2</v>
      </c>
      <c r="G955" s="14">
        <f t="shared" si="28"/>
        <v>11800</v>
      </c>
      <c r="H955" s="14" t="s">
        <v>385</v>
      </c>
      <c r="I955" s="14">
        <v>0</v>
      </c>
      <c r="J955" s="14" t="s">
        <v>1251</v>
      </c>
      <c r="K955" s="14">
        <v>0</v>
      </c>
      <c r="L955" s="14" t="s">
        <v>1251</v>
      </c>
      <c r="M955" s="14">
        <v>0</v>
      </c>
      <c r="N955" s="14" t="s">
        <v>385</v>
      </c>
      <c r="O955" s="14">
        <v>0</v>
      </c>
    </row>
    <row r="956" spans="1:15">
      <c r="A956" s="122">
        <v>165</v>
      </c>
      <c r="B956" s="122"/>
      <c r="C956" s="265" t="s">
        <v>1298</v>
      </c>
      <c r="D956" s="86" t="s">
        <v>32</v>
      </c>
      <c r="E956" s="272">
        <v>6844</v>
      </c>
      <c r="F956" s="86">
        <v>2</v>
      </c>
      <c r="G956" s="14">
        <f t="shared" si="28"/>
        <v>13688</v>
      </c>
      <c r="H956" s="14" t="s">
        <v>385</v>
      </c>
      <c r="I956" s="14">
        <v>0</v>
      </c>
      <c r="J956" s="14" t="s">
        <v>1251</v>
      </c>
      <c r="K956" s="14">
        <v>0</v>
      </c>
      <c r="L956" s="14" t="s">
        <v>1251</v>
      </c>
      <c r="M956" s="14">
        <v>0</v>
      </c>
      <c r="N956" s="14" t="s">
        <v>385</v>
      </c>
      <c r="O956" s="14">
        <v>0</v>
      </c>
    </row>
    <row r="957" spans="1:15" ht="15">
      <c r="A957" s="122"/>
      <c r="B957" s="276"/>
      <c r="C957" s="277"/>
      <c r="D957" s="252" t="s">
        <v>374</v>
      </c>
      <c r="E957" s="253"/>
      <c r="F957" s="243"/>
      <c r="G957" s="254">
        <f>SUM(G792:G956)</f>
        <v>5037050.5269999988</v>
      </c>
      <c r="H957" s="254"/>
      <c r="I957" s="254"/>
      <c r="J957" s="14"/>
      <c r="K957" s="254"/>
      <c r="L957" s="254"/>
      <c r="M957" s="254">
        <f>SUM(M792:M956)</f>
        <v>46000</v>
      </c>
      <c r="N957" s="254"/>
      <c r="O957" s="254">
        <f>SUM(O792:O956)</f>
        <v>1020</v>
      </c>
    </row>
    <row r="958" spans="1:15" ht="15">
      <c r="A958" s="122"/>
      <c r="B958" s="276"/>
      <c r="C958" s="278"/>
      <c r="D958" s="279" t="s">
        <v>794</v>
      </c>
      <c r="E958" s="280"/>
      <c r="F958" s="280"/>
      <c r="G958" s="281">
        <f t="shared" ref="G958:O958" si="29">SUM(G957+G790+G745)</f>
        <v>18904688.952660006</v>
      </c>
      <c r="H958" s="281">
        <f t="shared" si="29"/>
        <v>0</v>
      </c>
      <c r="I958" s="281">
        <f t="shared" si="29"/>
        <v>0</v>
      </c>
      <c r="J958" s="281">
        <f t="shared" si="29"/>
        <v>0</v>
      </c>
      <c r="K958" s="281">
        <f t="shared" si="29"/>
        <v>0</v>
      </c>
      <c r="L958" s="281">
        <f t="shared" si="29"/>
        <v>0</v>
      </c>
      <c r="M958" s="281">
        <f t="shared" si="29"/>
        <v>46000</v>
      </c>
      <c r="N958" s="281">
        <f t="shared" si="29"/>
        <v>0</v>
      </c>
      <c r="O958" s="281">
        <f t="shared" si="29"/>
        <v>1020</v>
      </c>
    </row>
    <row r="959" spans="1:15" ht="15">
      <c r="A959" s="424" t="s">
        <v>1299</v>
      </c>
      <c r="B959" s="424"/>
      <c r="C959" s="424"/>
      <c r="D959" s="424"/>
      <c r="E959" s="424"/>
      <c r="F959" s="424"/>
      <c r="G959" s="424"/>
      <c r="H959" s="424"/>
      <c r="I959" s="424"/>
      <c r="J959" s="424"/>
      <c r="K959" s="424"/>
      <c r="L959" s="53"/>
    </row>
    <row r="960" spans="1:15" ht="15">
      <c r="A960" s="424" t="s">
        <v>1300</v>
      </c>
      <c r="B960" s="424"/>
      <c r="C960" s="424"/>
      <c r="D960" s="424"/>
      <c r="E960" s="424"/>
      <c r="F960" s="424"/>
      <c r="G960" s="424"/>
      <c r="H960" s="424"/>
      <c r="I960" s="424"/>
      <c r="J960" s="424"/>
      <c r="K960" s="424"/>
      <c r="L960" s="53"/>
    </row>
    <row r="961" spans="1:15" ht="15">
      <c r="A961" s="424" t="s">
        <v>1301</v>
      </c>
      <c r="B961" s="424"/>
      <c r="C961" s="424"/>
      <c r="D961" s="424"/>
      <c r="E961" s="424"/>
      <c r="F961" s="424"/>
      <c r="G961" s="424"/>
      <c r="H961" s="424"/>
      <c r="I961" s="424"/>
      <c r="J961" s="424"/>
      <c r="K961" s="424"/>
      <c r="L961" s="53"/>
    </row>
    <row r="962" spans="1:15" ht="15">
      <c r="A962" s="367" t="s">
        <v>1302</v>
      </c>
      <c r="B962" s="368"/>
      <c r="C962" s="351"/>
      <c r="D962" s="419" t="s">
        <v>1304</v>
      </c>
      <c r="E962" s="420"/>
      <c r="F962" s="402"/>
      <c r="G962" s="423"/>
      <c r="H962" s="423"/>
      <c r="I962" s="423"/>
      <c r="J962" s="423"/>
      <c r="K962" s="403"/>
      <c r="L962" s="53"/>
    </row>
    <row r="963" spans="1:15" ht="15" customHeight="1">
      <c r="A963" s="425" t="s">
        <v>1303</v>
      </c>
      <c r="B963" s="425"/>
      <c r="C963" s="425"/>
      <c r="D963" s="421"/>
      <c r="E963" s="422"/>
      <c r="F963" s="394" t="s">
        <v>2</v>
      </c>
      <c r="G963" s="395"/>
      <c r="H963" s="394" t="s">
        <v>3</v>
      </c>
      <c r="I963" s="395"/>
      <c r="J963" s="394" t="s">
        <v>4</v>
      </c>
      <c r="K963" s="395"/>
      <c r="L963" s="393" t="s">
        <v>5</v>
      </c>
      <c r="M963" s="393"/>
      <c r="N963" s="392" t="s">
        <v>6</v>
      </c>
      <c r="O963" s="392"/>
    </row>
    <row r="964" spans="1:15" ht="42.75" customHeight="1">
      <c r="A964" s="370" t="s">
        <v>1305</v>
      </c>
      <c r="B964" s="372" t="s">
        <v>1306</v>
      </c>
      <c r="C964" s="352" t="s">
        <v>1307</v>
      </c>
      <c r="D964" s="280" t="s">
        <v>1</v>
      </c>
      <c r="E964" s="332" t="s">
        <v>1308</v>
      </c>
      <c r="F964" s="2" t="s">
        <v>828</v>
      </c>
      <c r="G964" s="283" t="s">
        <v>1309</v>
      </c>
      <c r="H964" s="2" t="s">
        <v>828</v>
      </c>
      <c r="I964" s="283" t="s">
        <v>1309</v>
      </c>
      <c r="J964" s="2" t="s">
        <v>828</v>
      </c>
      <c r="K964" s="283" t="s">
        <v>1309</v>
      </c>
      <c r="L964" s="2" t="s">
        <v>828</v>
      </c>
      <c r="M964" s="283" t="s">
        <v>1309</v>
      </c>
      <c r="N964" s="2" t="s">
        <v>828</v>
      </c>
      <c r="O964" s="283" t="s">
        <v>1309</v>
      </c>
    </row>
    <row r="965" spans="1:15" ht="22.5" customHeight="1">
      <c r="A965" s="59">
        <v>1</v>
      </c>
      <c r="B965" s="59" t="s">
        <v>1310</v>
      </c>
      <c r="C965" s="61" t="s">
        <v>1311</v>
      </c>
      <c r="D965" s="113" t="s">
        <v>8</v>
      </c>
      <c r="E965" s="296">
        <v>700</v>
      </c>
      <c r="F965" s="59">
        <v>54</v>
      </c>
      <c r="G965" s="59"/>
      <c r="H965" s="47"/>
      <c r="I965" s="59"/>
      <c r="J965" s="47"/>
      <c r="K965" s="129">
        <f>E965*F965</f>
        <v>37800</v>
      </c>
      <c r="L965" s="47"/>
      <c r="M965" s="59"/>
      <c r="N965" s="47"/>
      <c r="O965" s="59"/>
    </row>
    <row r="966" spans="1:15" ht="15.75" customHeight="1">
      <c r="A966" s="59">
        <v>2</v>
      </c>
      <c r="B966" s="59" t="s">
        <v>177</v>
      </c>
      <c r="C966" s="61" t="s">
        <v>1312</v>
      </c>
      <c r="D966" s="113" t="s">
        <v>8</v>
      </c>
      <c r="E966" s="296">
        <v>15000</v>
      </c>
      <c r="F966" s="59">
        <v>3</v>
      </c>
      <c r="G966" s="59"/>
      <c r="H966" s="47"/>
      <c r="I966" s="59"/>
      <c r="J966" s="47"/>
      <c r="K966" s="129">
        <f>E966*F966</f>
        <v>45000</v>
      </c>
      <c r="L966" s="47"/>
      <c r="M966" s="59"/>
      <c r="N966" s="47"/>
      <c r="O966" s="59"/>
    </row>
    <row r="967" spans="1:15">
      <c r="A967" s="59">
        <v>3</v>
      </c>
      <c r="B967" s="59" t="s">
        <v>55</v>
      </c>
      <c r="C967" s="61" t="s">
        <v>1313</v>
      </c>
      <c r="D967" s="113" t="s">
        <v>8</v>
      </c>
      <c r="E967" s="296">
        <v>103650</v>
      </c>
      <c r="F967" s="59">
        <v>5</v>
      </c>
      <c r="G967" s="129">
        <f>E967*F967</f>
        <v>518250</v>
      </c>
      <c r="H967" s="47"/>
      <c r="I967" s="59"/>
      <c r="J967" s="47"/>
      <c r="K967" s="59"/>
      <c r="L967" s="47"/>
      <c r="M967" s="59"/>
      <c r="N967" s="47"/>
      <c r="O967" s="59"/>
    </row>
    <row r="968" spans="1:15" ht="28.5">
      <c r="A968" s="59">
        <v>4</v>
      </c>
      <c r="B968" s="59" t="s">
        <v>1314</v>
      </c>
      <c r="C968" s="61" t="s">
        <v>1315</v>
      </c>
      <c r="D968" s="113" t="s">
        <v>31</v>
      </c>
      <c r="E968" s="296">
        <v>994.5</v>
      </c>
      <c r="F968" s="59">
        <v>30</v>
      </c>
      <c r="G968" s="129">
        <f>E968*F968</f>
        <v>29835</v>
      </c>
      <c r="H968" s="47"/>
      <c r="I968" s="59"/>
      <c r="J968" s="47"/>
      <c r="K968" s="59"/>
      <c r="L968" s="47"/>
      <c r="M968" s="59"/>
      <c r="N968" s="47"/>
      <c r="O968" s="59"/>
    </row>
    <row r="969" spans="1:15" ht="30" customHeight="1">
      <c r="A969" s="59">
        <v>5</v>
      </c>
      <c r="B969" s="59" t="s">
        <v>1316</v>
      </c>
      <c r="C969" s="61" t="s">
        <v>1317</v>
      </c>
      <c r="D969" s="86" t="s">
        <v>1318</v>
      </c>
      <c r="E969" s="296">
        <v>25000</v>
      </c>
      <c r="F969" s="59">
        <v>9</v>
      </c>
      <c r="G969" s="59"/>
      <c r="H969" s="47"/>
      <c r="I969" s="59"/>
      <c r="J969" s="47"/>
      <c r="K969" s="59"/>
      <c r="L969" s="47"/>
      <c r="M969" s="129">
        <f>E969*F969</f>
        <v>225000</v>
      </c>
      <c r="N969" s="47"/>
      <c r="O969" s="59"/>
    </row>
    <row r="970" spans="1:15">
      <c r="A970" s="59">
        <v>6</v>
      </c>
      <c r="B970" s="59" t="s">
        <v>1319</v>
      </c>
      <c r="C970" s="61" t="s">
        <v>1320</v>
      </c>
      <c r="D970" s="86" t="s">
        <v>8</v>
      </c>
      <c r="E970" s="296">
        <v>2000</v>
      </c>
      <c r="F970" s="59">
        <v>2</v>
      </c>
      <c r="G970" s="59"/>
      <c r="H970" s="47"/>
      <c r="I970" s="59"/>
      <c r="J970" s="47"/>
      <c r="K970" s="59"/>
      <c r="L970" s="47"/>
      <c r="M970" s="129">
        <f>E970*F970</f>
        <v>4000</v>
      </c>
      <c r="N970" s="47"/>
      <c r="O970" s="59"/>
    </row>
    <row r="971" spans="1:15">
      <c r="A971" s="59">
        <v>7</v>
      </c>
      <c r="B971" s="59" t="s">
        <v>1321</v>
      </c>
      <c r="C971" s="61" t="s">
        <v>1322</v>
      </c>
      <c r="D971" s="86" t="s">
        <v>31</v>
      </c>
      <c r="E971" s="296">
        <v>100</v>
      </c>
      <c r="F971" s="59">
        <v>454</v>
      </c>
      <c r="G971" s="129">
        <f>E971*F971</f>
        <v>45400</v>
      </c>
      <c r="H971" s="47"/>
      <c r="I971" s="59"/>
      <c r="J971" s="47"/>
      <c r="K971" s="59"/>
      <c r="L971" s="47"/>
      <c r="M971" s="59"/>
      <c r="N971" s="47"/>
      <c r="O971" s="59"/>
    </row>
    <row r="972" spans="1:15">
      <c r="A972" s="59">
        <v>8</v>
      </c>
      <c r="B972" s="59" t="s">
        <v>236</v>
      </c>
      <c r="C972" s="61" t="s">
        <v>1323</v>
      </c>
      <c r="D972" s="86" t="s">
        <v>31</v>
      </c>
      <c r="E972" s="296">
        <v>50</v>
      </c>
      <c r="F972" s="59">
        <v>2</v>
      </c>
      <c r="G972" s="59"/>
      <c r="H972" s="47"/>
      <c r="I972" s="129">
        <f>E972*F972</f>
        <v>100</v>
      </c>
      <c r="J972" s="47"/>
      <c r="K972" s="59"/>
      <c r="L972" s="47"/>
      <c r="M972" s="59"/>
      <c r="N972" s="47"/>
      <c r="O972" s="59"/>
    </row>
    <row r="973" spans="1:15" ht="15.75" customHeight="1">
      <c r="A973" s="59">
        <v>9</v>
      </c>
      <c r="B973" s="59" t="s">
        <v>30</v>
      </c>
      <c r="C973" s="61" t="s">
        <v>1324</v>
      </c>
      <c r="D973" s="86" t="s">
        <v>8</v>
      </c>
      <c r="E973" s="296">
        <v>15000</v>
      </c>
      <c r="F973" s="59">
        <v>2</v>
      </c>
      <c r="G973" s="59"/>
      <c r="H973" s="47"/>
      <c r="I973" s="59"/>
      <c r="J973" s="47"/>
      <c r="K973" s="59"/>
      <c r="L973" s="47"/>
      <c r="M973" s="129">
        <f>E973*F973</f>
        <v>30000</v>
      </c>
      <c r="N973" s="47"/>
      <c r="O973" s="59"/>
    </row>
    <row r="974" spans="1:15">
      <c r="A974" s="59">
        <v>10</v>
      </c>
      <c r="B974" s="59" t="s">
        <v>375</v>
      </c>
      <c r="C974" s="61" t="s">
        <v>1325</v>
      </c>
      <c r="D974" s="86" t="s">
        <v>31</v>
      </c>
      <c r="E974" s="296">
        <v>50</v>
      </c>
      <c r="F974" s="226">
        <v>7</v>
      </c>
      <c r="G974" s="129">
        <f>E974*F974</f>
        <v>350</v>
      </c>
      <c r="H974" s="47"/>
      <c r="I974" s="59"/>
      <c r="J974" s="47"/>
      <c r="K974" s="59"/>
      <c r="L974" s="47"/>
      <c r="M974" s="59"/>
      <c r="N974" s="47"/>
      <c r="O974" s="59"/>
    </row>
    <row r="975" spans="1:15" ht="15.75" customHeight="1">
      <c r="A975" s="59">
        <v>11</v>
      </c>
      <c r="B975" s="59" t="s">
        <v>1326</v>
      </c>
      <c r="C975" s="61" t="s">
        <v>1327</v>
      </c>
      <c r="D975" s="86" t="s">
        <v>8</v>
      </c>
      <c r="E975" s="296">
        <v>17000</v>
      </c>
      <c r="F975" s="59">
        <v>1</v>
      </c>
      <c r="G975" s="129">
        <f>E975*F975</f>
        <v>17000</v>
      </c>
      <c r="H975" s="47"/>
      <c r="I975" s="59"/>
      <c r="J975" s="47"/>
      <c r="K975" s="59"/>
      <c r="L975" s="47"/>
      <c r="M975" s="59"/>
      <c r="N975" s="47"/>
      <c r="O975" s="59"/>
    </row>
    <row r="976" spans="1:15">
      <c r="A976" s="59">
        <v>12</v>
      </c>
      <c r="B976" s="59" t="s">
        <v>1328</v>
      </c>
      <c r="C976" s="61" t="s">
        <v>1329</v>
      </c>
      <c r="D976" s="86" t="s">
        <v>8</v>
      </c>
      <c r="E976" s="296">
        <v>1646</v>
      </c>
      <c r="F976" s="59">
        <v>20</v>
      </c>
      <c r="G976" s="129">
        <f>E976*F976</f>
        <v>32920</v>
      </c>
      <c r="H976" s="47"/>
      <c r="I976" s="59"/>
      <c r="J976" s="47"/>
      <c r="K976" s="59"/>
      <c r="L976" s="47"/>
      <c r="M976" s="59"/>
      <c r="N976" s="47"/>
      <c r="O976" s="59"/>
    </row>
    <row r="977" spans="1:15">
      <c r="A977" s="59">
        <v>13</v>
      </c>
      <c r="B977" s="59" t="s">
        <v>1330</v>
      </c>
      <c r="C977" s="61" t="s">
        <v>1331</v>
      </c>
      <c r="D977" s="86" t="s">
        <v>8</v>
      </c>
      <c r="E977" s="296">
        <v>38500</v>
      </c>
      <c r="F977" s="59">
        <v>1</v>
      </c>
      <c r="G977" s="129">
        <f>E977*F977</f>
        <v>38500</v>
      </c>
      <c r="H977" s="47"/>
      <c r="I977" s="59"/>
      <c r="J977" s="47"/>
      <c r="K977" s="59"/>
      <c r="L977" s="47"/>
      <c r="M977" s="59"/>
      <c r="N977" s="47"/>
      <c r="O977" s="59"/>
    </row>
    <row r="978" spans="1:15" ht="15.75" customHeight="1">
      <c r="A978" s="59">
        <v>14</v>
      </c>
      <c r="B978" s="59" t="s">
        <v>1332</v>
      </c>
      <c r="C978" s="61" t="s">
        <v>1333</v>
      </c>
      <c r="D978" s="86" t="s">
        <v>8</v>
      </c>
      <c r="E978" s="296">
        <v>100</v>
      </c>
      <c r="F978" s="59">
        <v>1</v>
      </c>
      <c r="G978" s="59"/>
      <c r="H978" s="47"/>
      <c r="I978" s="59"/>
      <c r="J978" s="47"/>
      <c r="K978" s="59"/>
      <c r="L978" s="47"/>
      <c r="M978" s="129">
        <f>E978*F978</f>
        <v>100</v>
      </c>
      <c r="N978" s="47"/>
      <c r="O978" s="59"/>
    </row>
    <row r="979" spans="1:15">
      <c r="A979" s="59">
        <v>15</v>
      </c>
      <c r="B979" s="59" t="s">
        <v>1334</v>
      </c>
      <c r="C979" s="61" t="s">
        <v>1335</v>
      </c>
      <c r="D979" s="86" t="s">
        <v>8</v>
      </c>
      <c r="E979" s="296">
        <v>50</v>
      </c>
      <c r="F979" s="59">
        <v>1</v>
      </c>
      <c r="G979" s="129">
        <f>E979*F979</f>
        <v>50</v>
      </c>
      <c r="H979" s="47"/>
      <c r="I979" s="59"/>
      <c r="J979" s="47"/>
      <c r="K979" s="59"/>
      <c r="L979" s="47"/>
      <c r="M979" s="59"/>
      <c r="N979" s="47"/>
      <c r="O979" s="59"/>
    </row>
    <row r="980" spans="1:15">
      <c r="A980" s="59">
        <v>16</v>
      </c>
      <c r="B980" s="59" t="s">
        <v>1336</v>
      </c>
      <c r="C980" s="61" t="s">
        <v>1337</v>
      </c>
      <c r="D980" s="86" t="s">
        <v>8</v>
      </c>
      <c r="E980" s="296">
        <v>100</v>
      </c>
      <c r="F980" s="59">
        <v>2</v>
      </c>
      <c r="G980" s="59"/>
      <c r="H980" s="47"/>
      <c r="I980" s="59"/>
      <c r="J980" s="47"/>
      <c r="K980" s="59"/>
      <c r="L980" s="47"/>
      <c r="M980" s="129">
        <f>E980*F980</f>
        <v>200</v>
      </c>
      <c r="N980" s="47"/>
      <c r="O980" s="59"/>
    </row>
    <row r="981" spans="1:15">
      <c r="A981" s="59">
        <v>17</v>
      </c>
      <c r="B981" s="59" t="s">
        <v>678</v>
      </c>
      <c r="C981" s="61" t="s">
        <v>1338</v>
      </c>
      <c r="D981" s="86" t="s">
        <v>8</v>
      </c>
      <c r="E981" s="297">
        <v>20000</v>
      </c>
      <c r="F981" s="59">
        <v>1</v>
      </c>
      <c r="G981" s="59"/>
      <c r="H981" s="47"/>
      <c r="I981" s="129">
        <f>E981*F981</f>
        <v>20000</v>
      </c>
      <c r="J981" s="47"/>
      <c r="K981" s="59"/>
      <c r="L981" s="47"/>
      <c r="M981" s="59"/>
      <c r="N981" s="47"/>
      <c r="O981" s="59"/>
    </row>
    <row r="982" spans="1:15" ht="15.75" customHeight="1">
      <c r="A982" s="59">
        <v>18</v>
      </c>
      <c r="B982" s="59" t="s">
        <v>648</v>
      </c>
      <c r="C982" s="6" t="s">
        <v>1339</v>
      </c>
      <c r="D982" s="86" t="s">
        <v>8</v>
      </c>
      <c r="E982" s="296">
        <v>15000</v>
      </c>
      <c r="F982" s="59">
        <v>1</v>
      </c>
      <c r="G982" s="59"/>
      <c r="H982" s="47"/>
      <c r="I982" s="59"/>
      <c r="J982" s="47"/>
      <c r="K982" s="59"/>
      <c r="L982" s="47"/>
      <c r="M982" s="59"/>
      <c r="N982" s="47"/>
      <c r="O982" s="129">
        <f t="shared" ref="O982:O987" si="30">E982*F982</f>
        <v>15000</v>
      </c>
    </row>
    <row r="983" spans="1:15">
      <c r="A983" s="59">
        <v>19</v>
      </c>
      <c r="B983" s="59" t="s">
        <v>664</v>
      </c>
      <c r="C983" s="61" t="s">
        <v>1340</v>
      </c>
      <c r="D983" s="86" t="s">
        <v>8</v>
      </c>
      <c r="E983" s="296">
        <v>5000</v>
      </c>
      <c r="F983" s="59">
        <v>3</v>
      </c>
      <c r="G983" s="59"/>
      <c r="H983" s="47"/>
      <c r="I983" s="129"/>
      <c r="J983" s="47"/>
      <c r="K983" s="59"/>
      <c r="L983" s="47"/>
      <c r="M983" s="59"/>
      <c r="N983" s="47"/>
      <c r="O983" s="129">
        <f t="shared" si="30"/>
        <v>15000</v>
      </c>
    </row>
    <row r="984" spans="1:15" ht="15.75" customHeight="1">
      <c r="A984" s="59">
        <v>20</v>
      </c>
      <c r="B984" s="59" t="s">
        <v>1341</v>
      </c>
      <c r="C984" s="61" t="s">
        <v>1342</v>
      </c>
      <c r="D984" s="86" t="s">
        <v>8</v>
      </c>
      <c r="E984" s="296">
        <v>10000</v>
      </c>
      <c r="F984" s="59">
        <v>2</v>
      </c>
      <c r="G984" s="59"/>
      <c r="H984" s="47"/>
      <c r="I984" s="129"/>
      <c r="J984" s="47"/>
      <c r="K984" s="59"/>
      <c r="L984" s="47"/>
      <c r="M984" s="59"/>
      <c r="N984" s="47"/>
      <c r="O984" s="129">
        <f t="shared" si="30"/>
        <v>20000</v>
      </c>
    </row>
    <row r="985" spans="1:15" ht="15.75" customHeight="1">
      <c r="A985" s="59">
        <v>21</v>
      </c>
      <c r="B985" s="59" t="s">
        <v>1343</v>
      </c>
      <c r="C985" s="61" t="s">
        <v>1344</v>
      </c>
      <c r="D985" s="86" t="s">
        <v>8</v>
      </c>
      <c r="E985" s="296">
        <v>15000</v>
      </c>
      <c r="F985" s="59">
        <v>1</v>
      </c>
      <c r="G985" s="59"/>
      <c r="H985" s="47"/>
      <c r="I985" s="59"/>
      <c r="J985" s="47"/>
      <c r="K985" s="59"/>
      <c r="L985" s="47"/>
      <c r="M985" s="59"/>
      <c r="N985" s="47"/>
      <c r="O985" s="129">
        <f t="shared" si="30"/>
        <v>15000</v>
      </c>
    </row>
    <row r="986" spans="1:15">
      <c r="A986" s="59">
        <v>22</v>
      </c>
      <c r="B986" s="59" t="s">
        <v>648</v>
      </c>
      <c r="C986" s="6" t="s">
        <v>1345</v>
      </c>
      <c r="D986" s="86" t="s">
        <v>8</v>
      </c>
      <c r="E986" s="296">
        <v>25000</v>
      </c>
      <c r="F986" s="59">
        <v>2</v>
      </c>
      <c r="G986" s="59"/>
      <c r="H986" s="47"/>
      <c r="I986" s="129"/>
      <c r="J986" s="47"/>
      <c r="K986" s="59"/>
      <c r="L986" s="47"/>
      <c r="M986" s="59"/>
      <c r="N986" s="47"/>
      <c r="O986" s="129">
        <f t="shared" si="30"/>
        <v>50000</v>
      </c>
    </row>
    <row r="987" spans="1:15" ht="15.75" customHeight="1">
      <c r="A987" s="59">
        <v>23</v>
      </c>
      <c r="B987" s="59" t="s">
        <v>1343</v>
      </c>
      <c r="C987" s="61" t="s">
        <v>1346</v>
      </c>
      <c r="D987" s="86" t="s">
        <v>8</v>
      </c>
      <c r="E987" s="296">
        <v>35000</v>
      </c>
      <c r="F987" s="59">
        <v>3</v>
      </c>
      <c r="G987" s="59"/>
      <c r="H987" s="47"/>
      <c r="I987" s="129"/>
      <c r="J987" s="47"/>
      <c r="K987" s="59"/>
      <c r="L987" s="47"/>
      <c r="M987" s="59"/>
      <c r="N987" s="47"/>
      <c r="O987" s="129">
        <f t="shared" si="30"/>
        <v>105000</v>
      </c>
    </row>
    <row r="988" spans="1:15" ht="15.75" customHeight="1">
      <c r="A988" s="59">
        <v>24</v>
      </c>
      <c r="B988" s="59" t="s">
        <v>1347</v>
      </c>
      <c r="C988" s="61" t="s">
        <v>1348</v>
      </c>
      <c r="D988" s="86" t="s">
        <v>8</v>
      </c>
      <c r="E988" s="296">
        <v>1060.82</v>
      </c>
      <c r="F988" s="59">
        <v>9</v>
      </c>
      <c r="G988" s="129">
        <f>E988*F988</f>
        <v>9547.3799999999992</v>
      </c>
      <c r="H988" s="47"/>
      <c r="I988" s="59"/>
      <c r="J988" s="47"/>
      <c r="K988" s="59"/>
      <c r="L988" s="47"/>
      <c r="M988" s="59"/>
      <c r="N988" s="47"/>
      <c r="O988" s="59"/>
    </row>
    <row r="989" spans="1:15" ht="15.75" customHeight="1">
      <c r="A989" s="59">
        <v>25</v>
      </c>
      <c r="B989" s="59" t="s">
        <v>1349</v>
      </c>
      <c r="C989" s="69" t="s">
        <v>1350</v>
      </c>
      <c r="D989" s="86" t="s">
        <v>8</v>
      </c>
      <c r="E989" s="70">
        <v>1060.82</v>
      </c>
      <c r="F989" s="59">
        <v>9</v>
      </c>
      <c r="G989" s="129">
        <f t="shared" ref="G989:G992" si="31">E989*F989</f>
        <v>9547.3799999999992</v>
      </c>
      <c r="H989" s="47"/>
      <c r="I989" s="59"/>
      <c r="J989" s="47"/>
      <c r="K989" s="59"/>
      <c r="L989" s="47"/>
      <c r="M989" s="59"/>
      <c r="N989" s="47"/>
      <c r="O989" s="59"/>
    </row>
    <row r="990" spans="1:15">
      <c r="A990" s="59">
        <v>26</v>
      </c>
      <c r="B990" s="59" t="s">
        <v>1351</v>
      </c>
      <c r="C990" s="61" t="s">
        <v>1352</v>
      </c>
      <c r="D990" s="86" t="s">
        <v>8</v>
      </c>
      <c r="E990" s="296">
        <v>1062</v>
      </c>
      <c r="F990" s="59">
        <v>6</v>
      </c>
      <c r="G990" s="129">
        <f t="shared" si="31"/>
        <v>6372</v>
      </c>
      <c r="H990" s="47"/>
      <c r="I990" s="59"/>
      <c r="J990" s="47"/>
      <c r="K990" s="59"/>
      <c r="L990" s="47"/>
      <c r="M990" s="59"/>
      <c r="N990" s="47"/>
      <c r="O990" s="59"/>
    </row>
    <row r="991" spans="1:15" ht="15.75" customHeight="1">
      <c r="A991" s="59">
        <v>27</v>
      </c>
      <c r="B991" s="59" t="s">
        <v>379</v>
      </c>
      <c r="C991" s="61" t="s">
        <v>1353</v>
      </c>
      <c r="D991" s="86" t="s">
        <v>8</v>
      </c>
      <c r="E991" s="296">
        <v>1063.18</v>
      </c>
      <c r="F991" s="59">
        <v>12</v>
      </c>
      <c r="G991" s="129">
        <f t="shared" si="31"/>
        <v>12758.16</v>
      </c>
      <c r="H991" s="47"/>
      <c r="I991" s="59"/>
      <c r="J991" s="47"/>
      <c r="K991" s="59"/>
      <c r="L991" s="47"/>
      <c r="M991" s="59"/>
      <c r="N991" s="47"/>
      <c r="O991" s="59"/>
    </row>
    <row r="992" spans="1:15" ht="28.5">
      <c r="A992" s="59">
        <v>28</v>
      </c>
      <c r="B992" s="59" t="s">
        <v>380</v>
      </c>
      <c r="C992" s="69" t="s">
        <v>1354</v>
      </c>
      <c r="D992" s="86" t="s">
        <v>8</v>
      </c>
      <c r="E992" s="70">
        <v>1063.18</v>
      </c>
      <c r="F992" s="59">
        <v>12</v>
      </c>
      <c r="G992" s="129">
        <f t="shared" si="31"/>
        <v>12758.16</v>
      </c>
      <c r="H992" s="47"/>
      <c r="I992" s="59"/>
      <c r="J992" s="47"/>
      <c r="K992" s="59"/>
      <c r="L992" s="47"/>
      <c r="M992" s="59"/>
      <c r="N992" s="47"/>
      <c r="O992" s="59"/>
    </row>
    <row r="993" spans="1:15">
      <c r="A993" s="59">
        <v>29</v>
      </c>
      <c r="B993" s="59" t="s">
        <v>233</v>
      </c>
      <c r="C993" s="298" t="s">
        <v>1355</v>
      </c>
      <c r="D993" s="132" t="s">
        <v>1356</v>
      </c>
      <c r="E993" s="70">
        <v>40000</v>
      </c>
      <c r="F993" s="59">
        <v>0.8</v>
      </c>
      <c r="G993" s="59"/>
      <c r="H993" s="47"/>
      <c r="I993" s="59">
        <f>E993*F993</f>
        <v>32000</v>
      </c>
      <c r="J993" s="47"/>
      <c r="K993" s="59"/>
      <c r="L993" s="47"/>
      <c r="M993" s="59"/>
      <c r="N993" s="47"/>
      <c r="O993" s="59"/>
    </row>
    <row r="994" spans="1:15" ht="28.5">
      <c r="A994" s="59">
        <v>30</v>
      </c>
      <c r="B994" s="59" t="s">
        <v>648</v>
      </c>
      <c r="C994" s="6" t="s">
        <v>1357</v>
      </c>
      <c r="D994" s="86" t="s">
        <v>8</v>
      </c>
      <c r="E994" s="296">
        <v>75000</v>
      </c>
      <c r="F994" s="59">
        <v>1</v>
      </c>
      <c r="G994" s="59"/>
      <c r="H994" s="47"/>
      <c r="I994" s="129">
        <f>E994*F994</f>
        <v>75000</v>
      </c>
      <c r="J994" s="47"/>
      <c r="K994" s="59"/>
      <c r="L994" s="47"/>
      <c r="M994" s="59"/>
      <c r="N994" s="47"/>
      <c r="O994" s="59"/>
    </row>
    <row r="995" spans="1:15" ht="15.75" customHeight="1">
      <c r="A995" s="59">
        <v>31</v>
      </c>
      <c r="B995" s="59" t="s">
        <v>1358</v>
      </c>
      <c r="C995" s="61" t="s">
        <v>1359</v>
      </c>
      <c r="D995" s="86" t="s">
        <v>8</v>
      </c>
      <c r="E995" s="296">
        <v>1000</v>
      </c>
      <c r="F995" s="59">
        <v>7</v>
      </c>
      <c r="G995" s="59"/>
      <c r="H995" s="47"/>
      <c r="I995" s="59"/>
      <c r="J995" s="47"/>
      <c r="K995" s="59"/>
      <c r="L995" s="47"/>
      <c r="M995" s="129">
        <f>E995*F995</f>
        <v>7000</v>
      </c>
      <c r="N995" s="47"/>
      <c r="O995" s="59"/>
    </row>
    <row r="996" spans="1:15" ht="15.75" customHeight="1">
      <c r="A996" s="59">
        <v>32</v>
      </c>
      <c r="B996" s="59" t="s">
        <v>1360</v>
      </c>
      <c r="C996" s="61" t="s">
        <v>1361</v>
      </c>
      <c r="D996" s="86" t="s">
        <v>8</v>
      </c>
      <c r="E996" s="129">
        <v>4120.5600000000004</v>
      </c>
      <c r="F996" s="299">
        <v>12</v>
      </c>
      <c r="G996" s="129">
        <f>E996*F996</f>
        <v>49446.720000000001</v>
      </c>
      <c r="H996" s="47"/>
      <c r="I996" s="59"/>
      <c r="J996" s="47"/>
      <c r="K996" s="59"/>
      <c r="L996" s="47"/>
      <c r="M996" s="59"/>
      <c r="N996" s="47"/>
      <c r="O996" s="59"/>
    </row>
    <row r="997" spans="1:15" ht="15.75" customHeight="1">
      <c r="A997" s="59">
        <v>33</v>
      </c>
      <c r="B997" s="59" t="s">
        <v>1362</v>
      </c>
      <c r="C997" s="61" t="s">
        <v>1363</v>
      </c>
      <c r="D997" s="86" t="s">
        <v>8</v>
      </c>
      <c r="E997" s="129">
        <v>15357.11</v>
      </c>
      <c r="F997" s="299">
        <v>1</v>
      </c>
      <c r="G997" s="129">
        <f>E997*F997</f>
        <v>15357.11</v>
      </c>
      <c r="H997" s="47"/>
      <c r="I997" s="59"/>
      <c r="J997" s="47"/>
      <c r="K997" s="59"/>
      <c r="L997" s="47"/>
      <c r="M997" s="59"/>
      <c r="N997" s="47"/>
      <c r="O997" s="59"/>
    </row>
    <row r="998" spans="1:15" ht="15.75" customHeight="1">
      <c r="A998" s="59">
        <v>34</v>
      </c>
      <c r="B998" s="59" t="s">
        <v>648</v>
      </c>
      <c r="C998" s="6" t="s">
        <v>1364</v>
      </c>
      <c r="D998" s="86" t="s">
        <v>8</v>
      </c>
      <c r="E998" s="129">
        <v>10000</v>
      </c>
      <c r="F998" s="299">
        <v>1</v>
      </c>
      <c r="G998" s="129"/>
      <c r="H998" s="47"/>
      <c r="I998" s="59"/>
      <c r="J998" s="47"/>
      <c r="K998" s="59"/>
      <c r="L998" s="47"/>
      <c r="M998" s="59"/>
      <c r="N998" s="47"/>
      <c r="O998" s="129">
        <f>E998*F998</f>
        <v>10000</v>
      </c>
    </row>
    <row r="999" spans="1:15" ht="30" customHeight="1">
      <c r="A999" s="59">
        <v>35</v>
      </c>
      <c r="B999" s="59" t="s">
        <v>664</v>
      </c>
      <c r="C999" s="61" t="s">
        <v>1365</v>
      </c>
      <c r="D999" s="86" t="s">
        <v>8</v>
      </c>
      <c r="E999" s="129">
        <v>12510.66</v>
      </c>
      <c r="F999" s="299">
        <v>1</v>
      </c>
      <c r="G999" s="129">
        <f>E999*F999</f>
        <v>12510.66</v>
      </c>
      <c r="H999" s="47"/>
      <c r="I999" s="59"/>
      <c r="J999" s="47"/>
      <c r="K999" s="59"/>
      <c r="L999" s="47"/>
      <c r="M999" s="59"/>
      <c r="N999" s="47"/>
      <c r="O999" s="59"/>
    </row>
    <row r="1000" spans="1:15" ht="15.75" customHeight="1">
      <c r="A1000" s="59">
        <v>36</v>
      </c>
      <c r="B1000" s="59" t="s">
        <v>722</v>
      </c>
      <c r="C1000" s="61" t="s">
        <v>1366</v>
      </c>
      <c r="D1000" s="284" t="s">
        <v>32</v>
      </c>
      <c r="E1000" s="266">
        <v>10000</v>
      </c>
      <c r="F1000" s="284">
        <v>1</v>
      </c>
      <c r="G1000" s="129">
        <f>E1000*F1000</f>
        <v>10000</v>
      </c>
      <c r="H1000" s="47"/>
      <c r="I1000" s="59"/>
      <c r="J1000" s="47"/>
      <c r="K1000" s="59"/>
      <c r="L1000" s="47"/>
      <c r="M1000" s="59"/>
      <c r="N1000" s="47"/>
      <c r="O1000" s="59"/>
    </row>
    <row r="1001" spans="1:15" ht="15.75" customHeight="1">
      <c r="A1001" s="59">
        <v>37</v>
      </c>
      <c r="B1001" s="59" t="s">
        <v>596</v>
      </c>
      <c r="C1001" s="61" t="s">
        <v>1367</v>
      </c>
      <c r="D1001" s="284" t="s">
        <v>32</v>
      </c>
      <c r="E1001" s="266">
        <v>200</v>
      </c>
      <c r="F1001" s="284">
        <v>50</v>
      </c>
      <c r="G1001" s="129">
        <f>E1001*F1001</f>
        <v>10000</v>
      </c>
      <c r="H1001" s="47"/>
      <c r="I1001" s="59"/>
      <c r="J1001" s="47"/>
      <c r="K1001" s="59"/>
      <c r="L1001" s="47"/>
      <c r="M1001" s="59"/>
      <c r="N1001" s="47"/>
      <c r="O1001" s="59"/>
    </row>
    <row r="1002" spans="1:15" ht="15.75" customHeight="1">
      <c r="A1002" s="59">
        <v>38</v>
      </c>
      <c r="B1002" s="59" t="s">
        <v>596</v>
      </c>
      <c r="C1002" s="61" t="s">
        <v>1368</v>
      </c>
      <c r="D1002" s="284" t="s">
        <v>32</v>
      </c>
      <c r="E1002" s="266">
        <v>200</v>
      </c>
      <c r="F1002" s="284">
        <v>25</v>
      </c>
      <c r="G1002" s="59"/>
      <c r="H1002" s="47"/>
      <c r="I1002" s="59"/>
      <c r="J1002" s="47"/>
      <c r="K1002" s="59"/>
      <c r="L1002" s="47"/>
      <c r="M1002" s="129">
        <f>E1002*F1002</f>
        <v>5000</v>
      </c>
      <c r="N1002" s="47"/>
      <c r="O1002" s="59"/>
    </row>
    <row r="1003" spans="1:15" ht="15.75" customHeight="1">
      <c r="A1003" s="59">
        <v>39</v>
      </c>
      <c r="B1003" s="59" t="s">
        <v>206</v>
      </c>
      <c r="C1003" s="61" t="s">
        <v>1369</v>
      </c>
      <c r="D1003" s="86" t="s">
        <v>8</v>
      </c>
      <c r="E1003" s="129">
        <v>20000</v>
      </c>
      <c r="F1003" s="284">
        <v>1</v>
      </c>
      <c r="G1003" s="59"/>
      <c r="H1003" s="47"/>
      <c r="I1003" s="59"/>
      <c r="J1003" s="47"/>
      <c r="K1003" s="59"/>
      <c r="L1003" s="47"/>
      <c r="M1003" s="129">
        <f>E1003*F1003</f>
        <v>20000</v>
      </c>
      <c r="N1003" s="47"/>
      <c r="O1003" s="59"/>
    </row>
    <row r="1004" spans="1:15">
      <c r="A1004" s="59">
        <v>40</v>
      </c>
      <c r="B1004" s="59" t="s">
        <v>648</v>
      </c>
      <c r="C1004" s="6" t="s">
        <v>1370</v>
      </c>
      <c r="D1004" s="284" t="s">
        <v>32</v>
      </c>
      <c r="E1004" s="266">
        <v>25000</v>
      </c>
      <c r="F1004" s="284">
        <v>1</v>
      </c>
      <c r="G1004" s="59"/>
      <c r="H1004" s="47"/>
      <c r="I1004" s="59"/>
      <c r="J1004" s="47"/>
      <c r="K1004" s="59"/>
      <c r="L1004" s="47"/>
      <c r="M1004" s="129"/>
      <c r="N1004" s="47"/>
      <c r="O1004" s="129">
        <f>E1004*F1004</f>
        <v>25000</v>
      </c>
    </row>
    <row r="1005" spans="1:15" ht="15.75" customHeight="1">
      <c r="A1005" s="59">
        <v>41</v>
      </c>
      <c r="B1005" s="59" t="s">
        <v>648</v>
      </c>
      <c r="C1005" s="6" t="s">
        <v>1371</v>
      </c>
      <c r="D1005" s="86" t="s">
        <v>8</v>
      </c>
      <c r="E1005" s="266">
        <v>25000</v>
      </c>
      <c r="F1005" s="284">
        <v>1</v>
      </c>
      <c r="G1005" s="59"/>
      <c r="H1005" s="47"/>
      <c r="I1005" s="59"/>
      <c r="J1005" s="47"/>
      <c r="K1005" s="59"/>
      <c r="L1005" s="47"/>
      <c r="M1005" s="129"/>
      <c r="N1005" s="47"/>
      <c r="O1005" s="129">
        <f>E1005*F1005</f>
        <v>25000</v>
      </c>
    </row>
    <row r="1006" spans="1:15" ht="15.75" customHeight="1">
      <c r="A1006" s="59">
        <v>42</v>
      </c>
      <c r="B1006" s="59" t="s">
        <v>51</v>
      </c>
      <c r="C1006" s="61" t="s">
        <v>1372</v>
      </c>
      <c r="D1006" s="284" t="s">
        <v>53</v>
      </c>
      <c r="E1006" s="266">
        <v>11800</v>
      </c>
      <c r="F1006" s="285" t="s">
        <v>1373</v>
      </c>
      <c r="G1006" s="129">
        <f>E1006*F1006</f>
        <v>35400</v>
      </c>
      <c r="H1006" s="47"/>
      <c r="I1006" s="59"/>
      <c r="J1006" s="47"/>
      <c r="K1006" s="59"/>
      <c r="L1006" s="47"/>
      <c r="M1006" s="59"/>
      <c r="N1006" s="47"/>
      <c r="O1006" s="59"/>
    </row>
    <row r="1007" spans="1:15">
      <c r="A1007" s="59">
        <v>43</v>
      </c>
      <c r="B1007" s="59" t="s">
        <v>1343</v>
      </c>
      <c r="C1007" s="61" t="s">
        <v>1374</v>
      </c>
      <c r="D1007" s="86" t="s">
        <v>8</v>
      </c>
      <c r="E1007" s="266">
        <v>40000</v>
      </c>
      <c r="F1007" s="284">
        <v>1</v>
      </c>
      <c r="G1007" s="59"/>
      <c r="H1007" s="47"/>
      <c r="I1007" s="59"/>
      <c r="J1007" s="47"/>
      <c r="K1007" s="59"/>
      <c r="L1007" s="47"/>
      <c r="M1007" s="129"/>
      <c r="N1007" s="47"/>
      <c r="O1007" s="129">
        <f>E1007*F1007</f>
        <v>40000</v>
      </c>
    </row>
    <row r="1008" spans="1:15" ht="28.5">
      <c r="A1008" s="59">
        <v>44</v>
      </c>
      <c r="B1008" s="59" t="s">
        <v>1375</v>
      </c>
      <c r="C1008" s="61" t="s">
        <v>1376</v>
      </c>
      <c r="D1008" s="86" t="s">
        <v>8</v>
      </c>
      <c r="E1008" s="266">
        <v>12154</v>
      </c>
      <c r="F1008" s="284">
        <v>1</v>
      </c>
      <c r="G1008" s="129">
        <f>E1008*F1008</f>
        <v>12154</v>
      </c>
      <c r="H1008" s="47"/>
      <c r="I1008" s="59"/>
      <c r="J1008" s="47"/>
      <c r="K1008" s="59"/>
      <c r="L1008" s="47"/>
      <c r="M1008" s="59"/>
      <c r="N1008" s="47"/>
      <c r="O1008" s="59"/>
    </row>
    <row r="1009" spans="1:15" ht="15.75" customHeight="1">
      <c r="A1009" s="59">
        <v>45</v>
      </c>
      <c r="B1009" s="59" t="s">
        <v>1377</v>
      </c>
      <c r="C1009" s="86" t="s">
        <v>1378</v>
      </c>
      <c r="D1009" s="86" t="s">
        <v>8</v>
      </c>
      <c r="E1009" s="129">
        <v>3534.1</v>
      </c>
      <c r="F1009" s="284">
        <v>4</v>
      </c>
      <c r="G1009" s="129">
        <f t="shared" ref="G1009:G1032" si="32">E1009*F1009</f>
        <v>14136.4</v>
      </c>
      <c r="H1009" s="47"/>
      <c r="I1009" s="59"/>
      <c r="J1009" s="47"/>
      <c r="K1009" s="59"/>
      <c r="L1009" s="47"/>
      <c r="M1009" s="59"/>
      <c r="N1009" s="47"/>
      <c r="O1009" s="59"/>
    </row>
    <row r="1010" spans="1:15" ht="15.75" customHeight="1">
      <c r="A1010" s="59">
        <v>46</v>
      </c>
      <c r="B1010" s="59" t="s">
        <v>1379</v>
      </c>
      <c r="C1010" s="86" t="s">
        <v>1380</v>
      </c>
      <c r="D1010" s="86" t="s">
        <v>8</v>
      </c>
      <c r="E1010" s="129">
        <v>1758.2</v>
      </c>
      <c r="F1010" s="284">
        <v>47</v>
      </c>
      <c r="G1010" s="129">
        <f t="shared" si="32"/>
        <v>82635.400000000009</v>
      </c>
      <c r="H1010" s="47"/>
      <c r="I1010" s="59"/>
      <c r="J1010" s="47"/>
      <c r="K1010" s="59"/>
      <c r="L1010" s="47"/>
      <c r="M1010" s="59"/>
      <c r="N1010" s="47"/>
      <c r="O1010" s="59"/>
    </row>
    <row r="1011" spans="1:15">
      <c r="A1011" s="59">
        <v>47</v>
      </c>
      <c r="B1011" s="59" t="s">
        <v>134</v>
      </c>
      <c r="C1011" s="86" t="s">
        <v>1381</v>
      </c>
      <c r="D1011" s="86" t="s">
        <v>8</v>
      </c>
      <c r="E1011" s="129">
        <v>11797.64</v>
      </c>
      <c r="F1011" s="284">
        <v>1</v>
      </c>
      <c r="G1011" s="129">
        <f t="shared" si="32"/>
        <v>11797.64</v>
      </c>
      <c r="H1011" s="47"/>
      <c r="I1011" s="59"/>
      <c r="J1011" s="47"/>
      <c r="K1011" s="59"/>
      <c r="L1011" s="47"/>
      <c r="M1011" s="59"/>
      <c r="N1011" s="47"/>
      <c r="O1011" s="59"/>
    </row>
    <row r="1012" spans="1:15" ht="15.75" customHeight="1">
      <c r="A1012" s="59">
        <v>48</v>
      </c>
      <c r="B1012" s="59" t="s">
        <v>1382</v>
      </c>
      <c r="C1012" s="86" t="s">
        <v>1383</v>
      </c>
      <c r="D1012" s="86" t="s">
        <v>8</v>
      </c>
      <c r="E1012" s="129">
        <v>17226.82</v>
      </c>
      <c r="F1012" s="285" t="s">
        <v>1384</v>
      </c>
      <c r="G1012" s="129">
        <f t="shared" si="32"/>
        <v>34453.64</v>
      </c>
      <c r="H1012" s="47"/>
      <c r="I1012" s="59"/>
      <c r="J1012" s="47"/>
      <c r="K1012" s="59"/>
      <c r="L1012" s="47"/>
      <c r="M1012" s="59"/>
      <c r="N1012" s="47"/>
      <c r="O1012" s="59"/>
    </row>
    <row r="1013" spans="1:15">
      <c r="A1013" s="59">
        <v>49</v>
      </c>
      <c r="B1013" s="59" t="s">
        <v>1385</v>
      </c>
      <c r="C1013" s="86" t="s">
        <v>1386</v>
      </c>
      <c r="D1013" s="86" t="s">
        <v>8</v>
      </c>
      <c r="E1013" s="129">
        <v>17226.82</v>
      </c>
      <c r="F1013" s="285" t="s">
        <v>1373</v>
      </c>
      <c r="G1013" s="129">
        <f t="shared" si="32"/>
        <v>51680.46</v>
      </c>
      <c r="H1013" s="47"/>
      <c r="I1013" s="59"/>
      <c r="J1013" s="47"/>
      <c r="K1013" s="59"/>
      <c r="L1013" s="47"/>
      <c r="M1013" s="59"/>
      <c r="N1013" s="47"/>
      <c r="O1013" s="59"/>
    </row>
    <row r="1014" spans="1:15" ht="15.75" customHeight="1">
      <c r="A1014" s="59">
        <v>50</v>
      </c>
      <c r="B1014" s="59" t="s">
        <v>1387</v>
      </c>
      <c r="C1014" s="86" t="s">
        <v>1388</v>
      </c>
      <c r="D1014" s="86" t="s">
        <v>10</v>
      </c>
      <c r="E1014" s="129">
        <v>4985.5</v>
      </c>
      <c r="F1014" s="284">
        <v>4</v>
      </c>
      <c r="G1014" s="129">
        <f t="shared" si="32"/>
        <v>19942</v>
      </c>
      <c r="H1014" s="47"/>
      <c r="I1014" s="59"/>
      <c r="J1014" s="47"/>
      <c r="K1014" s="59"/>
      <c r="L1014" s="47"/>
      <c r="M1014" s="59"/>
      <c r="N1014" s="47"/>
      <c r="O1014" s="59"/>
    </row>
    <row r="1015" spans="1:15" ht="15.75" customHeight="1">
      <c r="A1015" s="59">
        <v>51</v>
      </c>
      <c r="B1015" s="59" t="s">
        <v>1389</v>
      </c>
      <c r="C1015" s="86" t="s">
        <v>1390</v>
      </c>
      <c r="D1015" s="86" t="s">
        <v>10</v>
      </c>
      <c r="E1015" s="129">
        <v>29323</v>
      </c>
      <c r="F1015" s="284">
        <v>1</v>
      </c>
      <c r="G1015" s="129">
        <f t="shared" si="32"/>
        <v>29323</v>
      </c>
      <c r="H1015" s="47"/>
      <c r="I1015" s="59"/>
      <c r="J1015" s="47"/>
      <c r="K1015" s="59"/>
      <c r="L1015" s="47"/>
      <c r="M1015" s="59"/>
      <c r="N1015" s="47"/>
      <c r="O1015" s="59"/>
    </row>
    <row r="1016" spans="1:15" ht="15.75" customHeight="1">
      <c r="A1016" s="59">
        <v>52</v>
      </c>
      <c r="B1016" s="59" t="s">
        <v>722</v>
      </c>
      <c r="C1016" s="86" t="s">
        <v>1391</v>
      </c>
      <c r="D1016" s="86" t="s">
        <v>8</v>
      </c>
      <c r="E1016" s="129">
        <v>307437.2</v>
      </c>
      <c r="F1016" s="284">
        <v>2</v>
      </c>
      <c r="G1016" s="129">
        <f t="shared" si="32"/>
        <v>614874.4</v>
      </c>
      <c r="H1016" s="47"/>
      <c r="I1016" s="59"/>
      <c r="J1016" s="47"/>
      <c r="K1016" s="59"/>
      <c r="L1016" s="47"/>
      <c r="M1016" s="59"/>
      <c r="N1016" s="47"/>
      <c r="O1016" s="59"/>
    </row>
    <row r="1017" spans="1:15" ht="15.75" customHeight="1">
      <c r="A1017" s="59">
        <v>53</v>
      </c>
      <c r="B1017" s="59" t="s">
        <v>722</v>
      </c>
      <c r="C1017" s="86" t="s">
        <v>1392</v>
      </c>
      <c r="D1017" s="86" t="s">
        <v>8</v>
      </c>
      <c r="E1017" s="129">
        <v>283247.2</v>
      </c>
      <c r="F1017" s="284">
        <v>1</v>
      </c>
      <c r="G1017" s="129">
        <f t="shared" si="32"/>
        <v>283247.2</v>
      </c>
      <c r="H1017" s="47"/>
      <c r="I1017" s="59"/>
      <c r="J1017" s="47"/>
      <c r="K1017" s="59"/>
      <c r="L1017" s="47"/>
      <c r="M1017" s="59"/>
      <c r="N1017" s="47"/>
      <c r="O1017" s="59"/>
    </row>
    <row r="1018" spans="1:15" ht="15.75" customHeight="1">
      <c r="A1018" s="59">
        <v>54</v>
      </c>
      <c r="B1018" s="59" t="s">
        <v>633</v>
      </c>
      <c r="C1018" s="86" t="s">
        <v>1393</v>
      </c>
      <c r="D1018" s="86" t="s">
        <v>8</v>
      </c>
      <c r="E1018" s="129">
        <v>10856</v>
      </c>
      <c r="F1018" s="284">
        <v>3</v>
      </c>
      <c r="G1018" s="129">
        <f t="shared" si="32"/>
        <v>32568</v>
      </c>
      <c r="H1018" s="47"/>
      <c r="I1018" s="59"/>
      <c r="J1018" s="47"/>
      <c r="K1018" s="59"/>
      <c r="L1018" s="47"/>
      <c r="M1018" s="59"/>
      <c r="N1018" s="47"/>
      <c r="O1018" s="59"/>
    </row>
    <row r="1019" spans="1:15" ht="15.75" customHeight="1">
      <c r="A1019" s="59">
        <v>55</v>
      </c>
      <c r="B1019" s="59" t="s">
        <v>28</v>
      </c>
      <c r="C1019" s="86" t="s">
        <v>1394</v>
      </c>
      <c r="D1019" s="86" t="s">
        <v>8</v>
      </c>
      <c r="E1019" s="129">
        <v>17110</v>
      </c>
      <c r="F1019" s="284">
        <v>3</v>
      </c>
      <c r="G1019" s="129">
        <f t="shared" si="32"/>
        <v>51330</v>
      </c>
      <c r="H1019" s="47"/>
      <c r="I1019" s="59"/>
      <c r="J1019" s="47"/>
      <c r="K1019" s="59"/>
      <c r="L1019" s="47"/>
      <c r="M1019" s="59"/>
      <c r="N1019" s="47"/>
      <c r="O1019" s="59"/>
    </row>
    <row r="1020" spans="1:15">
      <c r="A1020" s="59">
        <v>56</v>
      </c>
      <c r="B1020" s="59" t="s">
        <v>28</v>
      </c>
      <c r="C1020" s="86" t="s">
        <v>1395</v>
      </c>
      <c r="D1020" s="86" t="s">
        <v>8</v>
      </c>
      <c r="E1020" s="129">
        <v>20650</v>
      </c>
      <c r="F1020" s="284">
        <v>13</v>
      </c>
      <c r="G1020" s="129">
        <f t="shared" si="32"/>
        <v>268450</v>
      </c>
      <c r="H1020" s="47"/>
      <c r="I1020" s="59"/>
      <c r="J1020" s="47"/>
      <c r="K1020" s="59"/>
      <c r="L1020" s="47"/>
      <c r="M1020" s="59"/>
      <c r="N1020" s="47"/>
      <c r="O1020" s="59"/>
    </row>
    <row r="1021" spans="1:15" ht="15.75" customHeight="1">
      <c r="A1021" s="59">
        <v>57</v>
      </c>
      <c r="B1021" s="59" t="s">
        <v>1396</v>
      </c>
      <c r="C1021" s="86" t="s">
        <v>1397</v>
      </c>
      <c r="D1021" s="86" t="s">
        <v>8</v>
      </c>
      <c r="E1021" s="129">
        <v>30090</v>
      </c>
      <c r="F1021" s="284">
        <v>4</v>
      </c>
      <c r="G1021" s="129">
        <f t="shared" si="32"/>
        <v>120360</v>
      </c>
      <c r="H1021" s="47"/>
      <c r="I1021" s="59"/>
      <c r="J1021" s="47"/>
      <c r="K1021" s="59"/>
      <c r="L1021" s="47"/>
      <c r="M1021" s="59"/>
      <c r="N1021" s="47"/>
      <c r="O1021" s="59"/>
    </row>
    <row r="1022" spans="1:15" ht="15.75" customHeight="1">
      <c r="A1022" s="59">
        <v>58</v>
      </c>
      <c r="B1022" s="59" t="s">
        <v>648</v>
      </c>
      <c r="C1022" s="4" t="s">
        <v>1398</v>
      </c>
      <c r="D1022" s="86" t="s">
        <v>8</v>
      </c>
      <c r="E1022" s="129">
        <v>25000</v>
      </c>
      <c r="F1022" s="284">
        <v>2</v>
      </c>
      <c r="G1022" s="129"/>
      <c r="H1022" s="47"/>
      <c r="I1022" s="59"/>
      <c r="J1022" s="47"/>
      <c r="K1022" s="59"/>
      <c r="L1022" s="47"/>
      <c r="M1022" s="129"/>
      <c r="N1022" s="47"/>
      <c r="O1022" s="129">
        <f>E1022*F1022</f>
        <v>50000</v>
      </c>
    </row>
    <row r="1023" spans="1:15">
      <c r="A1023" s="59">
        <v>59</v>
      </c>
      <c r="B1023" s="59" t="s">
        <v>1399</v>
      </c>
      <c r="C1023" s="86" t="s">
        <v>1400</v>
      </c>
      <c r="D1023" s="86" t="s">
        <v>8</v>
      </c>
      <c r="E1023" s="129">
        <v>5251</v>
      </c>
      <c r="F1023" s="284">
        <v>1</v>
      </c>
      <c r="G1023" s="129">
        <f t="shared" si="32"/>
        <v>5251</v>
      </c>
      <c r="H1023" s="47"/>
      <c r="I1023" s="59"/>
      <c r="J1023" s="47"/>
      <c r="K1023" s="59"/>
      <c r="L1023" s="47"/>
      <c r="M1023" s="59"/>
      <c r="N1023" s="47"/>
      <c r="O1023" s="59"/>
    </row>
    <row r="1024" spans="1:15" ht="15.75" customHeight="1">
      <c r="A1024" s="59">
        <v>60</v>
      </c>
      <c r="B1024" s="59" t="s">
        <v>1399</v>
      </c>
      <c r="C1024" s="86" t="s">
        <v>1401</v>
      </c>
      <c r="D1024" s="86" t="s">
        <v>8</v>
      </c>
      <c r="E1024" s="129">
        <v>6608</v>
      </c>
      <c r="F1024" s="284">
        <v>1</v>
      </c>
      <c r="G1024" s="129">
        <f t="shared" si="32"/>
        <v>6608</v>
      </c>
      <c r="H1024" s="47"/>
      <c r="I1024" s="59"/>
      <c r="J1024" s="47"/>
      <c r="K1024" s="59"/>
      <c r="L1024" s="47"/>
      <c r="M1024" s="59"/>
      <c r="N1024" s="47"/>
      <c r="O1024" s="59"/>
    </row>
    <row r="1025" spans="1:15" ht="15.75" customHeight="1">
      <c r="A1025" s="59">
        <v>61</v>
      </c>
      <c r="B1025" s="59" t="s">
        <v>1375</v>
      </c>
      <c r="C1025" s="86" t="s">
        <v>1376</v>
      </c>
      <c r="D1025" s="86" t="s">
        <v>8</v>
      </c>
      <c r="E1025" s="129">
        <v>3774.82</v>
      </c>
      <c r="F1025" s="284">
        <v>1</v>
      </c>
      <c r="G1025" s="129">
        <f t="shared" si="32"/>
        <v>3774.82</v>
      </c>
      <c r="H1025" s="47"/>
      <c r="I1025" s="59"/>
      <c r="J1025" s="47"/>
      <c r="K1025" s="59"/>
      <c r="L1025" s="47"/>
      <c r="M1025" s="59"/>
      <c r="N1025" s="47"/>
      <c r="O1025" s="59"/>
    </row>
    <row r="1026" spans="1:15" ht="15.75" customHeight="1">
      <c r="A1026" s="59">
        <v>62</v>
      </c>
      <c r="B1026" s="59" t="s">
        <v>1402</v>
      </c>
      <c r="C1026" s="86" t="s">
        <v>1403</v>
      </c>
      <c r="D1026" s="86" t="s">
        <v>8</v>
      </c>
      <c r="E1026" s="129">
        <v>2063.8200000000002</v>
      </c>
      <c r="F1026" s="284">
        <v>12</v>
      </c>
      <c r="G1026" s="129">
        <f t="shared" si="32"/>
        <v>24765.840000000004</v>
      </c>
      <c r="H1026" s="47"/>
      <c r="I1026" s="59"/>
      <c r="J1026" s="47"/>
      <c r="K1026" s="59"/>
      <c r="L1026" s="47"/>
      <c r="M1026" s="129"/>
      <c r="N1026" s="47"/>
      <c r="O1026" s="59"/>
    </row>
    <row r="1027" spans="1:15" ht="15.75" customHeight="1">
      <c r="A1027" s="59">
        <v>63</v>
      </c>
      <c r="B1027" s="59" t="s">
        <v>561</v>
      </c>
      <c r="C1027" s="86" t="s">
        <v>1404</v>
      </c>
      <c r="D1027" s="86" t="s">
        <v>8</v>
      </c>
      <c r="E1027" s="129">
        <v>1770</v>
      </c>
      <c r="F1027" s="284">
        <v>6</v>
      </c>
      <c r="G1027" s="129">
        <f t="shared" si="32"/>
        <v>10620</v>
      </c>
      <c r="H1027" s="47"/>
      <c r="I1027" s="59"/>
      <c r="J1027" s="47"/>
      <c r="K1027" s="59"/>
      <c r="L1027" s="47"/>
      <c r="M1027" s="129"/>
      <c r="N1027" s="47"/>
      <c r="O1027" s="59"/>
    </row>
    <row r="1028" spans="1:15">
      <c r="A1028" s="59">
        <v>64</v>
      </c>
      <c r="B1028" s="59" t="s">
        <v>1405</v>
      </c>
      <c r="C1028" s="86" t="s">
        <v>1406</v>
      </c>
      <c r="D1028" s="86" t="s">
        <v>8</v>
      </c>
      <c r="E1028" s="129">
        <v>1886.82</v>
      </c>
      <c r="F1028" s="284">
        <v>11</v>
      </c>
      <c r="G1028" s="129">
        <f t="shared" si="32"/>
        <v>20755.02</v>
      </c>
      <c r="H1028" s="47"/>
      <c r="I1028" s="59"/>
      <c r="J1028" s="47"/>
      <c r="K1028" s="59"/>
      <c r="L1028" s="47"/>
      <c r="M1028" s="129"/>
      <c r="N1028" s="47"/>
      <c r="O1028" s="59"/>
    </row>
    <row r="1029" spans="1:15" ht="15.75" customHeight="1">
      <c r="A1029" s="59">
        <v>65</v>
      </c>
      <c r="B1029" s="59" t="s">
        <v>233</v>
      </c>
      <c r="C1029" s="86" t="s">
        <v>1407</v>
      </c>
      <c r="D1029" s="86" t="s">
        <v>7</v>
      </c>
      <c r="E1029" s="129">
        <v>35000</v>
      </c>
      <c r="F1029" s="284">
        <v>2.23</v>
      </c>
      <c r="G1029" s="129">
        <f t="shared" si="32"/>
        <v>78050</v>
      </c>
      <c r="H1029" s="47"/>
      <c r="I1029" s="59"/>
      <c r="J1029" s="47"/>
      <c r="K1029" s="129"/>
      <c r="L1029" s="47"/>
      <c r="M1029" s="129"/>
      <c r="N1029" s="47"/>
      <c r="O1029" s="59"/>
    </row>
    <row r="1030" spans="1:15" ht="15.75" customHeight="1">
      <c r="A1030" s="59">
        <v>66</v>
      </c>
      <c r="B1030" s="59" t="s">
        <v>130</v>
      </c>
      <c r="C1030" s="61" t="s">
        <v>1408</v>
      </c>
      <c r="D1030" s="86" t="s">
        <v>8</v>
      </c>
      <c r="E1030" s="296">
        <v>7000</v>
      </c>
      <c r="F1030" s="59">
        <v>7</v>
      </c>
      <c r="G1030" s="129">
        <f t="shared" si="32"/>
        <v>49000</v>
      </c>
      <c r="H1030" s="47"/>
      <c r="I1030" s="59"/>
      <c r="J1030" s="47"/>
      <c r="K1030" s="59"/>
      <c r="L1030" s="47"/>
      <c r="M1030" s="59"/>
      <c r="N1030" s="47"/>
      <c r="O1030" s="59"/>
    </row>
    <row r="1031" spans="1:15" ht="30" customHeight="1">
      <c r="A1031" s="59">
        <v>67</v>
      </c>
      <c r="B1031" s="59" t="s">
        <v>130</v>
      </c>
      <c r="C1031" s="61" t="s">
        <v>1409</v>
      </c>
      <c r="D1031" s="86" t="s">
        <v>10</v>
      </c>
      <c r="E1031" s="296">
        <v>4076</v>
      </c>
      <c r="F1031" s="59">
        <v>6</v>
      </c>
      <c r="G1031" s="129">
        <f t="shared" si="32"/>
        <v>24456</v>
      </c>
      <c r="H1031" s="47"/>
      <c r="I1031" s="59"/>
      <c r="J1031" s="47"/>
      <c r="K1031" s="59"/>
      <c r="L1031" s="47"/>
      <c r="M1031" s="59"/>
      <c r="N1031" s="47"/>
      <c r="O1031" s="59"/>
    </row>
    <row r="1032" spans="1:15" ht="15.75" customHeight="1">
      <c r="A1032" s="59">
        <v>68</v>
      </c>
      <c r="B1032" s="59" t="s">
        <v>1410</v>
      </c>
      <c r="C1032" s="86" t="s">
        <v>1411</v>
      </c>
      <c r="D1032" s="86" t="s">
        <v>8</v>
      </c>
      <c r="E1032" s="296">
        <v>17110</v>
      </c>
      <c r="F1032" s="59">
        <v>2</v>
      </c>
      <c r="G1032" s="129">
        <f t="shared" si="32"/>
        <v>34220</v>
      </c>
      <c r="H1032" s="47"/>
      <c r="I1032" s="59"/>
      <c r="J1032" s="47"/>
      <c r="K1032" s="59"/>
      <c r="L1032" s="47"/>
      <c r="M1032" s="59"/>
      <c r="N1032" s="47"/>
      <c r="O1032" s="59"/>
    </row>
    <row r="1033" spans="1:15" ht="15.75" customHeight="1">
      <c r="A1033" s="59">
        <v>69</v>
      </c>
      <c r="B1033" s="59" t="s">
        <v>648</v>
      </c>
      <c r="C1033" s="300" t="s">
        <v>1412</v>
      </c>
      <c r="D1033" s="86" t="s">
        <v>8</v>
      </c>
      <c r="E1033" s="296">
        <v>50000</v>
      </c>
      <c r="F1033" s="59">
        <v>2</v>
      </c>
      <c r="G1033" s="129"/>
      <c r="H1033" s="47"/>
      <c r="I1033" s="59"/>
      <c r="J1033" s="47"/>
      <c r="K1033" s="59"/>
      <c r="L1033" s="47"/>
      <c r="M1033" s="59"/>
      <c r="N1033" s="47"/>
      <c r="O1033" s="129">
        <f>E1033*F1033</f>
        <v>100000</v>
      </c>
    </row>
    <row r="1034" spans="1:15">
      <c r="A1034" s="59">
        <v>70</v>
      </c>
      <c r="B1034" s="59" t="s">
        <v>1413</v>
      </c>
      <c r="C1034" s="301" t="s">
        <v>1414</v>
      </c>
      <c r="D1034" s="86" t="s">
        <v>8</v>
      </c>
      <c r="E1034" s="296">
        <v>1752.3</v>
      </c>
      <c r="F1034" s="59">
        <v>24</v>
      </c>
      <c r="G1034" s="129">
        <f>E1034*F1034</f>
        <v>42055.199999999997</v>
      </c>
      <c r="H1034" s="47"/>
      <c r="I1034" s="59"/>
      <c r="J1034" s="47"/>
      <c r="K1034" s="59"/>
      <c r="L1034" s="47"/>
      <c r="M1034" s="59"/>
      <c r="N1034" s="47"/>
      <c r="O1034" s="59"/>
    </row>
    <row r="1035" spans="1:15" ht="15.75" customHeight="1">
      <c r="A1035" s="59">
        <v>71</v>
      </c>
      <c r="B1035" s="59" t="s">
        <v>1415</v>
      </c>
      <c r="C1035" s="301" t="s">
        <v>1416</v>
      </c>
      <c r="D1035" s="86" t="s">
        <v>8</v>
      </c>
      <c r="E1035" s="296">
        <v>1752.3</v>
      </c>
      <c r="F1035" s="59">
        <v>2</v>
      </c>
      <c r="G1035" s="129">
        <f>E1035*F1035</f>
        <v>3504.6</v>
      </c>
      <c r="H1035" s="47"/>
      <c r="I1035" s="59"/>
      <c r="J1035" s="47"/>
      <c r="K1035" s="59"/>
      <c r="L1035" s="47"/>
      <c r="M1035" s="59"/>
      <c r="N1035" s="47"/>
      <c r="O1035" s="59"/>
    </row>
    <row r="1036" spans="1:15" ht="15.75" customHeight="1">
      <c r="A1036" s="59">
        <v>72</v>
      </c>
      <c r="B1036" s="59" t="s">
        <v>1417</v>
      </c>
      <c r="C1036" s="301" t="s">
        <v>1418</v>
      </c>
      <c r="D1036" s="86" t="s">
        <v>8</v>
      </c>
      <c r="E1036" s="296">
        <v>3009</v>
      </c>
      <c r="F1036" s="59">
        <v>2</v>
      </c>
      <c r="G1036" s="129">
        <f>E1036*F1036</f>
        <v>6018</v>
      </c>
      <c r="H1036" s="47"/>
      <c r="I1036" s="302"/>
      <c r="J1036" s="47"/>
      <c r="K1036" s="302"/>
      <c r="L1036" s="47"/>
      <c r="M1036" s="302"/>
      <c r="N1036" s="47"/>
      <c r="O1036" s="302"/>
    </row>
    <row r="1037" spans="1:15" ht="15.75" customHeight="1">
      <c r="A1037" s="59">
        <v>73</v>
      </c>
      <c r="B1037" s="59" t="s">
        <v>648</v>
      </c>
      <c r="C1037" s="4" t="s">
        <v>1398</v>
      </c>
      <c r="D1037" s="86" t="s">
        <v>8</v>
      </c>
      <c r="E1037" s="129">
        <v>25000</v>
      </c>
      <c r="F1037" s="284">
        <v>2</v>
      </c>
      <c r="G1037" s="129"/>
      <c r="H1037" s="47"/>
      <c r="I1037" s="132"/>
      <c r="J1037" s="47"/>
      <c r="K1037" s="59"/>
      <c r="L1037" s="47"/>
      <c r="M1037" s="302"/>
      <c r="N1037" s="47"/>
      <c r="O1037" s="303">
        <f>E1037*F1037</f>
        <v>50000</v>
      </c>
    </row>
    <row r="1038" spans="1:15" ht="28.5">
      <c r="A1038" s="59">
        <v>74</v>
      </c>
      <c r="B1038" s="59" t="s">
        <v>487</v>
      </c>
      <c r="C1038" s="304" t="s">
        <v>1419</v>
      </c>
      <c r="D1038" s="86" t="s">
        <v>8</v>
      </c>
      <c r="E1038" s="296">
        <v>7552</v>
      </c>
      <c r="F1038" s="59">
        <v>16</v>
      </c>
      <c r="G1038" s="129">
        <f>E1038*F1038</f>
        <v>120832</v>
      </c>
      <c r="H1038" s="47"/>
      <c r="I1038" s="302"/>
      <c r="J1038" s="47"/>
      <c r="K1038" s="302"/>
      <c r="L1038" s="47"/>
      <c r="M1038" s="302"/>
      <c r="N1038" s="47"/>
      <c r="O1038" s="302"/>
    </row>
    <row r="1039" spans="1:15" ht="15.75" customHeight="1">
      <c r="A1039" s="59">
        <v>75</v>
      </c>
      <c r="B1039" s="59" t="s">
        <v>1420</v>
      </c>
      <c r="C1039" s="300" t="s">
        <v>1421</v>
      </c>
      <c r="D1039" s="86" t="s">
        <v>8</v>
      </c>
      <c r="E1039" s="296">
        <v>11800</v>
      </c>
      <c r="F1039" s="59">
        <v>4</v>
      </c>
      <c r="G1039" s="129">
        <f t="shared" ref="G1039:G1061" si="33">E1039*F1039</f>
        <v>47200</v>
      </c>
      <c r="H1039" s="47"/>
      <c r="I1039" s="302"/>
      <c r="J1039" s="47"/>
      <c r="K1039" s="302"/>
      <c r="L1039" s="47"/>
      <c r="M1039" s="302"/>
      <c r="N1039" s="47"/>
      <c r="O1039" s="302"/>
    </row>
    <row r="1040" spans="1:15" ht="31.5" customHeight="1">
      <c r="A1040" s="59">
        <v>76</v>
      </c>
      <c r="B1040" s="59" t="s">
        <v>1422</v>
      </c>
      <c r="C1040" s="300" t="s">
        <v>1423</v>
      </c>
      <c r="D1040" s="86" t="s">
        <v>8</v>
      </c>
      <c r="E1040" s="296">
        <v>1416</v>
      </c>
      <c r="F1040" s="59">
        <v>6</v>
      </c>
      <c r="G1040" s="129">
        <f t="shared" si="33"/>
        <v>8496</v>
      </c>
      <c r="H1040" s="47"/>
      <c r="I1040" s="302"/>
      <c r="J1040" s="47"/>
      <c r="K1040" s="302"/>
      <c r="L1040" s="47"/>
      <c r="M1040" s="302"/>
      <c r="N1040" s="47"/>
      <c r="O1040" s="302"/>
    </row>
    <row r="1041" spans="1:15" ht="15.75" customHeight="1">
      <c r="A1041" s="59">
        <v>77</v>
      </c>
      <c r="B1041" s="59" t="s">
        <v>1405</v>
      </c>
      <c r="C1041" s="300" t="s">
        <v>1424</v>
      </c>
      <c r="D1041" s="86" t="s">
        <v>8</v>
      </c>
      <c r="E1041" s="296">
        <v>1770</v>
      </c>
      <c r="F1041" s="59">
        <v>4</v>
      </c>
      <c r="G1041" s="129">
        <f t="shared" si="33"/>
        <v>7080</v>
      </c>
      <c r="H1041" s="47"/>
      <c r="I1041" s="302"/>
      <c r="J1041" s="47"/>
      <c r="K1041" s="302"/>
      <c r="L1041" s="47"/>
      <c r="M1041" s="302"/>
      <c r="N1041" s="47"/>
      <c r="O1041" s="302"/>
    </row>
    <row r="1042" spans="1:15">
      <c r="A1042" s="59">
        <v>78</v>
      </c>
      <c r="B1042" s="59" t="s">
        <v>1425</v>
      </c>
      <c r="C1042" s="300" t="s">
        <v>1426</v>
      </c>
      <c r="D1042" s="86" t="s">
        <v>8</v>
      </c>
      <c r="E1042" s="296">
        <v>11682</v>
      </c>
      <c r="F1042" s="59">
        <v>3</v>
      </c>
      <c r="G1042" s="129">
        <f t="shared" si="33"/>
        <v>35046</v>
      </c>
      <c r="H1042" s="47"/>
      <c r="I1042" s="302"/>
      <c r="J1042" s="47"/>
      <c r="K1042" s="302"/>
      <c r="L1042" s="47"/>
      <c r="M1042" s="302"/>
      <c r="N1042" s="47"/>
      <c r="O1042" s="302"/>
    </row>
    <row r="1043" spans="1:15">
      <c r="A1043" s="59">
        <v>79</v>
      </c>
      <c r="B1043" s="59" t="s">
        <v>454</v>
      </c>
      <c r="C1043" s="300" t="s">
        <v>1427</v>
      </c>
      <c r="D1043" s="86" t="s">
        <v>8</v>
      </c>
      <c r="E1043" s="296">
        <v>8142</v>
      </c>
      <c r="F1043" s="59">
        <v>11</v>
      </c>
      <c r="G1043" s="129">
        <f t="shared" si="33"/>
        <v>89562</v>
      </c>
      <c r="H1043" s="47"/>
      <c r="I1043" s="302"/>
      <c r="J1043" s="47"/>
      <c r="K1043" s="302"/>
      <c r="L1043" s="47"/>
      <c r="M1043" s="302"/>
      <c r="N1043" s="47"/>
      <c r="O1043" s="302"/>
    </row>
    <row r="1044" spans="1:15">
      <c r="A1044" s="59">
        <v>80</v>
      </c>
      <c r="B1044" s="59" t="s">
        <v>1428</v>
      </c>
      <c r="C1044" s="300" t="s">
        <v>1429</v>
      </c>
      <c r="D1044" s="86" t="s">
        <v>8</v>
      </c>
      <c r="E1044" s="296">
        <v>1357</v>
      </c>
      <c r="F1044" s="59">
        <v>5</v>
      </c>
      <c r="G1044" s="129">
        <f t="shared" si="33"/>
        <v>6785</v>
      </c>
      <c r="H1044" s="47"/>
      <c r="I1044" s="302"/>
      <c r="J1044" s="47"/>
      <c r="K1044" s="302"/>
      <c r="L1044" s="47"/>
      <c r="M1044" s="302"/>
      <c r="N1044" s="47"/>
      <c r="O1044" s="302"/>
    </row>
    <row r="1045" spans="1:15">
      <c r="A1045" s="59">
        <v>81</v>
      </c>
      <c r="B1045" s="59" t="s">
        <v>561</v>
      </c>
      <c r="C1045" s="300" t="s">
        <v>1430</v>
      </c>
      <c r="D1045" s="86" t="s">
        <v>1431</v>
      </c>
      <c r="E1045" s="296">
        <v>1770</v>
      </c>
      <c r="F1045" s="59">
        <v>6</v>
      </c>
      <c r="G1045" s="129">
        <f t="shared" si="33"/>
        <v>10620</v>
      </c>
      <c r="H1045" s="47"/>
      <c r="I1045" s="302"/>
      <c r="J1045" s="47"/>
      <c r="K1045" s="302"/>
      <c r="L1045" s="47"/>
      <c r="M1045" s="302"/>
      <c r="N1045" s="47"/>
      <c r="O1045" s="302"/>
    </row>
    <row r="1046" spans="1:15" ht="15.75" customHeight="1">
      <c r="A1046" s="59">
        <v>82</v>
      </c>
      <c r="B1046" s="59" t="s">
        <v>1432</v>
      </c>
      <c r="C1046" s="300" t="s">
        <v>1433</v>
      </c>
      <c r="D1046" s="86" t="s">
        <v>8</v>
      </c>
      <c r="E1046" s="296">
        <v>472</v>
      </c>
      <c r="F1046" s="59">
        <v>12</v>
      </c>
      <c r="G1046" s="129">
        <f t="shared" si="33"/>
        <v>5664</v>
      </c>
      <c r="H1046" s="47"/>
      <c r="I1046" s="302"/>
      <c r="J1046" s="47"/>
      <c r="K1046" s="302"/>
      <c r="L1046" s="47"/>
      <c r="M1046" s="302"/>
      <c r="N1046" s="47"/>
      <c r="O1046" s="302"/>
    </row>
    <row r="1047" spans="1:15" ht="15.75" customHeight="1">
      <c r="A1047" s="59">
        <v>83</v>
      </c>
      <c r="B1047" s="59" t="s">
        <v>1428</v>
      </c>
      <c r="C1047" s="301" t="s">
        <v>1429</v>
      </c>
      <c r="D1047" s="86" t="s">
        <v>8</v>
      </c>
      <c r="E1047" s="296">
        <v>1298</v>
      </c>
      <c r="F1047" s="59">
        <v>36</v>
      </c>
      <c r="G1047" s="129">
        <f t="shared" si="33"/>
        <v>46728</v>
      </c>
      <c r="H1047" s="47"/>
      <c r="I1047" s="302"/>
      <c r="J1047" s="47"/>
      <c r="K1047" s="302"/>
      <c r="L1047" s="47"/>
      <c r="M1047" s="302"/>
      <c r="N1047" s="47"/>
      <c r="O1047" s="302"/>
    </row>
    <row r="1048" spans="1:15">
      <c r="A1048" s="59">
        <v>84</v>
      </c>
      <c r="B1048" s="59" t="s">
        <v>646</v>
      </c>
      <c r="C1048" s="300" t="s">
        <v>1434</v>
      </c>
      <c r="D1048" s="86" t="s">
        <v>8</v>
      </c>
      <c r="E1048" s="296">
        <v>942.82</v>
      </c>
      <c r="F1048" s="59">
        <v>7</v>
      </c>
      <c r="G1048" s="129">
        <f t="shared" si="33"/>
        <v>6599.7400000000007</v>
      </c>
      <c r="H1048" s="47"/>
      <c r="I1048" s="302"/>
      <c r="J1048" s="47"/>
      <c r="K1048" s="302"/>
      <c r="L1048" s="47"/>
      <c r="M1048" s="302"/>
      <c r="N1048" s="47"/>
      <c r="O1048" s="302"/>
    </row>
    <row r="1049" spans="1:15" ht="15.75" customHeight="1">
      <c r="A1049" s="59">
        <v>85</v>
      </c>
      <c r="B1049" s="59" t="s">
        <v>693</v>
      </c>
      <c r="C1049" s="300" t="s">
        <v>1435</v>
      </c>
      <c r="D1049" s="86" t="s">
        <v>8</v>
      </c>
      <c r="E1049" s="296">
        <v>2124</v>
      </c>
      <c r="F1049" s="59">
        <v>2</v>
      </c>
      <c r="G1049" s="129">
        <f t="shared" si="33"/>
        <v>4248</v>
      </c>
      <c r="H1049" s="47"/>
      <c r="I1049" s="302"/>
      <c r="J1049" s="47"/>
      <c r="K1049" s="302"/>
      <c r="L1049" s="47"/>
      <c r="M1049" s="302"/>
      <c r="N1049" s="47"/>
      <c r="O1049" s="302"/>
    </row>
    <row r="1050" spans="1:15">
      <c r="A1050" s="59">
        <v>86</v>
      </c>
      <c r="B1050" s="59" t="s">
        <v>1422</v>
      </c>
      <c r="C1050" s="301" t="s">
        <v>1436</v>
      </c>
      <c r="D1050" s="86" t="s">
        <v>8</v>
      </c>
      <c r="E1050" s="296">
        <v>1357</v>
      </c>
      <c r="F1050" s="59">
        <v>12</v>
      </c>
      <c r="G1050" s="129">
        <f t="shared" si="33"/>
        <v>16284</v>
      </c>
      <c r="H1050" s="47"/>
      <c r="I1050" s="302"/>
      <c r="J1050" s="47"/>
      <c r="K1050" s="302"/>
      <c r="L1050" s="47"/>
      <c r="M1050" s="302"/>
      <c r="N1050" s="47"/>
      <c r="O1050" s="302"/>
    </row>
    <row r="1051" spans="1:15">
      <c r="A1051" s="59">
        <v>87</v>
      </c>
      <c r="B1051" s="59" t="s">
        <v>233</v>
      </c>
      <c r="C1051" s="301" t="s">
        <v>1437</v>
      </c>
      <c r="D1051" s="86" t="s">
        <v>7</v>
      </c>
      <c r="E1051" s="305">
        <v>40000</v>
      </c>
      <c r="F1051" s="302">
        <v>21.5</v>
      </c>
      <c r="G1051" s="303">
        <f t="shared" si="33"/>
        <v>860000</v>
      </c>
      <c r="H1051" s="47"/>
      <c r="I1051" s="302"/>
      <c r="J1051" s="47"/>
      <c r="K1051" s="302"/>
      <c r="L1051" s="47"/>
      <c r="M1051" s="302"/>
      <c r="N1051" s="47"/>
      <c r="O1051" s="302"/>
    </row>
    <row r="1052" spans="1:15" ht="15.75" customHeight="1">
      <c r="A1052" s="59">
        <v>88</v>
      </c>
      <c r="B1052" s="59" t="s">
        <v>375</v>
      </c>
      <c r="C1052" s="301" t="s">
        <v>1438</v>
      </c>
      <c r="D1052" s="86" t="s">
        <v>593</v>
      </c>
      <c r="E1052" s="305">
        <v>100</v>
      </c>
      <c r="F1052" s="302">
        <v>430</v>
      </c>
      <c r="G1052" s="303">
        <f t="shared" si="33"/>
        <v>43000</v>
      </c>
      <c r="H1052" s="47"/>
      <c r="I1052" s="302"/>
      <c r="J1052" s="47"/>
      <c r="K1052" s="302"/>
      <c r="L1052" s="47"/>
      <c r="M1052" s="302"/>
      <c r="N1052" s="47"/>
      <c r="O1052" s="302"/>
    </row>
    <row r="1053" spans="1:15" ht="15.75" customHeight="1">
      <c r="A1053" s="59">
        <v>89</v>
      </c>
      <c r="B1053" s="59" t="s">
        <v>515</v>
      </c>
      <c r="C1053" s="301" t="s">
        <v>1439</v>
      </c>
      <c r="D1053" s="86" t="s">
        <v>593</v>
      </c>
      <c r="E1053" s="305">
        <v>34.72</v>
      </c>
      <c r="F1053" s="302">
        <v>500</v>
      </c>
      <c r="G1053" s="303">
        <f t="shared" si="33"/>
        <v>17360</v>
      </c>
      <c r="H1053" s="47"/>
      <c r="I1053" s="302"/>
      <c r="J1053" s="47"/>
      <c r="K1053" s="302"/>
      <c r="L1053" s="47"/>
      <c r="M1053" s="302"/>
      <c r="N1053" s="47"/>
      <c r="O1053" s="302"/>
    </row>
    <row r="1054" spans="1:15" ht="15.75" customHeight="1">
      <c r="A1054" s="59">
        <v>90</v>
      </c>
      <c r="B1054" s="59" t="s">
        <v>233</v>
      </c>
      <c r="C1054" s="60" t="s">
        <v>1440</v>
      </c>
      <c r="D1054" s="86" t="s">
        <v>7</v>
      </c>
      <c r="E1054" s="305">
        <v>63130</v>
      </c>
      <c r="F1054" s="302">
        <v>25.559799999999999</v>
      </c>
      <c r="G1054" s="303">
        <f t="shared" si="33"/>
        <v>1613590.1739999999</v>
      </c>
      <c r="H1054" s="47"/>
      <c r="I1054" s="302"/>
      <c r="J1054" s="47"/>
      <c r="K1054" s="302"/>
      <c r="L1054" s="47"/>
      <c r="M1054" s="302"/>
      <c r="N1054" s="47"/>
      <c r="O1054" s="302"/>
    </row>
    <row r="1055" spans="1:15" ht="42.75" customHeight="1">
      <c r="A1055" s="59">
        <v>91</v>
      </c>
      <c r="B1055" s="59" t="s">
        <v>375</v>
      </c>
      <c r="C1055" s="301" t="s">
        <v>1441</v>
      </c>
      <c r="D1055" s="86" t="s">
        <v>574</v>
      </c>
      <c r="E1055" s="305">
        <v>136331.29999999999</v>
      </c>
      <c r="F1055" s="302">
        <v>2.9529999999999998</v>
      </c>
      <c r="G1055" s="303">
        <f t="shared" si="33"/>
        <v>402586.32889999996</v>
      </c>
      <c r="H1055" s="47"/>
      <c r="I1055" s="302"/>
      <c r="J1055" s="47"/>
      <c r="K1055" s="302"/>
      <c r="L1055" s="47"/>
      <c r="M1055" s="302"/>
      <c r="N1055" s="47"/>
      <c r="O1055" s="302"/>
    </row>
    <row r="1056" spans="1:15" ht="15.75" customHeight="1">
      <c r="A1056" s="59">
        <v>92</v>
      </c>
      <c r="B1056" s="59" t="s">
        <v>515</v>
      </c>
      <c r="C1056" s="301" t="s">
        <v>1442</v>
      </c>
      <c r="D1056" s="86" t="s">
        <v>574</v>
      </c>
      <c r="E1056" s="305">
        <v>46588.76</v>
      </c>
      <c r="F1056" s="302">
        <v>0.255</v>
      </c>
      <c r="G1056" s="303">
        <f t="shared" si="33"/>
        <v>11880.133800000001</v>
      </c>
      <c r="H1056" s="47"/>
      <c r="I1056" s="302"/>
      <c r="J1056" s="47"/>
      <c r="K1056" s="302"/>
      <c r="L1056" s="47"/>
      <c r="M1056" s="302"/>
      <c r="N1056" s="47"/>
      <c r="O1056" s="302"/>
    </row>
    <row r="1057" spans="1:15" ht="15.75" customHeight="1">
      <c r="A1057" s="59">
        <v>93</v>
      </c>
      <c r="B1057" s="59" t="s">
        <v>507</v>
      </c>
      <c r="C1057" s="301" t="s">
        <v>1443</v>
      </c>
      <c r="D1057" s="86" t="s">
        <v>10</v>
      </c>
      <c r="E1057" s="305">
        <v>1677.8302000000001</v>
      </c>
      <c r="F1057" s="302">
        <v>30</v>
      </c>
      <c r="G1057" s="303">
        <f t="shared" si="33"/>
        <v>50334.906000000003</v>
      </c>
      <c r="H1057" s="47"/>
      <c r="I1057" s="302"/>
      <c r="J1057" s="47"/>
      <c r="K1057" s="302"/>
      <c r="L1057" s="47"/>
      <c r="M1057" s="302"/>
      <c r="N1057" s="47"/>
      <c r="O1057" s="302"/>
    </row>
    <row r="1058" spans="1:15" ht="15.75" customHeight="1">
      <c r="A1058" s="59">
        <v>94</v>
      </c>
      <c r="B1058" s="59" t="s">
        <v>507</v>
      </c>
      <c r="C1058" s="301" t="s">
        <v>1444</v>
      </c>
      <c r="D1058" s="86" t="s">
        <v>10</v>
      </c>
      <c r="E1058" s="305">
        <v>1253.1600000000001</v>
      </c>
      <c r="F1058" s="302">
        <v>7</v>
      </c>
      <c r="G1058" s="303">
        <f t="shared" si="33"/>
        <v>8772.1200000000008</v>
      </c>
      <c r="H1058" s="47"/>
      <c r="I1058" s="302"/>
      <c r="J1058" s="47"/>
      <c r="K1058" s="302"/>
      <c r="L1058" s="47"/>
      <c r="M1058" s="302"/>
      <c r="N1058" s="47"/>
      <c r="O1058" s="302"/>
    </row>
    <row r="1059" spans="1:15" ht="15.75" customHeight="1">
      <c r="A1059" s="59">
        <v>95</v>
      </c>
      <c r="B1059" s="59" t="s">
        <v>1445</v>
      </c>
      <c r="C1059" s="301" t="s">
        <v>231</v>
      </c>
      <c r="D1059" s="86" t="s">
        <v>53</v>
      </c>
      <c r="E1059" s="305">
        <v>387.04</v>
      </c>
      <c r="F1059" s="302">
        <v>280</v>
      </c>
      <c r="G1059" s="303">
        <f t="shared" si="33"/>
        <v>108371.20000000001</v>
      </c>
      <c r="H1059" s="47"/>
      <c r="I1059" s="302"/>
      <c r="J1059" s="47"/>
      <c r="K1059" s="302"/>
      <c r="L1059" s="47"/>
      <c r="M1059" s="302"/>
      <c r="N1059" s="47"/>
      <c r="O1059" s="302"/>
    </row>
    <row r="1060" spans="1:15">
      <c r="A1060" s="59">
        <v>96</v>
      </c>
      <c r="B1060" s="59" t="s">
        <v>558</v>
      </c>
      <c r="C1060" s="301" t="s">
        <v>1446</v>
      </c>
      <c r="D1060" s="86" t="s">
        <v>10</v>
      </c>
      <c r="E1060" s="305">
        <v>919.55039999999997</v>
      </c>
      <c r="F1060" s="302">
        <v>39</v>
      </c>
      <c r="G1060" s="303">
        <f t="shared" si="33"/>
        <v>35862.465599999996</v>
      </c>
      <c r="H1060" s="47"/>
      <c r="I1060" s="302"/>
      <c r="J1060" s="47"/>
      <c r="K1060" s="302"/>
      <c r="L1060" s="47"/>
      <c r="M1060" s="302"/>
      <c r="N1060" s="47"/>
      <c r="O1060" s="302"/>
    </row>
    <row r="1061" spans="1:15" ht="15.75" customHeight="1">
      <c r="A1061" s="59">
        <v>97</v>
      </c>
      <c r="B1061" s="59" t="s">
        <v>1447</v>
      </c>
      <c r="C1061" s="301" t="s">
        <v>1448</v>
      </c>
      <c r="D1061" s="86" t="s">
        <v>10</v>
      </c>
      <c r="E1061" s="305">
        <v>6484.1</v>
      </c>
      <c r="F1061" s="302">
        <v>10</v>
      </c>
      <c r="G1061" s="303">
        <f t="shared" si="33"/>
        <v>64841</v>
      </c>
      <c r="H1061" s="47"/>
      <c r="I1061" s="302"/>
      <c r="J1061" s="47"/>
      <c r="K1061" s="302"/>
      <c r="L1061" s="47"/>
      <c r="M1061" s="302"/>
      <c r="N1061" s="47"/>
      <c r="O1061" s="302"/>
    </row>
    <row r="1062" spans="1:15" ht="15">
      <c r="C1062" s="243" t="s">
        <v>1449</v>
      </c>
      <c r="D1062" s="86"/>
      <c r="E1062" s="86"/>
      <c r="F1062" s="129"/>
      <c r="G1062" s="383">
        <f t="shared" ref="G1062" si="34">SUM(G965:G1061)</f>
        <v>6423776.2583000008</v>
      </c>
      <c r="H1062" s="193"/>
      <c r="I1062" s="280">
        <f>SUM(I965:I1061)</f>
        <v>127100</v>
      </c>
      <c r="J1062" s="193"/>
      <c r="K1062" s="313">
        <f>SUM(K965:K1061)</f>
        <v>82800</v>
      </c>
      <c r="L1062" s="193"/>
      <c r="M1062" s="280">
        <f>SUM(M965:M1061)</f>
        <v>291300</v>
      </c>
      <c r="N1062" s="193"/>
      <c r="O1062" s="280">
        <f>SUM(O965:O1061)</f>
        <v>520000</v>
      </c>
    </row>
    <row r="1063" spans="1:15" ht="15">
      <c r="A1063" s="59"/>
      <c r="B1063" s="59"/>
      <c r="C1063" s="353"/>
      <c r="D1063" s="353"/>
      <c r="E1063" s="355"/>
    </row>
    <row r="1064" spans="1:15" ht="15">
      <c r="A1064" s="282" t="s">
        <v>1299</v>
      </c>
      <c r="B1064" s="282"/>
      <c r="C1064" s="282"/>
      <c r="D1064" s="282"/>
      <c r="E1064" s="282"/>
      <c r="F1064" s="282"/>
      <c r="G1064" s="282"/>
      <c r="H1064" s="282"/>
      <c r="I1064" s="282"/>
      <c r="J1064" s="282"/>
      <c r="K1064" s="282"/>
    </row>
    <row r="1065" spans="1:15" ht="15">
      <c r="A1065" s="282" t="s">
        <v>1300</v>
      </c>
      <c r="B1065" s="282"/>
      <c r="C1065" s="282"/>
      <c r="D1065" s="282"/>
      <c r="E1065" s="282"/>
      <c r="F1065" s="282"/>
      <c r="G1065" s="282"/>
      <c r="H1065" s="282"/>
      <c r="I1065" s="282"/>
      <c r="J1065" s="282"/>
      <c r="K1065" s="282"/>
    </row>
    <row r="1066" spans="1:15" ht="15">
      <c r="A1066" s="282" t="s">
        <v>1450</v>
      </c>
      <c r="B1066" s="282"/>
      <c r="C1066" s="282"/>
      <c r="D1066" s="282"/>
      <c r="E1066" s="282"/>
      <c r="F1066" s="282"/>
      <c r="G1066" s="282"/>
      <c r="H1066" s="282"/>
      <c r="I1066" s="282"/>
      <c r="J1066" s="282"/>
      <c r="K1066" s="282"/>
    </row>
    <row r="1067" spans="1:15" ht="15">
      <c r="A1067" s="356" t="s">
        <v>1302</v>
      </c>
      <c r="B1067" s="357"/>
      <c r="C1067" s="357"/>
      <c r="D1067" s="357"/>
      <c r="E1067" s="358"/>
      <c r="F1067" s="282"/>
      <c r="G1067" s="282"/>
      <c r="H1067" s="282"/>
      <c r="I1067" s="282"/>
      <c r="J1067" s="282"/>
      <c r="K1067" s="282"/>
    </row>
    <row r="1068" spans="1:15" ht="15" customHeight="1">
      <c r="A1068" s="359" t="s">
        <v>1303</v>
      </c>
      <c r="B1068" s="359"/>
      <c r="C1068" s="359"/>
      <c r="D1068" s="350" t="s">
        <v>1304</v>
      </c>
      <c r="E1068" s="350"/>
      <c r="F1068" s="396" t="s">
        <v>2</v>
      </c>
      <c r="G1068" s="397"/>
      <c r="H1068" s="396" t="s">
        <v>3</v>
      </c>
      <c r="I1068" s="397"/>
      <c r="J1068" s="396" t="s">
        <v>4</v>
      </c>
      <c r="K1068" s="397"/>
      <c r="L1068" s="393" t="s">
        <v>5</v>
      </c>
      <c r="M1068" s="393"/>
      <c r="N1068" s="392" t="s">
        <v>6</v>
      </c>
      <c r="O1068" s="392"/>
    </row>
    <row r="1069" spans="1:15" ht="15" customHeight="1">
      <c r="A1069" s="404" t="s">
        <v>1305</v>
      </c>
      <c r="B1069" s="404" t="s">
        <v>1306</v>
      </c>
      <c r="C1069" s="417" t="s">
        <v>1307</v>
      </c>
      <c r="D1069" s="417" t="s">
        <v>1</v>
      </c>
      <c r="E1069" s="404" t="s">
        <v>1308</v>
      </c>
      <c r="F1069" s="398"/>
      <c r="G1069" s="399"/>
      <c r="H1069" s="398"/>
      <c r="I1069" s="399"/>
      <c r="J1069" s="398"/>
      <c r="K1069" s="399"/>
      <c r="L1069" s="393"/>
      <c r="M1069" s="393"/>
      <c r="N1069" s="392"/>
      <c r="O1069" s="392"/>
    </row>
    <row r="1070" spans="1:15" ht="15" customHeight="1">
      <c r="A1070" s="405"/>
      <c r="B1070" s="405"/>
      <c r="C1070" s="418"/>
      <c r="D1070" s="418"/>
      <c r="E1070" s="405"/>
      <c r="F1070" s="2" t="s">
        <v>828</v>
      </c>
      <c r="G1070" s="283" t="s">
        <v>1309</v>
      </c>
      <c r="H1070" s="2" t="s">
        <v>828</v>
      </c>
      <c r="I1070" s="283" t="s">
        <v>1309</v>
      </c>
      <c r="J1070" s="2" t="s">
        <v>828</v>
      </c>
      <c r="K1070" s="283" t="s">
        <v>1309</v>
      </c>
      <c r="L1070" s="2" t="s">
        <v>828</v>
      </c>
      <c r="M1070" s="283" t="s">
        <v>1309</v>
      </c>
      <c r="N1070" s="2" t="s">
        <v>828</v>
      </c>
      <c r="O1070" s="283" t="s">
        <v>1309</v>
      </c>
    </row>
    <row r="1071" spans="1:15" ht="28.5">
      <c r="A1071" s="59">
        <v>1</v>
      </c>
      <c r="B1071" s="59" t="s">
        <v>664</v>
      </c>
      <c r="C1071" s="61" t="s">
        <v>1451</v>
      </c>
      <c r="D1071" s="86" t="s">
        <v>10</v>
      </c>
      <c r="E1071" s="296">
        <v>80240</v>
      </c>
      <c r="F1071" s="59">
        <v>6</v>
      </c>
      <c r="G1071" s="129">
        <f t="shared" ref="G1071:G1096" si="35">E1071*F1071</f>
        <v>481440</v>
      </c>
      <c r="H1071" s="47"/>
      <c r="I1071" s="59"/>
      <c r="J1071" s="47"/>
      <c r="K1071" s="59"/>
      <c r="L1071" s="47"/>
      <c r="M1071" s="59"/>
      <c r="N1071" s="47"/>
      <c r="O1071" s="59"/>
    </row>
    <row r="1072" spans="1:15">
      <c r="A1072" s="59">
        <v>2</v>
      </c>
      <c r="B1072" s="59" t="s">
        <v>558</v>
      </c>
      <c r="C1072" s="301" t="s">
        <v>1452</v>
      </c>
      <c r="D1072" s="86" t="s">
        <v>8</v>
      </c>
      <c r="E1072" s="296">
        <v>849.6</v>
      </c>
      <c r="F1072" s="59">
        <v>120</v>
      </c>
      <c r="G1072" s="129">
        <f t="shared" si="35"/>
        <v>101952</v>
      </c>
      <c r="H1072" s="47"/>
      <c r="I1072" s="59"/>
      <c r="J1072" s="47"/>
      <c r="K1072" s="59"/>
      <c r="L1072" s="47"/>
      <c r="M1072" s="59"/>
      <c r="N1072" s="47"/>
      <c r="O1072" s="59"/>
    </row>
    <row r="1073" spans="1:15" ht="28.5">
      <c r="A1073" s="59">
        <v>3</v>
      </c>
      <c r="B1073" s="59" t="s">
        <v>487</v>
      </c>
      <c r="C1073" s="301" t="s">
        <v>1419</v>
      </c>
      <c r="D1073" s="86" t="s">
        <v>8</v>
      </c>
      <c r="E1073" s="296">
        <v>7434</v>
      </c>
      <c r="F1073" s="59">
        <v>24</v>
      </c>
      <c r="G1073" s="129">
        <f t="shared" si="35"/>
        <v>178416</v>
      </c>
      <c r="H1073" s="47"/>
      <c r="I1073" s="59"/>
      <c r="J1073" s="47"/>
      <c r="K1073" s="59"/>
      <c r="L1073" s="47"/>
      <c r="M1073" s="59"/>
      <c r="N1073" s="47"/>
      <c r="O1073" s="59"/>
    </row>
    <row r="1074" spans="1:15">
      <c r="A1074" s="59">
        <v>4</v>
      </c>
      <c r="B1074" s="59" t="s">
        <v>507</v>
      </c>
      <c r="C1074" s="301" t="s">
        <v>1453</v>
      </c>
      <c r="D1074" s="86" t="s">
        <v>8</v>
      </c>
      <c r="E1074" s="296">
        <v>1593</v>
      </c>
      <c r="F1074" s="59">
        <v>24</v>
      </c>
      <c r="G1074" s="129">
        <f t="shared" si="35"/>
        <v>38232</v>
      </c>
      <c r="H1074" s="47"/>
      <c r="I1074" s="59"/>
      <c r="J1074" s="47"/>
      <c r="K1074" s="59"/>
      <c r="L1074" s="47"/>
      <c r="M1074" s="59"/>
      <c r="N1074" s="47"/>
      <c r="O1074" s="59"/>
    </row>
    <row r="1075" spans="1:15">
      <c r="A1075" s="59">
        <v>5</v>
      </c>
      <c r="B1075" s="59" t="s">
        <v>561</v>
      </c>
      <c r="C1075" s="301" t="s">
        <v>1454</v>
      </c>
      <c r="D1075" s="86" t="s">
        <v>8</v>
      </c>
      <c r="E1075" s="296">
        <v>1486.8</v>
      </c>
      <c r="F1075" s="59">
        <v>2</v>
      </c>
      <c r="G1075" s="129">
        <f t="shared" si="35"/>
        <v>2973.6</v>
      </c>
      <c r="H1075" s="47"/>
      <c r="I1075" s="59"/>
      <c r="J1075" s="47"/>
      <c r="K1075" s="59"/>
      <c r="L1075" s="47"/>
      <c r="M1075" s="59"/>
      <c r="N1075" s="47"/>
      <c r="O1075" s="59"/>
    </row>
    <row r="1076" spans="1:15">
      <c r="A1076" s="59">
        <v>6</v>
      </c>
      <c r="B1076" s="59" t="s">
        <v>507</v>
      </c>
      <c r="C1076" s="301" t="s">
        <v>1455</v>
      </c>
      <c r="D1076" s="86" t="s">
        <v>8</v>
      </c>
      <c r="E1076" s="296">
        <v>1593</v>
      </c>
      <c r="F1076" s="59">
        <v>2</v>
      </c>
      <c r="G1076" s="129">
        <f t="shared" si="35"/>
        <v>3186</v>
      </c>
      <c r="H1076" s="47"/>
      <c r="I1076" s="59"/>
      <c r="J1076" s="47"/>
      <c r="K1076" s="59"/>
      <c r="L1076" s="47"/>
      <c r="M1076" s="59"/>
      <c r="N1076" s="47"/>
      <c r="O1076" s="59"/>
    </row>
    <row r="1077" spans="1:15" ht="28.5">
      <c r="A1077" s="59">
        <v>7</v>
      </c>
      <c r="B1077" s="59" t="s">
        <v>464</v>
      </c>
      <c r="C1077" s="301" t="s">
        <v>1456</v>
      </c>
      <c r="D1077" s="86" t="s">
        <v>8</v>
      </c>
      <c r="E1077" s="296">
        <v>1911.6</v>
      </c>
      <c r="F1077" s="59">
        <v>2</v>
      </c>
      <c r="G1077" s="129">
        <f t="shared" si="35"/>
        <v>3823.2</v>
      </c>
      <c r="H1077" s="47"/>
      <c r="I1077" s="59"/>
      <c r="J1077" s="47"/>
      <c r="K1077" s="59"/>
      <c r="L1077" s="47"/>
      <c r="M1077" s="59"/>
      <c r="N1077" s="47"/>
      <c r="O1077" s="59"/>
    </row>
    <row r="1078" spans="1:15">
      <c r="A1078" s="59">
        <v>8</v>
      </c>
      <c r="B1078" s="59" t="s">
        <v>380</v>
      </c>
      <c r="C1078" s="301" t="s">
        <v>1457</v>
      </c>
      <c r="D1078" s="86" t="s">
        <v>8</v>
      </c>
      <c r="E1078" s="296">
        <v>1593</v>
      </c>
      <c r="F1078" s="59">
        <v>2</v>
      </c>
      <c r="G1078" s="129">
        <f t="shared" si="35"/>
        <v>3186</v>
      </c>
      <c r="H1078" s="47"/>
      <c r="I1078" s="59"/>
      <c r="J1078" s="47"/>
      <c r="K1078" s="59"/>
      <c r="L1078" s="47"/>
      <c r="M1078" s="59"/>
      <c r="N1078" s="47"/>
      <c r="O1078" s="59"/>
    </row>
    <row r="1079" spans="1:15">
      <c r="A1079" s="59">
        <v>9</v>
      </c>
      <c r="B1079" s="59" t="s">
        <v>561</v>
      </c>
      <c r="C1079" s="301" t="s">
        <v>1458</v>
      </c>
      <c r="D1079" s="86" t="s">
        <v>8</v>
      </c>
      <c r="E1079" s="296">
        <v>5841</v>
      </c>
      <c r="F1079" s="59">
        <v>4</v>
      </c>
      <c r="G1079" s="129">
        <f t="shared" si="35"/>
        <v>23364</v>
      </c>
      <c r="H1079" s="47"/>
      <c r="I1079" s="59"/>
      <c r="J1079" s="47"/>
      <c r="K1079" s="59"/>
      <c r="L1079" s="47"/>
      <c r="M1079" s="59"/>
      <c r="N1079" s="47"/>
      <c r="O1079" s="59"/>
    </row>
    <row r="1080" spans="1:15">
      <c r="A1080" s="59">
        <v>10</v>
      </c>
      <c r="B1080" s="59" t="s">
        <v>475</v>
      </c>
      <c r="C1080" s="301" t="s">
        <v>1459</v>
      </c>
      <c r="D1080" s="86" t="s">
        <v>8</v>
      </c>
      <c r="E1080" s="296">
        <v>2655</v>
      </c>
      <c r="F1080" s="59">
        <v>4</v>
      </c>
      <c r="G1080" s="129">
        <f t="shared" si="35"/>
        <v>10620</v>
      </c>
      <c r="H1080" s="47"/>
      <c r="I1080" s="59"/>
      <c r="J1080" s="47"/>
      <c r="K1080" s="59"/>
      <c r="L1080" s="47"/>
      <c r="M1080" s="59"/>
      <c r="N1080" s="47"/>
      <c r="O1080" s="59"/>
    </row>
    <row r="1081" spans="1:15">
      <c r="A1081" s="59">
        <v>11</v>
      </c>
      <c r="B1081" s="59" t="s">
        <v>1422</v>
      </c>
      <c r="C1081" s="301" t="s">
        <v>1436</v>
      </c>
      <c r="D1081" s="86" t="s">
        <v>8</v>
      </c>
      <c r="E1081" s="296">
        <v>3186</v>
      </c>
      <c r="F1081" s="59">
        <v>2</v>
      </c>
      <c r="G1081" s="129">
        <f t="shared" si="35"/>
        <v>6372</v>
      </c>
      <c r="H1081" s="47"/>
      <c r="I1081" s="59"/>
      <c r="J1081" s="47"/>
      <c r="K1081" s="59"/>
      <c r="L1081" s="47"/>
      <c r="M1081" s="59"/>
      <c r="N1081" s="47"/>
      <c r="O1081" s="59"/>
    </row>
    <row r="1082" spans="1:15">
      <c r="A1082" s="59">
        <v>12</v>
      </c>
      <c r="B1082" s="59" t="s">
        <v>1460</v>
      </c>
      <c r="C1082" s="301" t="s">
        <v>1461</v>
      </c>
      <c r="D1082" s="86" t="s">
        <v>8</v>
      </c>
      <c r="E1082" s="296">
        <v>637.20000000000005</v>
      </c>
      <c r="F1082" s="59">
        <v>1</v>
      </c>
      <c r="G1082" s="129">
        <f t="shared" si="35"/>
        <v>637.20000000000005</v>
      </c>
      <c r="H1082" s="47"/>
      <c r="I1082" s="59"/>
      <c r="J1082" s="47"/>
      <c r="K1082" s="59"/>
      <c r="L1082" s="47"/>
      <c r="M1082" s="59"/>
      <c r="N1082" s="47"/>
      <c r="O1082" s="59"/>
    </row>
    <row r="1083" spans="1:15">
      <c r="A1083" s="59">
        <v>13</v>
      </c>
      <c r="B1083" s="59" t="s">
        <v>1462</v>
      </c>
      <c r="C1083" s="301" t="s">
        <v>1463</v>
      </c>
      <c r="D1083" s="86" t="s">
        <v>8</v>
      </c>
      <c r="E1083" s="296">
        <v>531</v>
      </c>
      <c r="F1083" s="59">
        <v>1</v>
      </c>
      <c r="G1083" s="129">
        <f t="shared" si="35"/>
        <v>531</v>
      </c>
      <c r="H1083" s="47"/>
      <c r="I1083" s="59"/>
      <c r="J1083" s="47"/>
      <c r="K1083" s="59"/>
      <c r="L1083" s="47"/>
      <c r="M1083" s="59"/>
      <c r="N1083" s="47"/>
      <c r="O1083" s="59"/>
    </row>
    <row r="1084" spans="1:15">
      <c r="A1084" s="59">
        <v>14</v>
      </c>
      <c r="B1084" s="59" t="s">
        <v>1464</v>
      </c>
      <c r="C1084" s="301" t="s">
        <v>1465</v>
      </c>
      <c r="D1084" s="86" t="s">
        <v>8</v>
      </c>
      <c r="E1084" s="296">
        <v>531</v>
      </c>
      <c r="F1084" s="59">
        <v>1</v>
      </c>
      <c r="G1084" s="129">
        <f t="shared" si="35"/>
        <v>531</v>
      </c>
      <c r="H1084" s="47"/>
      <c r="I1084" s="59"/>
      <c r="J1084" s="47"/>
      <c r="K1084" s="59"/>
      <c r="L1084" s="47"/>
      <c r="M1084" s="59"/>
      <c r="N1084" s="47"/>
      <c r="O1084" s="59"/>
    </row>
    <row r="1085" spans="1:15">
      <c r="A1085" s="59">
        <v>15</v>
      </c>
      <c r="B1085" s="59" t="s">
        <v>1466</v>
      </c>
      <c r="C1085" s="301" t="s">
        <v>1467</v>
      </c>
      <c r="D1085" s="86" t="s">
        <v>1468</v>
      </c>
      <c r="E1085" s="296">
        <v>5310</v>
      </c>
      <c r="F1085" s="59">
        <v>1</v>
      </c>
      <c r="G1085" s="129">
        <f t="shared" si="35"/>
        <v>5310</v>
      </c>
      <c r="H1085" s="47"/>
      <c r="I1085" s="59"/>
      <c r="J1085" s="47"/>
      <c r="K1085" s="59"/>
      <c r="L1085" s="47"/>
      <c r="M1085" s="59"/>
      <c r="N1085" s="47"/>
      <c r="O1085" s="59"/>
    </row>
    <row r="1086" spans="1:15">
      <c r="A1086" s="59">
        <v>16</v>
      </c>
      <c r="B1086" s="59" t="s">
        <v>1469</v>
      </c>
      <c r="C1086" s="301" t="s">
        <v>1470</v>
      </c>
      <c r="D1086" s="86" t="s">
        <v>1468</v>
      </c>
      <c r="E1086" s="296">
        <v>5310</v>
      </c>
      <c r="F1086" s="59">
        <v>1</v>
      </c>
      <c r="G1086" s="129">
        <f t="shared" si="35"/>
        <v>5310</v>
      </c>
      <c r="H1086" s="47"/>
      <c r="I1086" s="59"/>
      <c r="J1086" s="47"/>
      <c r="K1086" s="59"/>
      <c r="L1086" s="47"/>
      <c r="M1086" s="59"/>
      <c r="N1086" s="47"/>
      <c r="O1086" s="59"/>
    </row>
    <row r="1087" spans="1:15">
      <c r="A1087" s="59">
        <v>17</v>
      </c>
      <c r="B1087" s="59" t="s">
        <v>1471</v>
      </c>
      <c r="C1087" s="301" t="s">
        <v>1472</v>
      </c>
      <c r="D1087" s="86" t="s">
        <v>8</v>
      </c>
      <c r="E1087" s="296">
        <v>531</v>
      </c>
      <c r="F1087" s="59">
        <v>6</v>
      </c>
      <c r="G1087" s="129">
        <f t="shared" si="35"/>
        <v>3186</v>
      </c>
      <c r="H1087" s="47"/>
      <c r="I1087" s="59"/>
      <c r="J1087" s="47"/>
      <c r="K1087" s="59"/>
      <c r="L1087" s="47"/>
      <c r="M1087" s="59"/>
      <c r="N1087" s="47"/>
      <c r="O1087" s="59"/>
    </row>
    <row r="1088" spans="1:15" ht="28.5">
      <c r="A1088" s="59">
        <v>18</v>
      </c>
      <c r="B1088" s="59" t="s">
        <v>1473</v>
      </c>
      <c r="C1088" s="301" t="s">
        <v>1474</v>
      </c>
      <c r="D1088" s="86" t="s">
        <v>10</v>
      </c>
      <c r="E1088" s="305">
        <v>1</v>
      </c>
      <c r="F1088" s="302">
        <v>1227200</v>
      </c>
      <c r="G1088" s="303">
        <f t="shared" si="35"/>
        <v>1227200</v>
      </c>
      <c r="H1088" s="47"/>
      <c r="I1088" s="59"/>
      <c r="J1088" s="47"/>
      <c r="K1088" s="302"/>
      <c r="L1088" s="47"/>
      <c r="M1088" s="302"/>
      <c r="N1088" s="47"/>
      <c r="O1088" s="302"/>
    </row>
    <row r="1089" spans="1:15">
      <c r="A1089" s="59">
        <v>19</v>
      </c>
      <c r="B1089" s="59" t="s">
        <v>1475</v>
      </c>
      <c r="C1089" s="306" t="s">
        <v>1476</v>
      </c>
      <c r="D1089" s="86" t="s">
        <v>7</v>
      </c>
      <c r="E1089" s="305">
        <v>0.25</v>
      </c>
      <c r="F1089" s="302">
        <v>194700</v>
      </c>
      <c r="G1089" s="303">
        <f t="shared" si="35"/>
        <v>48675</v>
      </c>
      <c r="H1089" s="47"/>
      <c r="I1089" s="59"/>
      <c r="J1089" s="47"/>
      <c r="K1089" s="302"/>
      <c r="L1089" s="47"/>
      <c r="M1089" s="302"/>
      <c r="N1089" s="47"/>
      <c r="O1089" s="302"/>
    </row>
    <row r="1090" spans="1:15">
      <c r="A1090" s="59">
        <v>20</v>
      </c>
      <c r="B1090" s="59" t="s">
        <v>1477</v>
      </c>
      <c r="C1090" s="307" t="s">
        <v>1478</v>
      </c>
      <c r="D1090" s="86" t="s">
        <v>10</v>
      </c>
      <c r="E1090" s="305">
        <v>9</v>
      </c>
      <c r="F1090" s="302">
        <v>9767.7800000000007</v>
      </c>
      <c r="G1090" s="303">
        <f t="shared" si="35"/>
        <v>87910.02</v>
      </c>
      <c r="H1090" s="47"/>
      <c r="I1090" s="59"/>
      <c r="J1090" s="47"/>
      <c r="K1090" s="302"/>
      <c r="L1090" s="47"/>
      <c r="M1090" s="302"/>
      <c r="N1090" s="47"/>
      <c r="O1090" s="302"/>
    </row>
    <row r="1091" spans="1:15">
      <c r="A1091" s="59">
        <v>21</v>
      </c>
      <c r="B1091" s="59" t="s">
        <v>1479</v>
      </c>
      <c r="C1091" s="307" t="s">
        <v>1480</v>
      </c>
      <c r="D1091" s="86" t="s">
        <v>10</v>
      </c>
      <c r="E1091" s="305">
        <v>16</v>
      </c>
      <c r="F1091" s="302">
        <v>3960.38</v>
      </c>
      <c r="G1091" s="303">
        <f t="shared" si="35"/>
        <v>63366.080000000002</v>
      </c>
      <c r="H1091" s="47"/>
      <c r="I1091" s="59"/>
      <c r="J1091" s="47"/>
      <c r="K1091" s="302"/>
      <c r="L1091" s="47"/>
      <c r="M1091" s="302"/>
      <c r="N1091" s="47"/>
      <c r="O1091" s="302"/>
    </row>
    <row r="1092" spans="1:15">
      <c r="A1092" s="59">
        <v>22</v>
      </c>
      <c r="B1092" s="59" t="s">
        <v>1481</v>
      </c>
      <c r="C1092" s="301" t="s">
        <v>1482</v>
      </c>
      <c r="D1092" s="86" t="s">
        <v>10</v>
      </c>
      <c r="E1092" s="305">
        <v>6</v>
      </c>
      <c r="F1092" s="302">
        <v>3795.66</v>
      </c>
      <c r="G1092" s="303">
        <f t="shared" si="35"/>
        <v>22773.96</v>
      </c>
      <c r="H1092" s="47"/>
      <c r="I1092" s="59"/>
      <c r="J1092" s="47"/>
      <c r="K1092" s="302"/>
      <c r="L1092" s="47"/>
      <c r="M1092" s="302"/>
      <c r="N1092" s="47"/>
      <c r="O1092" s="302"/>
    </row>
    <row r="1093" spans="1:15">
      <c r="A1093" s="59">
        <v>23</v>
      </c>
      <c r="B1093" s="59" t="s">
        <v>1483</v>
      </c>
      <c r="C1093" s="308" t="s">
        <v>1484</v>
      </c>
      <c r="D1093" s="86" t="s">
        <v>7</v>
      </c>
      <c r="E1093" s="305">
        <v>1</v>
      </c>
      <c r="F1093" s="302">
        <v>150450</v>
      </c>
      <c r="G1093" s="303">
        <f t="shared" si="35"/>
        <v>150450</v>
      </c>
      <c r="H1093" s="47"/>
      <c r="I1093" s="59"/>
      <c r="J1093" s="47"/>
      <c r="K1093" s="302"/>
      <c r="L1093" s="47"/>
      <c r="M1093" s="302"/>
      <c r="N1093" s="47"/>
      <c r="O1093" s="302"/>
    </row>
    <row r="1094" spans="1:15">
      <c r="A1094" s="59">
        <v>24</v>
      </c>
      <c r="B1094" s="59" t="s">
        <v>605</v>
      </c>
      <c r="C1094" s="308" t="s">
        <v>1485</v>
      </c>
      <c r="D1094" s="86" t="s">
        <v>10</v>
      </c>
      <c r="E1094" s="305">
        <v>9</v>
      </c>
      <c r="F1094" s="302">
        <v>1743.77</v>
      </c>
      <c r="G1094" s="303">
        <f t="shared" si="35"/>
        <v>15693.93</v>
      </c>
      <c r="H1094" s="47"/>
      <c r="I1094" s="59"/>
      <c r="J1094" s="47"/>
      <c r="K1094" s="302"/>
      <c r="L1094" s="47"/>
      <c r="M1094" s="302"/>
      <c r="N1094" s="47"/>
      <c r="O1094" s="302"/>
    </row>
    <row r="1095" spans="1:15">
      <c r="A1095" s="59">
        <v>25</v>
      </c>
      <c r="B1095" s="59" t="s">
        <v>1341</v>
      </c>
      <c r="C1095" s="308" t="s">
        <v>1486</v>
      </c>
      <c r="D1095" s="86" t="s">
        <v>10</v>
      </c>
      <c r="E1095" s="305">
        <v>3</v>
      </c>
      <c r="F1095" s="302">
        <v>339840</v>
      </c>
      <c r="G1095" s="303">
        <f t="shared" si="35"/>
        <v>1019520</v>
      </c>
      <c r="H1095" s="47"/>
      <c r="I1095" s="59"/>
      <c r="J1095" s="47"/>
      <c r="K1095" s="302"/>
      <c r="L1095" s="47"/>
      <c r="M1095" s="302"/>
      <c r="N1095" s="47"/>
      <c r="O1095" s="302"/>
    </row>
    <row r="1096" spans="1:15">
      <c r="A1096" s="59">
        <v>26</v>
      </c>
      <c r="B1096" s="59" t="s">
        <v>1385</v>
      </c>
      <c r="C1096" s="301" t="s">
        <v>1487</v>
      </c>
      <c r="D1096" s="86" t="s">
        <v>10</v>
      </c>
      <c r="E1096" s="305">
        <v>1</v>
      </c>
      <c r="F1096" s="302">
        <v>35400</v>
      </c>
      <c r="G1096" s="303">
        <f t="shared" si="35"/>
        <v>35400</v>
      </c>
      <c r="H1096" s="47"/>
      <c r="I1096" s="59"/>
      <c r="J1096" s="47"/>
      <c r="K1096" s="302"/>
      <c r="L1096" s="47"/>
      <c r="M1096" s="302"/>
      <c r="N1096" s="47"/>
      <c r="O1096" s="302"/>
    </row>
    <row r="1097" spans="1:15" ht="15">
      <c r="A1097" s="59"/>
      <c r="B1097" s="59"/>
      <c r="C1097" s="243" t="s">
        <v>1449</v>
      </c>
      <c r="D1097" s="86"/>
      <c r="E1097" s="86"/>
      <c r="F1097" s="129"/>
      <c r="G1097" s="383">
        <f t="shared" ref="G1097" si="36">SUM(G1071:G1096)</f>
        <v>3540058.99</v>
      </c>
      <c r="H1097" s="193"/>
      <c r="I1097" s="280">
        <f>SUM(I1071:I1096)</f>
        <v>0</v>
      </c>
      <c r="J1097" s="193"/>
      <c r="K1097" s="313">
        <f>SUM(K1071:K1096)</f>
        <v>0</v>
      </c>
      <c r="L1097" s="193"/>
      <c r="M1097" s="280">
        <f>SUM(M1071:M1096)</f>
        <v>0</v>
      </c>
      <c r="N1097" s="193"/>
      <c r="O1097" s="280">
        <f>SUM(O1071:O1096)</f>
        <v>0</v>
      </c>
    </row>
    <row r="1098" spans="1:15" ht="15">
      <c r="A1098" s="282" t="s">
        <v>1299</v>
      </c>
      <c r="B1098" s="282"/>
      <c r="C1098" s="282"/>
      <c r="D1098" s="282"/>
      <c r="E1098" s="282"/>
      <c r="F1098" s="282"/>
      <c r="G1098" s="282"/>
      <c r="L1098" s="282"/>
      <c r="M1098" s="282"/>
      <c r="N1098" s="282"/>
      <c r="O1098" s="282"/>
    </row>
    <row r="1099" spans="1:15" ht="15">
      <c r="A1099" s="282" t="s">
        <v>1300</v>
      </c>
      <c r="B1099" s="282"/>
      <c r="C1099" s="282"/>
      <c r="D1099" s="282"/>
      <c r="E1099" s="282"/>
      <c r="F1099" s="282"/>
      <c r="G1099" s="282"/>
      <c r="L1099" s="282"/>
      <c r="M1099" s="282"/>
      <c r="N1099" s="282"/>
      <c r="O1099" s="282"/>
    </row>
    <row r="1100" spans="1:15" ht="15">
      <c r="A1100" s="282" t="s">
        <v>1488</v>
      </c>
      <c r="B1100" s="282"/>
      <c r="C1100" s="282"/>
      <c r="D1100" s="282"/>
      <c r="E1100" s="282"/>
      <c r="F1100" s="282"/>
      <c r="G1100" s="282"/>
      <c r="L1100" s="282"/>
      <c r="M1100" s="282"/>
      <c r="N1100" s="282"/>
      <c r="O1100" s="282"/>
    </row>
    <row r="1101" spans="1:15" ht="15">
      <c r="A1101" s="356" t="s">
        <v>1489</v>
      </c>
      <c r="B1101" s="357"/>
      <c r="C1101" s="357"/>
      <c r="D1101" s="357"/>
      <c r="E1101" s="358"/>
      <c r="F1101" s="282"/>
      <c r="G1101" s="282"/>
      <c r="L1101" s="282"/>
      <c r="M1101" s="282"/>
      <c r="N1101" s="282"/>
      <c r="O1101" s="282"/>
    </row>
    <row r="1102" spans="1:15" ht="15" customHeight="1">
      <c r="A1102" s="359" t="s">
        <v>1303</v>
      </c>
      <c r="B1102" s="359"/>
      <c r="C1102" s="359"/>
      <c r="D1102" s="350" t="s">
        <v>1304</v>
      </c>
      <c r="E1102" s="350"/>
      <c r="F1102" s="350"/>
      <c r="G1102" s="350"/>
      <c r="L1102" s="350"/>
      <c r="M1102" s="350"/>
      <c r="N1102" s="350"/>
      <c r="O1102" s="350"/>
    </row>
    <row r="1103" spans="1:15" ht="30" customHeight="1">
      <c r="A1103" s="404" t="s">
        <v>1305</v>
      </c>
      <c r="B1103" s="404" t="s">
        <v>1490</v>
      </c>
      <c r="C1103" s="417" t="s">
        <v>1307</v>
      </c>
      <c r="D1103" s="417" t="s">
        <v>1</v>
      </c>
      <c r="E1103" s="404" t="s">
        <v>1308</v>
      </c>
      <c r="F1103" s="394" t="s">
        <v>2</v>
      </c>
      <c r="G1103" s="395"/>
      <c r="H1103" s="393" t="s">
        <v>3</v>
      </c>
      <c r="I1103" s="393"/>
      <c r="J1103" s="393" t="s">
        <v>4</v>
      </c>
      <c r="K1103" s="393"/>
      <c r="L1103" s="394" t="s">
        <v>5</v>
      </c>
      <c r="M1103" s="395"/>
      <c r="N1103" s="402" t="s">
        <v>6</v>
      </c>
      <c r="O1103" s="403"/>
    </row>
    <row r="1104" spans="1:15" ht="30">
      <c r="A1104" s="405"/>
      <c r="B1104" s="405"/>
      <c r="C1104" s="418"/>
      <c r="D1104" s="418"/>
      <c r="E1104" s="405"/>
      <c r="F1104" s="369" t="s">
        <v>828</v>
      </c>
      <c r="G1104" s="283" t="s">
        <v>1309</v>
      </c>
      <c r="H1104" s="2" t="s">
        <v>828</v>
      </c>
      <c r="I1104" s="283" t="s">
        <v>1309</v>
      </c>
      <c r="J1104" s="2" t="s">
        <v>828</v>
      </c>
      <c r="K1104" s="283" t="s">
        <v>1309</v>
      </c>
      <c r="L1104" s="2" t="s">
        <v>828</v>
      </c>
      <c r="M1104" s="283" t="s">
        <v>1309</v>
      </c>
      <c r="N1104" s="2" t="s">
        <v>828</v>
      </c>
      <c r="O1104" s="283" t="s">
        <v>1309</v>
      </c>
    </row>
    <row r="1105" spans="1:15">
      <c r="A1105" s="59">
        <v>1</v>
      </c>
      <c r="B1105" s="59" t="s">
        <v>1491</v>
      </c>
      <c r="C1105" s="61" t="s">
        <v>1492</v>
      </c>
      <c r="D1105" s="113" t="s">
        <v>8</v>
      </c>
      <c r="E1105" s="296">
        <v>100</v>
      </c>
      <c r="F1105" s="59">
        <v>25</v>
      </c>
      <c r="G1105" s="59"/>
      <c r="H1105" s="47"/>
      <c r="I1105" s="59"/>
      <c r="J1105" s="47"/>
      <c r="K1105" s="59"/>
      <c r="L1105" s="47"/>
      <c r="M1105" s="129">
        <f>E1105*F1105</f>
        <v>2500</v>
      </c>
      <c r="N1105" s="47"/>
      <c r="O1105" s="59"/>
    </row>
    <row r="1106" spans="1:15">
      <c r="A1106" s="59">
        <v>2</v>
      </c>
      <c r="B1106" s="59" t="s">
        <v>30</v>
      </c>
      <c r="C1106" s="61" t="s">
        <v>1493</v>
      </c>
      <c r="D1106" s="113" t="s">
        <v>8</v>
      </c>
      <c r="E1106" s="296">
        <v>500</v>
      </c>
      <c r="F1106" s="59">
        <v>4</v>
      </c>
      <c r="G1106" s="59"/>
      <c r="H1106" s="47"/>
      <c r="I1106" s="59"/>
      <c r="J1106" s="47"/>
      <c r="K1106" s="59"/>
      <c r="L1106" s="47"/>
      <c r="M1106" s="129">
        <f>E1106*F1106</f>
        <v>2000</v>
      </c>
      <c r="N1106" s="47"/>
      <c r="O1106" s="59"/>
    </row>
    <row r="1107" spans="1:15">
      <c r="A1107" s="59">
        <v>3</v>
      </c>
      <c r="B1107" s="59" t="s">
        <v>1494</v>
      </c>
      <c r="C1107" s="61" t="s">
        <v>1495</v>
      </c>
      <c r="D1107" s="113" t="s">
        <v>8</v>
      </c>
      <c r="E1107" s="296">
        <v>1350.65</v>
      </c>
      <c r="F1107" s="59">
        <v>1</v>
      </c>
      <c r="G1107" s="129">
        <f>E1107*F1107</f>
        <v>1350.65</v>
      </c>
      <c r="H1107" s="47"/>
      <c r="I1107" s="59"/>
      <c r="J1107" s="47"/>
      <c r="K1107" s="59"/>
      <c r="L1107" s="47"/>
      <c r="M1107" s="59"/>
      <c r="N1107" s="47"/>
      <c r="O1107" s="59"/>
    </row>
    <row r="1108" spans="1:15">
      <c r="A1108" s="59">
        <v>4</v>
      </c>
      <c r="B1108" s="59" t="s">
        <v>30</v>
      </c>
      <c r="C1108" s="61" t="s">
        <v>1496</v>
      </c>
      <c r="D1108" s="113" t="s">
        <v>8</v>
      </c>
      <c r="E1108" s="296">
        <v>221.32</v>
      </c>
      <c r="F1108" s="59">
        <v>40</v>
      </c>
      <c r="G1108" s="129">
        <f>E1108*F1108</f>
        <v>8852.7999999999993</v>
      </c>
      <c r="H1108" s="47"/>
      <c r="I1108" s="59"/>
      <c r="J1108" s="47"/>
      <c r="K1108" s="59"/>
      <c r="L1108" s="47"/>
      <c r="M1108" s="59"/>
      <c r="N1108" s="47"/>
      <c r="O1108" s="59"/>
    </row>
    <row r="1109" spans="1:15">
      <c r="A1109" s="59">
        <v>5</v>
      </c>
      <c r="B1109" s="59" t="s">
        <v>30</v>
      </c>
      <c r="C1109" s="61" t="s">
        <v>1497</v>
      </c>
      <c r="D1109" s="86" t="s">
        <v>8</v>
      </c>
      <c r="E1109" s="296">
        <v>300</v>
      </c>
      <c r="F1109" s="59">
        <v>1</v>
      </c>
      <c r="G1109" s="129">
        <f>E1109*F1109</f>
        <v>300</v>
      </c>
      <c r="H1109" s="47"/>
      <c r="I1109" s="59"/>
      <c r="J1109" s="47"/>
      <c r="K1109" s="59"/>
      <c r="L1109" s="47"/>
      <c r="M1109" s="59"/>
      <c r="N1109" s="47"/>
      <c r="O1109" s="59"/>
    </row>
    <row r="1110" spans="1:15">
      <c r="A1110" s="59">
        <v>6</v>
      </c>
      <c r="B1110" s="59" t="s">
        <v>1498</v>
      </c>
      <c r="C1110" s="61" t="s">
        <v>1499</v>
      </c>
      <c r="D1110" s="86" t="s">
        <v>8</v>
      </c>
      <c r="E1110" s="296">
        <v>3975</v>
      </c>
      <c r="F1110" s="59">
        <v>5</v>
      </c>
      <c r="G1110" s="59"/>
      <c r="H1110" s="47"/>
      <c r="I1110" s="59"/>
      <c r="J1110" s="47"/>
      <c r="K1110" s="59"/>
      <c r="L1110" s="47"/>
      <c r="M1110" s="129">
        <f>E1110*F1110</f>
        <v>19875</v>
      </c>
      <c r="N1110" s="47"/>
      <c r="O1110" s="59"/>
    </row>
    <row r="1111" spans="1:15">
      <c r="A1111" s="59">
        <v>7</v>
      </c>
      <c r="B1111" s="59" t="s">
        <v>1500</v>
      </c>
      <c r="C1111" s="61" t="s">
        <v>1501</v>
      </c>
      <c r="D1111" s="86" t="s">
        <v>8</v>
      </c>
      <c r="E1111" s="296">
        <v>3975</v>
      </c>
      <c r="F1111" s="59">
        <v>5</v>
      </c>
      <c r="G1111" s="59"/>
      <c r="H1111" s="47"/>
      <c r="I1111" s="59"/>
      <c r="J1111" s="47"/>
      <c r="K1111" s="59"/>
      <c r="L1111" s="47"/>
      <c r="M1111" s="129">
        <f>E1111*F1111</f>
        <v>19875</v>
      </c>
      <c r="N1111" s="47"/>
      <c r="O1111" s="59"/>
    </row>
    <row r="1112" spans="1:15">
      <c r="A1112" s="59">
        <v>8</v>
      </c>
      <c r="B1112" s="59" t="s">
        <v>1502</v>
      </c>
      <c r="C1112" s="61" t="s">
        <v>1503</v>
      </c>
      <c r="D1112" s="86" t="s">
        <v>8</v>
      </c>
      <c r="E1112" s="296">
        <v>1490</v>
      </c>
      <c r="F1112" s="59">
        <v>5</v>
      </c>
      <c r="G1112" s="59"/>
      <c r="H1112" s="47"/>
      <c r="I1112" s="59"/>
      <c r="J1112" s="47"/>
      <c r="K1112" s="59"/>
      <c r="L1112" s="47"/>
      <c r="M1112" s="129">
        <f>E1112*F1112</f>
        <v>7450</v>
      </c>
      <c r="N1112" s="47"/>
      <c r="O1112" s="59"/>
    </row>
    <row r="1113" spans="1:15">
      <c r="A1113" s="59">
        <v>9</v>
      </c>
      <c r="B1113" s="59" t="s">
        <v>1504</v>
      </c>
      <c r="C1113" s="61" t="s">
        <v>1505</v>
      </c>
      <c r="D1113" s="86" t="s">
        <v>8</v>
      </c>
      <c r="E1113" s="296">
        <v>9975</v>
      </c>
      <c r="F1113" s="59">
        <v>2</v>
      </c>
      <c r="G1113" s="129">
        <f>E1113*F1113</f>
        <v>19950</v>
      </c>
      <c r="H1113" s="47"/>
      <c r="I1113" s="59"/>
      <c r="J1113" s="47"/>
      <c r="K1113" s="59"/>
      <c r="L1113" s="47"/>
      <c r="M1113" s="59"/>
      <c r="N1113" s="47"/>
      <c r="O1113" s="59"/>
    </row>
    <row r="1114" spans="1:15">
      <c r="A1114" s="59">
        <v>10</v>
      </c>
      <c r="B1114" s="59" t="s">
        <v>1506</v>
      </c>
      <c r="C1114" s="61" t="s">
        <v>1507</v>
      </c>
      <c r="D1114" s="86" t="s">
        <v>8</v>
      </c>
      <c r="E1114" s="296">
        <v>1450</v>
      </c>
      <c r="F1114" s="59">
        <v>5</v>
      </c>
      <c r="G1114" s="59"/>
      <c r="H1114" s="47"/>
      <c r="I1114" s="59"/>
      <c r="J1114" s="47"/>
      <c r="K1114" s="59"/>
      <c r="L1114" s="47"/>
      <c r="M1114" s="129">
        <f>E1114*F1114</f>
        <v>7250</v>
      </c>
      <c r="N1114" s="47"/>
      <c r="O1114" s="59"/>
    </row>
    <row r="1115" spans="1:15">
      <c r="A1115" s="59">
        <v>11</v>
      </c>
      <c r="B1115" s="59" t="s">
        <v>454</v>
      </c>
      <c r="C1115" s="61" t="s">
        <v>1508</v>
      </c>
      <c r="D1115" s="86" t="s">
        <v>8</v>
      </c>
      <c r="E1115" s="296">
        <v>130</v>
      </c>
      <c r="F1115" s="59">
        <v>82</v>
      </c>
      <c r="G1115" s="59"/>
      <c r="H1115" s="47"/>
      <c r="I1115" s="129">
        <f>E1115*F1115</f>
        <v>10660</v>
      </c>
      <c r="J1115" s="47"/>
      <c r="K1115" s="59"/>
      <c r="L1115" s="47"/>
      <c r="M1115" s="59"/>
      <c r="N1115" s="47"/>
      <c r="O1115" s="59"/>
    </row>
    <row r="1116" spans="1:15">
      <c r="A1116" s="59">
        <v>12</v>
      </c>
      <c r="B1116" s="59" t="s">
        <v>1509</v>
      </c>
      <c r="C1116" s="61" t="s">
        <v>1510</v>
      </c>
      <c r="D1116" s="86" t="s">
        <v>12</v>
      </c>
      <c r="E1116" s="296">
        <v>10000</v>
      </c>
      <c r="F1116" s="59">
        <v>0.245</v>
      </c>
      <c r="G1116" s="59"/>
      <c r="H1116" s="47"/>
      <c r="I1116" s="129">
        <f>E1116*F1116</f>
        <v>2450</v>
      </c>
      <c r="J1116" s="47"/>
      <c r="K1116" s="59"/>
      <c r="L1116" s="47"/>
      <c r="M1116" s="59"/>
      <c r="N1116" s="47"/>
      <c r="O1116" s="59"/>
    </row>
    <row r="1117" spans="1:15">
      <c r="A1117" s="59">
        <v>13</v>
      </c>
      <c r="B1117" s="59" t="s">
        <v>1420</v>
      </c>
      <c r="C1117" s="61" t="s">
        <v>1511</v>
      </c>
      <c r="D1117" s="86" t="s">
        <v>8</v>
      </c>
      <c r="E1117" s="129">
        <v>8873.6</v>
      </c>
      <c r="F1117" s="299">
        <v>1</v>
      </c>
      <c r="G1117" s="129">
        <f>E1117*F1117</f>
        <v>8873.6</v>
      </c>
      <c r="H1117" s="47"/>
      <c r="I1117" s="59"/>
      <c r="J1117" s="47"/>
      <c r="K1117" s="59"/>
      <c r="L1117" s="47"/>
      <c r="M1117" s="59"/>
      <c r="N1117" s="47"/>
      <c r="O1117" s="59"/>
    </row>
    <row r="1118" spans="1:15" ht="28.5">
      <c r="A1118" s="59">
        <v>14</v>
      </c>
      <c r="B1118" s="59" t="s">
        <v>1477</v>
      </c>
      <c r="C1118" s="61" t="s">
        <v>1512</v>
      </c>
      <c r="D1118" s="86" t="s">
        <v>8</v>
      </c>
      <c r="E1118" s="129">
        <v>1400</v>
      </c>
      <c r="F1118" s="299">
        <v>2</v>
      </c>
      <c r="G1118" s="129">
        <f>E1118*F1118</f>
        <v>2800</v>
      </c>
      <c r="H1118" s="47"/>
      <c r="I1118" s="59"/>
      <c r="J1118" s="47"/>
      <c r="K1118" s="59"/>
      <c r="L1118" s="47"/>
      <c r="M1118" s="59"/>
      <c r="N1118" s="47"/>
      <c r="O1118" s="59"/>
    </row>
    <row r="1119" spans="1:15">
      <c r="A1119" s="59">
        <v>15</v>
      </c>
      <c r="B1119" s="59" t="s">
        <v>375</v>
      </c>
      <c r="C1119" s="61" t="s">
        <v>1513</v>
      </c>
      <c r="D1119" s="86" t="s">
        <v>1356</v>
      </c>
      <c r="E1119" s="266">
        <v>45000</v>
      </c>
      <c r="F1119" s="284">
        <v>1</v>
      </c>
      <c r="G1119" s="129">
        <f>E1119*F1119</f>
        <v>45000</v>
      </c>
      <c r="H1119" s="47"/>
      <c r="I1119" s="59"/>
      <c r="J1119" s="47"/>
      <c r="K1119" s="59"/>
      <c r="L1119" s="47"/>
      <c r="M1119" s="59"/>
      <c r="N1119" s="47"/>
      <c r="O1119" s="59"/>
    </row>
    <row r="1120" spans="1:15">
      <c r="A1120" s="59">
        <v>16</v>
      </c>
      <c r="B1120" s="59" t="s">
        <v>487</v>
      </c>
      <c r="C1120" s="86" t="s">
        <v>1514</v>
      </c>
      <c r="D1120" s="86" t="s">
        <v>8</v>
      </c>
      <c r="E1120" s="266">
        <v>7080</v>
      </c>
      <c r="F1120" s="285" t="s">
        <v>1384</v>
      </c>
      <c r="G1120" s="129">
        <f t="shared" ref="G1120:G1134" si="37">E1120*F1120</f>
        <v>14160</v>
      </c>
      <c r="H1120" s="47"/>
      <c r="I1120" s="59"/>
      <c r="J1120" s="47"/>
      <c r="K1120" s="59"/>
      <c r="L1120" s="47"/>
      <c r="M1120" s="59"/>
      <c r="N1120" s="47"/>
      <c r="O1120" s="59"/>
    </row>
    <row r="1121" spans="1:15">
      <c r="A1121" s="59">
        <v>17</v>
      </c>
      <c r="B1121" s="59" t="s">
        <v>561</v>
      </c>
      <c r="C1121" s="86" t="s">
        <v>1515</v>
      </c>
      <c r="D1121" s="86" t="s">
        <v>392</v>
      </c>
      <c r="E1121" s="129">
        <v>1829</v>
      </c>
      <c r="F1121" s="285" t="s">
        <v>1516</v>
      </c>
      <c r="G1121" s="129">
        <f t="shared" si="37"/>
        <v>14632</v>
      </c>
      <c r="H1121" s="47"/>
      <c r="I1121" s="59"/>
      <c r="J1121" s="47"/>
      <c r="K1121" s="59"/>
      <c r="L1121" s="47"/>
      <c r="M1121" s="59"/>
      <c r="N1121" s="47"/>
      <c r="O1121" s="59"/>
    </row>
    <row r="1122" spans="1:15">
      <c r="A1122" s="59">
        <v>18</v>
      </c>
      <c r="B1122" s="59" t="s">
        <v>1477</v>
      </c>
      <c r="C1122" s="86" t="s">
        <v>1517</v>
      </c>
      <c r="D1122" s="86" t="s">
        <v>392</v>
      </c>
      <c r="E1122" s="129">
        <v>9440</v>
      </c>
      <c r="F1122" s="285" t="s">
        <v>1384</v>
      </c>
      <c r="G1122" s="129">
        <f t="shared" si="37"/>
        <v>18880</v>
      </c>
      <c r="H1122" s="47"/>
      <c r="I1122" s="59"/>
      <c r="J1122" s="47"/>
      <c r="K1122" s="59"/>
      <c r="L1122" s="47"/>
      <c r="M1122" s="59"/>
      <c r="N1122" s="47"/>
      <c r="O1122" s="59"/>
    </row>
    <row r="1123" spans="1:15">
      <c r="A1123" s="59">
        <v>19</v>
      </c>
      <c r="B1123" s="59" t="s">
        <v>646</v>
      </c>
      <c r="C1123" s="86" t="s">
        <v>1518</v>
      </c>
      <c r="D1123" s="86" t="s">
        <v>10</v>
      </c>
      <c r="E1123" s="129">
        <v>1628.4</v>
      </c>
      <c r="F1123" s="284">
        <v>18</v>
      </c>
      <c r="G1123" s="129">
        <f t="shared" si="37"/>
        <v>29311.200000000001</v>
      </c>
      <c r="H1123" s="47"/>
      <c r="I1123" s="59"/>
      <c r="J1123" s="47"/>
      <c r="K1123" s="59"/>
      <c r="L1123" s="47"/>
      <c r="M1123" s="59"/>
      <c r="N1123" s="47"/>
      <c r="O1123" s="59"/>
    </row>
    <row r="1124" spans="1:15">
      <c r="A1124" s="59">
        <v>20</v>
      </c>
      <c r="B1124" s="59" t="s">
        <v>129</v>
      </c>
      <c r="C1124" s="86" t="s">
        <v>1519</v>
      </c>
      <c r="D1124" s="86" t="s">
        <v>10</v>
      </c>
      <c r="E1124" s="129">
        <v>91450</v>
      </c>
      <c r="F1124" s="284">
        <v>3</v>
      </c>
      <c r="G1124" s="129">
        <f t="shared" si="37"/>
        <v>274350</v>
      </c>
      <c r="H1124" s="47"/>
      <c r="I1124" s="59"/>
      <c r="J1124" s="47"/>
      <c r="K1124" s="59"/>
      <c r="L1124" s="47"/>
      <c r="M1124" s="59"/>
      <c r="N1124" s="47"/>
      <c r="O1124" s="59"/>
    </row>
    <row r="1125" spans="1:15">
      <c r="A1125" s="59">
        <v>21</v>
      </c>
      <c r="B1125" s="59" t="s">
        <v>134</v>
      </c>
      <c r="C1125" s="86" t="s">
        <v>1520</v>
      </c>
      <c r="D1125" s="86" t="s">
        <v>10</v>
      </c>
      <c r="E1125" s="129">
        <v>36580</v>
      </c>
      <c r="F1125" s="284">
        <v>1</v>
      </c>
      <c r="G1125" s="129">
        <f t="shared" si="37"/>
        <v>36580</v>
      </c>
      <c r="H1125" s="47"/>
      <c r="I1125" s="59"/>
      <c r="J1125" s="47"/>
      <c r="K1125" s="59"/>
      <c r="L1125" s="47"/>
      <c r="M1125" s="59"/>
      <c r="N1125" s="47"/>
      <c r="O1125" s="59"/>
    </row>
    <row r="1126" spans="1:15">
      <c r="A1126" s="59">
        <v>22</v>
      </c>
      <c r="B1126" s="59" t="s">
        <v>30</v>
      </c>
      <c r="C1126" s="86" t="s">
        <v>1521</v>
      </c>
      <c r="D1126" s="86" t="s">
        <v>10</v>
      </c>
      <c r="E1126" s="129">
        <v>1416</v>
      </c>
      <c r="F1126" s="284">
        <v>30</v>
      </c>
      <c r="G1126" s="129">
        <f t="shared" si="37"/>
        <v>42480</v>
      </c>
      <c r="H1126" s="47"/>
      <c r="I1126" s="59"/>
      <c r="J1126" s="47"/>
      <c r="K1126" s="59"/>
      <c r="L1126" s="47"/>
      <c r="M1126" s="59"/>
      <c r="N1126" s="47"/>
      <c r="O1126" s="59"/>
    </row>
    <row r="1127" spans="1:15">
      <c r="A1127" s="59">
        <v>23</v>
      </c>
      <c r="B1127" s="59" t="s">
        <v>1522</v>
      </c>
      <c r="C1127" s="86" t="s">
        <v>1523</v>
      </c>
      <c r="D1127" s="86" t="s">
        <v>10</v>
      </c>
      <c r="E1127" s="129">
        <v>68.44</v>
      </c>
      <c r="F1127" s="284">
        <v>22</v>
      </c>
      <c r="G1127" s="129">
        <f t="shared" si="37"/>
        <v>1505.6799999999998</v>
      </c>
      <c r="H1127" s="47"/>
      <c r="I1127" s="59"/>
      <c r="J1127" s="47"/>
      <c r="K1127" s="59"/>
      <c r="L1127" s="47"/>
      <c r="M1127" s="59"/>
      <c r="N1127" s="47"/>
      <c r="O1127" s="59"/>
    </row>
    <row r="1128" spans="1:15">
      <c r="A1128" s="59">
        <v>24</v>
      </c>
      <c r="B1128" s="59" t="s">
        <v>1524</v>
      </c>
      <c r="C1128" s="86" t="s">
        <v>1525</v>
      </c>
      <c r="D1128" s="86" t="s">
        <v>10</v>
      </c>
      <c r="E1128" s="129">
        <v>68.44</v>
      </c>
      <c r="F1128" s="284">
        <v>26</v>
      </c>
      <c r="G1128" s="129">
        <f t="shared" si="37"/>
        <v>1779.44</v>
      </c>
      <c r="H1128" s="47"/>
      <c r="I1128" s="59"/>
      <c r="J1128" s="47"/>
      <c r="K1128" s="59"/>
      <c r="L1128" s="47"/>
      <c r="M1128" s="59"/>
      <c r="N1128" s="47"/>
      <c r="O1128" s="59"/>
    </row>
    <row r="1129" spans="1:15">
      <c r="A1129" s="59">
        <v>25</v>
      </c>
      <c r="B1129" s="59" t="s">
        <v>1526</v>
      </c>
      <c r="C1129" s="86" t="s">
        <v>1527</v>
      </c>
      <c r="D1129" s="86" t="s">
        <v>10</v>
      </c>
      <c r="E1129" s="129">
        <v>68.44</v>
      </c>
      <c r="F1129" s="284">
        <v>24</v>
      </c>
      <c r="G1129" s="129">
        <f t="shared" si="37"/>
        <v>1642.56</v>
      </c>
      <c r="H1129" s="47"/>
      <c r="I1129" s="59"/>
      <c r="J1129" s="47"/>
      <c r="K1129" s="59"/>
      <c r="L1129" s="47"/>
      <c r="M1129" s="59"/>
      <c r="N1129" s="47"/>
      <c r="O1129" s="59"/>
    </row>
    <row r="1130" spans="1:15">
      <c r="A1130" s="59">
        <v>26</v>
      </c>
      <c r="B1130" s="59" t="s">
        <v>1528</v>
      </c>
      <c r="C1130" s="86" t="s">
        <v>1529</v>
      </c>
      <c r="D1130" s="86" t="s">
        <v>10</v>
      </c>
      <c r="E1130" s="129">
        <v>68.44</v>
      </c>
      <c r="F1130" s="284">
        <v>28</v>
      </c>
      <c r="G1130" s="129">
        <f t="shared" si="37"/>
        <v>1916.32</v>
      </c>
      <c r="H1130" s="47"/>
      <c r="I1130" s="59"/>
      <c r="J1130" s="47"/>
      <c r="K1130" s="59"/>
      <c r="L1130" s="47"/>
      <c r="M1130" s="59"/>
      <c r="N1130" s="47"/>
      <c r="O1130" s="59"/>
    </row>
    <row r="1131" spans="1:15">
      <c r="A1131" s="59">
        <v>27</v>
      </c>
      <c r="B1131" s="59" t="s">
        <v>1530</v>
      </c>
      <c r="C1131" s="86" t="s">
        <v>1531</v>
      </c>
      <c r="D1131" s="86" t="s">
        <v>10</v>
      </c>
      <c r="E1131" s="129">
        <v>68.44</v>
      </c>
      <c r="F1131" s="284">
        <v>27</v>
      </c>
      <c r="G1131" s="129">
        <f t="shared" si="37"/>
        <v>1847.8799999999999</v>
      </c>
      <c r="H1131" s="47"/>
      <c r="I1131" s="59"/>
      <c r="J1131" s="47"/>
      <c r="K1131" s="59"/>
      <c r="L1131" s="47"/>
      <c r="M1131" s="59"/>
      <c r="N1131" s="47"/>
      <c r="O1131" s="59"/>
    </row>
    <row r="1132" spans="1:15">
      <c r="A1132" s="59">
        <v>28</v>
      </c>
      <c r="B1132" s="59" t="s">
        <v>1532</v>
      </c>
      <c r="C1132" s="86" t="s">
        <v>1533</v>
      </c>
      <c r="D1132" s="86" t="s">
        <v>10</v>
      </c>
      <c r="E1132" s="129">
        <v>200.6</v>
      </c>
      <c r="F1132" s="284">
        <v>48</v>
      </c>
      <c r="G1132" s="129">
        <f t="shared" si="37"/>
        <v>9628.7999999999993</v>
      </c>
      <c r="H1132" s="47"/>
      <c r="I1132" s="59"/>
      <c r="J1132" s="47"/>
      <c r="K1132" s="59"/>
      <c r="L1132" s="47"/>
      <c r="M1132" s="59"/>
      <c r="N1132" s="47"/>
      <c r="O1132" s="59"/>
    </row>
    <row r="1133" spans="1:15">
      <c r="A1133" s="59">
        <v>29</v>
      </c>
      <c r="B1133" s="59" t="s">
        <v>30</v>
      </c>
      <c r="C1133" s="86" t="s">
        <v>1534</v>
      </c>
      <c r="D1133" s="86" t="s">
        <v>10</v>
      </c>
      <c r="E1133" s="129">
        <v>908.6</v>
      </c>
      <c r="F1133" s="284">
        <v>7</v>
      </c>
      <c r="G1133" s="129">
        <f t="shared" si="37"/>
        <v>6360.2</v>
      </c>
      <c r="H1133" s="47"/>
      <c r="I1133" s="59"/>
      <c r="J1133" s="47"/>
      <c r="K1133" s="59"/>
      <c r="L1133" s="47"/>
      <c r="M1133" s="59"/>
      <c r="N1133" s="47"/>
      <c r="O1133" s="59"/>
    </row>
    <row r="1134" spans="1:15">
      <c r="A1134" s="59">
        <v>30</v>
      </c>
      <c r="B1134" s="59" t="s">
        <v>30</v>
      </c>
      <c r="C1134" s="86" t="s">
        <v>1535</v>
      </c>
      <c r="D1134" s="86" t="s">
        <v>10</v>
      </c>
      <c r="E1134" s="129">
        <v>1652</v>
      </c>
      <c r="F1134" s="284">
        <v>8</v>
      </c>
      <c r="G1134" s="129">
        <f t="shared" si="37"/>
        <v>13216</v>
      </c>
      <c r="H1134" s="47"/>
      <c r="I1134" s="59"/>
      <c r="J1134" s="47"/>
      <c r="K1134" s="59"/>
      <c r="L1134" s="47"/>
      <c r="M1134" s="59"/>
      <c r="N1134" s="47"/>
      <c r="O1134" s="59"/>
    </row>
    <row r="1135" spans="1:15" ht="15">
      <c r="A1135" s="59"/>
      <c r="B1135" s="59"/>
      <c r="C1135" s="243" t="s">
        <v>1449</v>
      </c>
      <c r="D1135" s="86"/>
      <c r="E1135" s="86"/>
      <c r="F1135" s="129"/>
      <c r="G1135" s="383">
        <f>SUM(G1105:G1134)</f>
        <v>555417.13</v>
      </c>
      <c r="H1135" s="193"/>
      <c r="I1135" s="280">
        <f>SUM(I1105:I1134)</f>
        <v>13110</v>
      </c>
      <c r="J1135" s="193"/>
      <c r="K1135" s="313">
        <f>SUM(K1105:K1134)</f>
        <v>0</v>
      </c>
      <c r="L1135" s="193"/>
      <c r="M1135" s="313">
        <f>SUM(M1105:M1134)</f>
        <v>58950</v>
      </c>
      <c r="N1135" s="47"/>
      <c r="O1135" s="59">
        <f t="shared" ref="O1135" si="38">SUM(O1105:O1134)</f>
        <v>0</v>
      </c>
    </row>
    <row r="1136" spans="1:15" ht="15">
      <c r="A1136" s="282" t="s">
        <v>1299</v>
      </c>
      <c r="B1136" s="282"/>
      <c r="C1136" s="282"/>
      <c r="D1136" s="282"/>
      <c r="E1136" s="282"/>
      <c r="F1136" s="282"/>
      <c r="G1136" s="282"/>
      <c r="H1136" s="282"/>
      <c r="I1136" s="282"/>
      <c r="J1136" s="282"/>
      <c r="K1136" s="282"/>
    </row>
    <row r="1137" spans="1:15" ht="15">
      <c r="A1137" s="282" t="s">
        <v>1300</v>
      </c>
      <c r="B1137" s="282"/>
      <c r="C1137" s="282"/>
      <c r="D1137" s="282"/>
      <c r="E1137" s="282"/>
      <c r="F1137" s="282"/>
      <c r="G1137" s="282"/>
      <c r="H1137" s="282"/>
      <c r="I1137" s="282"/>
      <c r="J1137" s="282"/>
      <c r="K1137" s="282"/>
    </row>
    <row r="1138" spans="1:15" ht="15">
      <c r="A1138" s="282" t="s">
        <v>1450</v>
      </c>
      <c r="B1138" s="282"/>
      <c r="C1138" s="282"/>
      <c r="D1138" s="282"/>
      <c r="E1138" s="282"/>
      <c r="F1138" s="282"/>
      <c r="G1138" s="282"/>
      <c r="H1138" s="282"/>
      <c r="I1138" s="282"/>
      <c r="J1138" s="282"/>
      <c r="K1138" s="282"/>
    </row>
    <row r="1139" spans="1:15" ht="15">
      <c r="A1139" s="356" t="s">
        <v>1489</v>
      </c>
      <c r="B1139" s="357"/>
      <c r="C1139" s="357"/>
      <c r="D1139" s="357"/>
      <c r="E1139" s="358"/>
      <c r="F1139" s="282"/>
      <c r="G1139" s="282"/>
      <c r="H1139" s="282"/>
      <c r="I1139" s="282"/>
      <c r="J1139" s="282"/>
      <c r="K1139" s="282"/>
    </row>
    <row r="1140" spans="1:15" ht="15" customHeight="1">
      <c r="A1140" s="359" t="s">
        <v>1303</v>
      </c>
      <c r="B1140" s="359"/>
      <c r="C1140" s="359"/>
      <c r="D1140" s="350" t="s">
        <v>1304</v>
      </c>
      <c r="E1140" s="350"/>
      <c r="F1140" s="394" t="s">
        <v>2</v>
      </c>
      <c r="G1140" s="395"/>
      <c r="H1140" s="394" t="s">
        <v>3</v>
      </c>
      <c r="I1140" s="395"/>
      <c r="J1140" s="393" t="s">
        <v>4</v>
      </c>
      <c r="K1140" s="393"/>
      <c r="L1140" s="393" t="s">
        <v>5</v>
      </c>
      <c r="M1140" s="393"/>
      <c r="N1140" s="392" t="s">
        <v>6</v>
      </c>
      <c r="O1140" s="392"/>
    </row>
    <row r="1141" spans="1:15" ht="15" customHeight="1">
      <c r="A1141" s="354" t="s">
        <v>1305</v>
      </c>
      <c r="B1141" s="372" t="s">
        <v>1490</v>
      </c>
      <c r="C1141" s="373" t="s">
        <v>1307</v>
      </c>
      <c r="D1141" s="373" t="s">
        <v>1</v>
      </c>
      <c r="E1141" s="372" t="s">
        <v>1308</v>
      </c>
      <c r="F1141" s="2" t="s">
        <v>828</v>
      </c>
      <c r="G1141" s="283" t="s">
        <v>1309</v>
      </c>
      <c r="H1141" s="2" t="s">
        <v>828</v>
      </c>
      <c r="I1141" s="283" t="s">
        <v>1309</v>
      </c>
      <c r="J1141" s="2" t="s">
        <v>828</v>
      </c>
      <c r="K1141" s="283" t="s">
        <v>1309</v>
      </c>
      <c r="L1141" s="2" t="s">
        <v>828</v>
      </c>
      <c r="M1141" s="283" t="s">
        <v>1309</v>
      </c>
      <c r="N1141" s="2" t="s">
        <v>828</v>
      </c>
      <c r="O1141" s="283" t="s">
        <v>1309</v>
      </c>
    </row>
    <row r="1142" spans="1:15" ht="14.25" customHeight="1">
      <c r="A1142" s="59">
        <v>1</v>
      </c>
      <c r="B1142" s="59" t="s">
        <v>722</v>
      </c>
      <c r="C1142" s="86" t="s">
        <v>1536</v>
      </c>
      <c r="D1142" s="86" t="s">
        <v>32</v>
      </c>
      <c r="E1142" s="129">
        <v>41300</v>
      </c>
      <c r="F1142" s="371">
        <v>1</v>
      </c>
      <c r="G1142" s="129">
        <f>E1142*F1142</f>
        <v>41300</v>
      </c>
      <c r="H1142" s="47"/>
      <c r="I1142" s="59"/>
      <c r="J1142" s="47"/>
      <c r="K1142" s="59"/>
      <c r="L1142" s="47"/>
      <c r="M1142" s="59"/>
      <c r="N1142" s="47"/>
      <c r="O1142" s="59"/>
    </row>
    <row r="1143" spans="1:15" ht="28.5">
      <c r="A1143" s="59">
        <v>2</v>
      </c>
      <c r="B1143" s="59" t="s">
        <v>722</v>
      </c>
      <c r="C1143" s="86" t="s">
        <v>1537</v>
      </c>
      <c r="D1143" s="86" t="s">
        <v>32</v>
      </c>
      <c r="E1143" s="129">
        <v>50740</v>
      </c>
      <c r="F1143" s="284">
        <v>1</v>
      </c>
      <c r="G1143" s="129">
        <f>E1143*F1143</f>
        <v>50740</v>
      </c>
      <c r="H1143" s="47"/>
      <c r="I1143" s="59"/>
      <c r="J1143" s="47"/>
      <c r="K1143" s="59"/>
      <c r="L1143" s="47"/>
      <c r="M1143" s="59"/>
      <c r="N1143" s="47"/>
      <c r="O1143" s="59"/>
    </row>
    <row r="1144" spans="1:15" ht="15">
      <c r="B1144" s="59"/>
      <c r="C1144" s="243" t="s">
        <v>1449</v>
      </c>
      <c r="D1144" s="86"/>
      <c r="E1144" s="86"/>
      <c r="F1144" s="129"/>
      <c r="G1144" s="383">
        <f>SUM(G1142:G1143)</f>
        <v>92040</v>
      </c>
      <c r="H1144" s="193"/>
      <c r="I1144" s="280">
        <v>0</v>
      </c>
      <c r="J1144" s="193"/>
      <c r="K1144" s="313">
        <v>0</v>
      </c>
      <c r="L1144" s="193"/>
      <c r="M1144" s="313">
        <v>0</v>
      </c>
      <c r="N1144" s="193"/>
      <c r="O1144" s="280">
        <v>0</v>
      </c>
    </row>
    <row r="1145" spans="1:15" ht="15">
      <c r="A1145" s="414" t="s">
        <v>753</v>
      </c>
      <c r="B1145" s="414"/>
      <c r="C1145" s="416" t="s">
        <v>1539</v>
      </c>
      <c r="D1145" s="416"/>
      <c r="E1145" s="416"/>
      <c r="F1145" s="256"/>
      <c r="G1145" s="256"/>
      <c r="H1145" s="256"/>
      <c r="I1145" s="256"/>
      <c r="J1145" s="256"/>
      <c r="K1145" s="309"/>
    </row>
    <row r="1146" spans="1:15" ht="15">
      <c r="A1146" s="414" t="s">
        <v>1540</v>
      </c>
      <c r="B1146" s="414"/>
      <c r="C1146" s="415" t="s">
        <v>756</v>
      </c>
      <c r="D1146" s="415"/>
      <c r="E1146" s="415"/>
      <c r="F1146" s="256"/>
      <c r="G1146" s="256"/>
      <c r="H1146" s="256"/>
      <c r="I1146" s="256"/>
      <c r="J1146" s="256"/>
      <c r="K1146" s="309"/>
    </row>
    <row r="1147" spans="1:15" ht="15">
      <c r="A1147" s="414" t="s">
        <v>1541</v>
      </c>
      <c r="B1147" s="414"/>
      <c r="C1147" s="415" t="s">
        <v>1542</v>
      </c>
      <c r="D1147" s="415"/>
      <c r="E1147" s="415"/>
      <c r="F1147" s="256"/>
      <c r="G1147" s="256"/>
      <c r="H1147" s="256"/>
      <c r="I1147" s="256"/>
      <c r="J1147" s="256"/>
      <c r="K1147" s="309"/>
    </row>
    <row r="1148" spans="1:15" ht="15">
      <c r="A1148" s="414" t="s">
        <v>1543</v>
      </c>
      <c r="B1148" s="414"/>
      <c r="C1148" s="415" t="s">
        <v>810</v>
      </c>
      <c r="D1148" s="415"/>
      <c r="E1148" s="415"/>
      <c r="F1148" s="256"/>
      <c r="G1148" s="256"/>
      <c r="H1148" s="256"/>
      <c r="I1148" s="256"/>
      <c r="J1148" s="256"/>
      <c r="K1148" s="256"/>
    </row>
    <row r="1149" spans="1:15" ht="15">
      <c r="A1149" s="414" t="s">
        <v>801</v>
      </c>
      <c r="B1149" s="414"/>
      <c r="C1149" s="413" t="s">
        <v>1544</v>
      </c>
      <c r="D1149" s="413"/>
      <c r="E1149" s="413"/>
      <c r="F1149" s="310"/>
      <c r="G1149" s="310"/>
      <c r="H1149" s="310"/>
      <c r="I1149" s="310"/>
      <c r="J1149" s="310"/>
      <c r="K1149" s="310"/>
    </row>
    <row r="1150" spans="1:15" ht="15">
      <c r="A1150" s="411" t="s">
        <v>1545</v>
      </c>
      <c r="B1150" s="412"/>
      <c r="C1150" s="413" t="s">
        <v>1546</v>
      </c>
      <c r="D1150" s="413"/>
      <c r="E1150" s="413"/>
      <c r="F1150" s="310"/>
      <c r="G1150" s="310"/>
      <c r="H1150" s="310"/>
      <c r="I1150" s="310"/>
      <c r="J1150" s="310"/>
      <c r="K1150" s="310"/>
    </row>
    <row r="1151" spans="1:15" ht="15" customHeight="1">
      <c r="A1151" s="310"/>
      <c r="B1151" s="256"/>
      <c r="C1151" s="310"/>
      <c r="D1151" s="310"/>
      <c r="E1151" s="310"/>
      <c r="F1151" s="401" t="s">
        <v>2</v>
      </c>
      <c r="G1151" s="401"/>
      <c r="H1151" s="401" t="s">
        <v>3</v>
      </c>
      <c r="I1151" s="401"/>
      <c r="J1151" s="401" t="s">
        <v>4</v>
      </c>
      <c r="K1151" s="401"/>
      <c r="L1151" s="401" t="s">
        <v>5</v>
      </c>
      <c r="M1151" s="401"/>
      <c r="N1151" s="401" t="s">
        <v>6</v>
      </c>
      <c r="O1151" s="401"/>
    </row>
    <row r="1152" spans="1:15" ht="30">
      <c r="A1152" s="36" t="s">
        <v>14</v>
      </c>
      <c r="B1152" s="376" t="s">
        <v>1490</v>
      </c>
      <c r="C1152" s="376" t="s">
        <v>0</v>
      </c>
      <c r="D1152" s="376" t="s">
        <v>1</v>
      </c>
      <c r="E1152" s="376" t="s">
        <v>1547</v>
      </c>
      <c r="F1152" s="2" t="s">
        <v>828</v>
      </c>
      <c r="G1152" s="2" t="s">
        <v>1309</v>
      </c>
      <c r="H1152" s="2" t="s">
        <v>828</v>
      </c>
      <c r="I1152" s="2" t="s">
        <v>1309</v>
      </c>
      <c r="J1152" s="2" t="s">
        <v>828</v>
      </c>
      <c r="K1152" s="2" t="s">
        <v>1309</v>
      </c>
      <c r="L1152" s="2" t="s">
        <v>828</v>
      </c>
      <c r="M1152" s="2" t="s">
        <v>1309</v>
      </c>
      <c r="N1152" s="2" t="s">
        <v>828</v>
      </c>
      <c r="O1152" s="2" t="s">
        <v>1309</v>
      </c>
    </row>
    <row r="1153" spans="1:15" ht="15">
      <c r="A1153" s="59">
        <v>1</v>
      </c>
      <c r="B1153" s="226" t="s">
        <v>1548</v>
      </c>
      <c r="C1153" s="311" t="s">
        <v>1549</v>
      </c>
      <c r="D1153" s="227" t="s">
        <v>32</v>
      </c>
      <c r="E1153" s="312">
        <v>100</v>
      </c>
      <c r="F1153" s="313">
        <v>1</v>
      </c>
      <c r="G1153" s="313">
        <v>0</v>
      </c>
      <c r="H1153" s="47"/>
      <c r="I1153" s="313">
        <v>0</v>
      </c>
      <c r="J1153" s="47"/>
      <c r="K1153" s="313">
        <v>0</v>
      </c>
      <c r="L1153" s="47"/>
      <c r="M1153" s="313">
        <v>0</v>
      </c>
      <c r="N1153" s="47"/>
      <c r="O1153" s="313">
        <f>E1153*F1153</f>
        <v>100</v>
      </c>
    </row>
    <row r="1154" spans="1:15" ht="15">
      <c r="A1154" s="59">
        <f>A1153+1</f>
        <v>2</v>
      </c>
      <c r="B1154" s="226"/>
      <c r="C1154" s="311" t="s">
        <v>1550</v>
      </c>
      <c r="D1154" s="227" t="s">
        <v>32</v>
      </c>
      <c r="E1154" s="312">
        <v>100</v>
      </c>
      <c r="F1154" s="315">
        <v>1</v>
      </c>
      <c r="G1154" s="313">
        <v>0</v>
      </c>
      <c r="H1154" s="47"/>
      <c r="I1154" s="313">
        <v>0</v>
      </c>
      <c r="J1154" s="47"/>
      <c r="K1154" s="313">
        <v>0</v>
      </c>
      <c r="L1154" s="47"/>
      <c r="M1154" s="313">
        <v>0</v>
      </c>
      <c r="N1154" s="47"/>
      <c r="O1154" s="313">
        <f>E1154*F1154</f>
        <v>100</v>
      </c>
    </row>
    <row r="1155" spans="1:15" ht="15">
      <c r="A1155" s="59">
        <f t="shared" ref="A1155:A1213" si="39">A1154+1</f>
        <v>3</v>
      </c>
      <c r="B1155" s="226"/>
      <c r="C1155" s="311" t="s">
        <v>1551</v>
      </c>
      <c r="D1155" s="227" t="s">
        <v>32</v>
      </c>
      <c r="E1155" s="312">
        <v>7500</v>
      </c>
      <c r="F1155" s="315">
        <v>1</v>
      </c>
      <c r="G1155" s="313">
        <v>0</v>
      </c>
      <c r="H1155" s="47"/>
      <c r="I1155" s="315">
        <f>E1155*F1155</f>
        <v>7500</v>
      </c>
      <c r="J1155" s="47"/>
      <c r="K1155" s="313">
        <v>0</v>
      </c>
      <c r="L1155" s="47"/>
      <c r="M1155" s="313">
        <v>0</v>
      </c>
      <c r="N1155" s="47"/>
      <c r="O1155" s="313">
        <v>0</v>
      </c>
    </row>
    <row r="1156" spans="1:15" ht="15">
      <c r="A1156" s="59">
        <f t="shared" si="39"/>
        <v>4</v>
      </c>
      <c r="B1156" s="59" t="s">
        <v>678</v>
      </c>
      <c r="C1156" s="100" t="s">
        <v>1552</v>
      </c>
      <c r="D1156" s="226" t="s">
        <v>32</v>
      </c>
      <c r="E1156" s="288">
        <v>500</v>
      </c>
      <c r="F1156" s="315">
        <v>1</v>
      </c>
      <c r="G1156" s="313">
        <v>0</v>
      </c>
      <c r="H1156" s="47"/>
      <c r="I1156" s="313">
        <v>0</v>
      </c>
      <c r="J1156" s="47"/>
      <c r="K1156" s="313">
        <v>0</v>
      </c>
      <c r="L1156" s="47"/>
      <c r="M1156" s="313">
        <v>0</v>
      </c>
      <c r="N1156" s="47"/>
      <c r="O1156" s="315">
        <f>F1156*E1156</f>
        <v>500</v>
      </c>
    </row>
    <row r="1157" spans="1:15" ht="15">
      <c r="A1157" s="59">
        <f t="shared" si="39"/>
        <v>5</v>
      </c>
      <c r="B1157" s="226"/>
      <c r="C1157" s="100" t="s">
        <v>1553</v>
      </c>
      <c r="D1157" s="226" t="s">
        <v>32</v>
      </c>
      <c r="E1157" s="288">
        <v>50</v>
      </c>
      <c r="F1157" s="315">
        <v>3</v>
      </c>
      <c r="G1157" s="313">
        <v>0</v>
      </c>
      <c r="H1157" s="47"/>
      <c r="I1157" s="313">
        <v>0</v>
      </c>
      <c r="J1157" s="47"/>
      <c r="K1157" s="313">
        <v>0</v>
      </c>
      <c r="L1157" s="47"/>
      <c r="M1157" s="313">
        <v>0</v>
      </c>
      <c r="N1157" s="47"/>
      <c r="O1157" s="315">
        <f>F1157*E1157</f>
        <v>150</v>
      </c>
    </row>
    <row r="1158" spans="1:15" ht="15">
      <c r="A1158" s="59">
        <f t="shared" si="39"/>
        <v>6</v>
      </c>
      <c r="B1158" s="226" t="s">
        <v>1554</v>
      </c>
      <c r="C1158" s="100" t="s">
        <v>1555</v>
      </c>
      <c r="D1158" s="226" t="s">
        <v>32</v>
      </c>
      <c r="E1158" s="288">
        <v>1000</v>
      </c>
      <c r="F1158" s="316">
        <v>1</v>
      </c>
      <c r="G1158" s="313">
        <v>0</v>
      </c>
      <c r="H1158" s="47"/>
      <c r="I1158" s="313">
        <v>0</v>
      </c>
      <c r="J1158" s="47"/>
      <c r="K1158" s="313">
        <v>0</v>
      </c>
      <c r="L1158" s="47"/>
      <c r="M1158" s="313">
        <v>0</v>
      </c>
      <c r="N1158" s="47"/>
      <c r="O1158" s="315">
        <f>F1158*E1158</f>
        <v>1000</v>
      </c>
    </row>
    <row r="1159" spans="1:15" ht="15">
      <c r="A1159" s="59">
        <f t="shared" si="39"/>
        <v>7</v>
      </c>
      <c r="B1159" s="226" t="s">
        <v>1554</v>
      </c>
      <c r="C1159" s="100" t="s">
        <v>1556</v>
      </c>
      <c r="D1159" s="226" t="s">
        <v>32</v>
      </c>
      <c r="E1159" s="288">
        <v>1000</v>
      </c>
      <c r="F1159" s="316">
        <v>2</v>
      </c>
      <c r="G1159" s="313">
        <v>0</v>
      </c>
      <c r="H1159" s="47"/>
      <c r="I1159" s="313">
        <v>0</v>
      </c>
      <c r="J1159" s="47"/>
      <c r="K1159" s="313">
        <v>0</v>
      </c>
      <c r="L1159" s="47"/>
      <c r="M1159" s="313">
        <v>0</v>
      </c>
      <c r="N1159" s="47"/>
      <c r="O1159" s="315">
        <f>F1159*E1159</f>
        <v>2000</v>
      </c>
    </row>
    <row r="1160" spans="1:15" ht="15">
      <c r="A1160" s="59">
        <f t="shared" si="39"/>
        <v>8</v>
      </c>
      <c r="B1160" s="226" t="s">
        <v>1471</v>
      </c>
      <c r="C1160" s="100" t="s">
        <v>1557</v>
      </c>
      <c r="D1160" s="226" t="s">
        <v>32</v>
      </c>
      <c r="E1160" s="288">
        <v>564.1</v>
      </c>
      <c r="F1160" s="317">
        <v>18</v>
      </c>
      <c r="G1160" s="280">
        <f>F1160*E1160</f>
        <v>10153.800000000001</v>
      </c>
      <c r="H1160" s="47"/>
      <c r="I1160" s="313">
        <v>0</v>
      </c>
      <c r="J1160" s="47"/>
      <c r="K1160" s="313">
        <v>0</v>
      </c>
      <c r="L1160" s="47"/>
      <c r="M1160" s="313">
        <v>0</v>
      </c>
      <c r="N1160" s="47"/>
      <c r="O1160" s="315">
        <v>0</v>
      </c>
    </row>
    <row r="1161" spans="1:15" ht="15">
      <c r="A1161" s="59">
        <f t="shared" si="39"/>
        <v>9</v>
      </c>
      <c r="B1161" s="59" t="s">
        <v>1351</v>
      </c>
      <c r="C1161" s="100" t="s">
        <v>1558</v>
      </c>
      <c r="D1161" s="226" t="s">
        <v>32</v>
      </c>
      <c r="E1161" s="288">
        <v>1416</v>
      </c>
      <c r="F1161" s="318">
        <f>12-4</f>
        <v>8</v>
      </c>
      <c r="G1161" s="319">
        <f>F1161*E1161</f>
        <v>11328</v>
      </c>
      <c r="H1161" s="47"/>
      <c r="I1161" s="313">
        <v>0</v>
      </c>
      <c r="J1161" s="47"/>
      <c r="K1161" s="313">
        <v>0</v>
      </c>
      <c r="L1161" s="47"/>
      <c r="M1161" s="313">
        <v>0</v>
      </c>
      <c r="N1161" s="47"/>
      <c r="O1161" s="315">
        <v>0</v>
      </c>
    </row>
    <row r="1162" spans="1:15" ht="15">
      <c r="A1162" s="59">
        <f t="shared" si="39"/>
        <v>10</v>
      </c>
      <c r="B1162" s="59" t="s">
        <v>1491</v>
      </c>
      <c r="C1162" s="100" t="s">
        <v>1559</v>
      </c>
      <c r="D1162" s="226" t="s">
        <v>32</v>
      </c>
      <c r="E1162" s="288">
        <v>1003</v>
      </c>
      <c r="F1162" s="317">
        <f>8-4</f>
        <v>4</v>
      </c>
      <c r="G1162" s="280">
        <f>F1162*E1162</f>
        <v>4012</v>
      </c>
      <c r="H1162" s="47"/>
      <c r="I1162" s="313">
        <v>0</v>
      </c>
      <c r="J1162" s="47"/>
      <c r="K1162" s="313">
        <v>0</v>
      </c>
      <c r="L1162" s="47"/>
      <c r="M1162" s="313">
        <v>0</v>
      </c>
      <c r="N1162" s="47"/>
      <c r="O1162" s="315">
        <v>0</v>
      </c>
    </row>
    <row r="1163" spans="1:15" ht="15">
      <c r="A1163" s="59">
        <f t="shared" si="39"/>
        <v>11</v>
      </c>
      <c r="B1163" s="59" t="s">
        <v>1420</v>
      </c>
      <c r="C1163" s="100" t="s">
        <v>1560</v>
      </c>
      <c r="D1163" s="226" t="s">
        <v>32</v>
      </c>
      <c r="E1163" s="288">
        <v>4708.2</v>
      </c>
      <c r="F1163" s="317">
        <f>5-2</f>
        <v>3</v>
      </c>
      <c r="G1163" s="280">
        <f>F1163*E1163</f>
        <v>14124.599999999999</v>
      </c>
      <c r="H1163" s="47"/>
      <c r="I1163" s="313">
        <v>0</v>
      </c>
      <c r="J1163" s="47"/>
      <c r="K1163" s="313">
        <v>0</v>
      </c>
      <c r="L1163" s="47"/>
      <c r="M1163" s="313">
        <v>0</v>
      </c>
      <c r="N1163" s="47"/>
      <c r="O1163" s="315">
        <v>0</v>
      </c>
    </row>
    <row r="1164" spans="1:15" ht="15">
      <c r="A1164" s="59">
        <f t="shared" si="39"/>
        <v>12</v>
      </c>
      <c r="B1164" s="59" t="s">
        <v>1561</v>
      </c>
      <c r="C1164" s="100" t="s">
        <v>1562</v>
      </c>
      <c r="D1164" s="226" t="s">
        <v>32</v>
      </c>
      <c r="E1164" s="288">
        <v>10</v>
      </c>
      <c r="F1164" s="316">
        <v>54</v>
      </c>
      <c r="G1164" s="313">
        <v>0</v>
      </c>
      <c r="H1164" s="47"/>
      <c r="I1164" s="313">
        <v>0</v>
      </c>
      <c r="J1164" s="47"/>
      <c r="K1164" s="313">
        <v>0</v>
      </c>
      <c r="L1164" s="47"/>
      <c r="M1164" s="313">
        <v>0</v>
      </c>
      <c r="N1164" s="47"/>
      <c r="O1164" s="315">
        <f>F1164*E1164</f>
        <v>540</v>
      </c>
    </row>
    <row r="1165" spans="1:15" ht="15">
      <c r="A1165" s="59">
        <f t="shared" si="39"/>
        <v>13</v>
      </c>
      <c r="B1165" s="59" t="s">
        <v>678</v>
      </c>
      <c r="C1165" s="100" t="s">
        <v>1563</v>
      </c>
      <c r="D1165" s="226" t="s">
        <v>32</v>
      </c>
      <c r="E1165" s="288">
        <v>1000</v>
      </c>
      <c r="F1165" s="316">
        <v>1</v>
      </c>
      <c r="G1165" s="313">
        <v>0</v>
      </c>
      <c r="H1165" s="47"/>
      <c r="I1165" s="315">
        <v>1000</v>
      </c>
      <c r="J1165" s="47"/>
      <c r="K1165" s="313">
        <v>0</v>
      </c>
      <c r="L1165" s="47"/>
      <c r="M1165" s="313">
        <v>0</v>
      </c>
      <c r="N1165" s="47"/>
      <c r="O1165" s="315">
        <v>0</v>
      </c>
    </row>
    <row r="1166" spans="1:15">
      <c r="A1166" s="59">
        <f t="shared" si="39"/>
        <v>14</v>
      </c>
      <c r="B1166" s="286" t="s">
        <v>648</v>
      </c>
      <c r="C1166" s="90" t="s">
        <v>1564</v>
      </c>
      <c r="D1166" s="160" t="s">
        <v>32</v>
      </c>
      <c r="E1166" s="320">
        <v>10000</v>
      </c>
      <c r="F1166" s="14">
        <f>3-2</f>
        <v>1</v>
      </c>
      <c r="G1166" s="155">
        <v>0</v>
      </c>
      <c r="H1166" s="47"/>
      <c r="I1166" s="155">
        <v>0</v>
      </c>
      <c r="J1166" s="47"/>
      <c r="K1166" s="155">
        <v>0</v>
      </c>
      <c r="L1166" s="47"/>
      <c r="M1166" s="155">
        <v>0</v>
      </c>
      <c r="N1166" s="47"/>
      <c r="O1166" s="374">
        <f>E1166*F1166</f>
        <v>10000</v>
      </c>
    </row>
    <row r="1167" spans="1:15">
      <c r="A1167" s="59">
        <f t="shared" si="39"/>
        <v>15</v>
      </c>
      <c r="B1167" s="286"/>
      <c r="C1167" s="29" t="s">
        <v>1565</v>
      </c>
      <c r="D1167" s="160" t="s">
        <v>32</v>
      </c>
      <c r="E1167" s="321">
        <v>5000</v>
      </c>
      <c r="F1167" s="14">
        <v>1</v>
      </c>
      <c r="G1167" s="155">
        <v>0</v>
      </c>
      <c r="H1167" s="47"/>
      <c r="I1167" s="155">
        <f>E1167*F1167</f>
        <v>5000</v>
      </c>
      <c r="J1167" s="47"/>
      <c r="K1167" s="155">
        <v>0</v>
      </c>
      <c r="L1167" s="47"/>
      <c r="M1167" s="155">
        <v>0</v>
      </c>
      <c r="N1167" s="47"/>
      <c r="O1167" s="374">
        <v>0</v>
      </c>
    </row>
    <row r="1168" spans="1:15">
      <c r="A1168" s="59">
        <f t="shared" si="39"/>
        <v>16</v>
      </c>
      <c r="B1168" s="286"/>
      <c r="C1168" s="29" t="s">
        <v>1566</v>
      </c>
      <c r="D1168" s="160" t="s">
        <v>32</v>
      </c>
      <c r="E1168" s="321">
        <v>1000</v>
      </c>
      <c r="F1168" s="14">
        <v>2</v>
      </c>
      <c r="G1168" s="155">
        <v>0</v>
      </c>
      <c r="H1168" s="47"/>
      <c r="I1168" s="155">
        <f>E1168*F1168</f>
        <v>2000</v>
      </c>
      <c r="J1168" s="47"/>
      <c r="K1168" s="155">
        <v>0</v>
      </c>
      <c r="L1168" s="47"/>
      <c r="M1168" s="155">
        <v>0</v>
      </c>
      <c r="N1168" s="47"/>
      <c r="O1168" s="374">
        <v>0</v>
      </c>
    </row>
    <row r="1169" spans="1:15">
      <c r="A1169" s="59">
        <f t="shared" si="39"/>
        <v>17</v>
      </c>
      <c r="B1169" s="286" t="s">
        <v>1567</v>
      </c>
      <c r="C1169" s="90" t="s">
        <v>1568</v>
      </c>
      <c r="D1169" s="181" t="s">
        <v>32</v>
      </c>
      <c r="E1169" s="30">
        <v>12240</v>
      </c>
      <c r="F1169" s="14">
        <f>6-1-1-1-1</f>
        <v>2</v>
      </c>
      <c r="G1169" s="155">
        <v>0</v>
      </c>
      <c r="H1169" s="47"/>
      <c r="I1169" s="155">
        <v>0</v>
      </c>
      <c r="J1169" s="47"/>
      <c r="K1169" s="155">
        <v>0</v>
      </c>
      <c r="L1169" s="47"/>
      <c r="M1169" s="155">
        <f>F1169*E1169</f>
        <v>24480</v>
      </c>
      <c r="N1169" s="47"/>
      <c r="O1169" s="374">
        <v>0</v>
      </c>
    </row>
    <row r="1170" spans="1:15">
      <c r="A1170" s="59">
        <f t="shared" si="39"/>
        <v>18</v>
      </c>
      <c r="B1170" s="286" t="s">
        <v>1396</v>
      </c>
      <c r="C1170" s="90" t="s">
        <v>1569</v>
      </c>
      <c r="D1170" s="181" t="s">
        <v>32</v>
      </c>
      <c r="E1170" s="30">
        <v>12240</v>
      </c>
      <c r="F1170" s="14">
        <f>6-1-1-1-1</f>
        <v>2</v>
      </c>
      <c r="G1170" s="155">
        <v>0</v>
      </c>
      <c r="H1170" s="47"/>
      <c r="I1170" s="155">
        <v>0</v>
      </c>
      <c r="J1170" s="47"/>
      <c r="K1170" s="155">
        <v>0</v>
      </c>
      <c r="L1170" s="47"/>
      <c r="M1170" s="155">
        <f>F1170*E1170</f>
        <v>24480</v>
      </c>
      <c r="N1170" s="47"/>
      <c r="O1170" s="374">
        <v>0</v>
      </c>
    </row>
    <row r="1171" spans="1:15">
      <c r="A1171" s="59">
        <f t="shared" si="39"/>
        <v>19</v>
      </c>
      <c r="B1171" s="286" t="s">
        <v>1567</v>
      </c>
      <c r="C1171" s="90" t="s">
        <v>1570</v>
      </c>
      <c r="D1171" s="181" t="s">
        <v>32</v>
      </c>
      <c r="E1171" s="30">
        <v>12240</v>
      </c>
      <c r="F1171" s="14">
        <f>6-1-1-1-1</f>
        <v>2</v>
      </c>
      <c r="G1171" s="155">
        <v>0</v>
      </c>
      <c r="H1171" s="47"/>
      <c r="I1171" s="155">
        <v>0</v>
      </c>
      <c r="J1171" s="47"/>
      <c r="K1171" s="155">
        <v>0</v>
      </c>
      <c r="L1171" s="47"/>
      <c r="M1171" s="155">
        <f>F1171*E1171</f>
        <v>24480</v>
      </c>
      <c r="N1171" s="47"/>
      <c r="O1171" s="374">
        <v>0</v>
      </c>
    </row>
    <row r="1172" spans="1:15">
      <c r="A1172" s="59">
        <f t="shared" si="39"/>
        <v>20</v>
      </c>
      <c r="B1172" s="286" t="s">
        <v>1396</v>
      </c>
      <c r="C1172" s="90" t="s">
        <v>1571</v>
      </c>
      <c r="D1172" s="181" t="s">
        <v>32</v>
      </c>
      <c r="E1172" s="30">
        <v>12240</v>
      </c>
      <c r="F1172" s="14">
        <f>6-1-1-1-1</f>
        <v>2</v>
      </c>
      <c r="G1172" s="155">
        <v>0</v>
      </c>
      <c r="H1172" s="47"/>
      <c r="I1172" s="155">
        <v>0</v>
      </c>
      <c r="J1172" s="47"/>
      <c r="K1172" s="155">
        <v>0</v>
      </c>
      <c r="L1172" s="47"/>
      <c r="M1172" s="155">
        <f>F1172*E1172</f>
        <v>24480</v>
      </c>
      <c r="N1172" s="47"/>
      <c r="O1172" s="374">
        <v>0</v>
      </c>
    </row>
    <row r="1173" spans="1:15">
      <c r="A1173" s="59">
        <f t="shared" si="39"/>
        <v>21</v>
      </c>
      <c r="B1173" s="286" t="s">
        <v>1572</v>
      </c>
      <c r="C1173" s="90" t="s">
        <v>1573</v>
      </c>
      <c r="D1173" s="160" t="s">
        <v>32</v>
      </c>
      <c r="E1173" s="30">
        <v>25000</v>
      </c>
      <c r="F1173" s="14">
        <v>1</v>
      </c>
      <c r="G1173" s="155">
        <v>0</v>
      </c>
      <c r="H1173" s="47"/>
      <c r="I1173" s="155">
        <f>E1173*F1173</f>
        <v>25000</v>
      </c>
      <c r="J1173" s="47"/>
      <c r="K1173" s="155">
        <v>0</v>
      </c>
      <c r="L1173" s="47"/>
      <c r="M1173" s="155">
        <v>0</v>
      </c>
      <c r="N1173" s="47"/>
      <c r="O1173" s="374">
        <v>0</v>
      </c>
    </row>
    <row r="1174" spans="1:15">
      <c r="A1174" s="59">
        <f t="shared" si="39"/>
        <v>22</v>
      </c>
      <c r="B1174" s="286" t="s">
        <v>1574</v>
      </c>
      <c r="C1174" s="90" t="s">
        <v>1575</v>
      </c>
      <c r="D1174" s="160" t="s">
        <v>32</v>
      </c>
      <c r="E1174" s="30">
        <v>1493.5</v>
      </c>
      <c r="F1174" s="4">
        <f>44-3</f>
        <v>41</v>
      </c>
      <c r="G1174" s="155">
        <v>0</v>
      </c>
      <c r="H1174" s="47"/>
      <c r="I1174" s="155">
        <v>0</v>
      </c>
      <c r="J1174" s="47"/>
      <c r="K1174" s="155">
        <f>E1174*F1174</f>
        <v>61233.5</v>
      </c>
      <c r="L1174" s="47"/>
      <c r="M1174" s="155">
        <v>0</v>
      </c>
      <c r="N1174" s="47"/>
      <c r="O1174" s="374">
        <v>0</v>
      </c>
    </row>
    <row r="1175" spans="1:15">
      <c r="A1175" s="59">
        <f t="shared" si="39"/>
        <v>23</v>
      </c>
      <c r="B1175" s="286" t="s">
        <v>722</v>
      </c>
      <c r="C1175" s="90" t="s">
        <v>1576</v>
      </c>
      <c r="D1175" s="160" t="s">
        <v>32</v>
      </c>
      <c r="E1175" s="320">
        <v>25000</v>
      </c>
      <c r="F1175" s="14">
        <v>1</v>
      </c>
      <c r="G1175" s="155">
        <v>0</v>
      </c>
      <c r="H1175" s="47"/>
      <c r="I1175" s="155">
        <v>0</v>
      </c>
      <c r="J1175" s="47"/>
      <c r="K1175" s="155">
        <f>E1175*F1175</f>
        <v>25000</v>
      </c>
      <c r="L1175" s="47"/>
      <c r="M1175" s="155">
        <v>0</v>
      </c>
      <c r="N1175" s="47"/>
      <c r="O1175" s="374">
        <v>0</v>
      </c>
    </row>
    <row r="1176" spans="1:15">
      <c r="A1176" s="59">
        <f t="shared" si="39"/>
        <v>24</v>
      </c>
      <c r="B1176" s="286" t="s">
        <v>240</v>
      </c>
      <c r="C1176" s="90" t="s">
        <v>1577</v>
      </c>
      <c r="D1176" s="160" t="s">
        <v>32</v>
      </c>
      <c r="E1176" s="322">
        <v>27730</v>
      </c>
      <c r="F1176" s="14">
        <v>1</v>
      </c>
      <c r="G1176" s="155">
        <f t="shared" ref="G1176:G1213" si="40">F1176*E1176</f>
        <v>27730</v>
      </c>
      <c r="H1176" s="47"/>
      <c r="I1176" s="155">
        <v>0</v>
      </c>
      <c r="J1176" s="47"/>
      <c r="K1176" s="155">
        <v>0</v>
      </c>
      <c r="L1176" s="47"/>
      <c r="M1176" s="155">
        <v>0</v>
      </c>
      <c r="N1176" s="47"/>
      <c r="O1176" s="374">
        <v>0</v>
      </c>
    </row>
    <row r="1177" spans="1:15">
      <c r="A1177" s="59">
        <f t="shared" si="39"/>
        <v>25</v>
      </c>
      <c r="B1177" s="286" t="s">
        <v>891</v>
      </c>
      <c r="C1177" s="90" t="s">
        <v>1578</v>
      </c>
      <c r="D1177" s="160" t="s">
        <v>32</v>
      </c>
      <c r="E1177" s="322">
        <v>30680</v>
      </c>
      <c r="F1177" s="14">
        <f>2-1</f>
        <v>1</v>
      </c>
      <c r="G1177" s="155">
        <f t="shared" si="40"/>
        <v>30680</v>
      </c>
      <c r="H1177" s="47"/>
      <c r="I1177" s="155">
        <v>0</v>
      </c>
      <c r="J1177" s="47"/>
      <c r="K1177" s="155">
        <v>0</v>
      </c>
      <c r="L1177" s="47"/>
      <c r="M1177" s="155">
        <v>0</v>
      </c>
      <c r="N1177" s="47"/>
      <c r="O1177" s="374">
        <v>0</v>
      </c>
    </row>
    <row r="1178" spans="1:15">
      <c r="A1178" s="59">
        <f t="shared" si="39"/>
        <v>26</v>
      </c>
      <c r="B1178" s="287"/>
      <c r="C1178" s="323" t="s">
        <v>1166</v>
      </c>
      <c r="D1178" s="4" t="s">
        <v>593</v>
      </c>
      <c r="E1178" s="324">
        <v>110</v>
      </c>
      <c r="F1178" s="14">
        <f>150-25-25-5-20-15-20-20-4-6.94</f>
        <v>9.0599999999999987</v>
      </c>
      <c r="G1178" s="155">
        <f t="shared" si="40"/>
        <v>996.59999999999991</v>
      </c>
      <c r="H1178" s="47"/>
      <c r="I1178" s="155">
        <v>0</v>
      </c>
      <c r="J1178" s="47"/>
      <c r="K1178" s="155">
        <v>0</v>
      </c>
      <c r="L1178" s="47"/>
      <c r="M1178" s="155">
        <v>0</v>
      </c>
      <c r="N1178" s="47"/>
      <c r="O1178" s="374">
        <v>0</v>
      </c>
    </row>
    <row r="1179" spans="1:15">
      <c r="A1179" s="59">
        <f t="shared" si="39"/>
        <v>27</v>
      </c>
      <c r="B1179" s="286"/>
      <c r="C1179" s="323" t="s">
        <v>1579</v>
      </c>
      <c r="D1179" s="4" t="s">
        <v>32</v>
      </c>
      <c r="E1179" s="321">
        <v>5000</v>
      </c>
      <c r="F1179" s="14">
        <v>1</v>
      </c>
      <c r="G1179" s="155">
        <f t="shared" si="40"/>
        <v>5000</v>
      </c>
      <c r="H1179" s="47"/>
      <c r="I1179" s="155">
        <v>0</v>
      </c>
      <c r="J1179" s="47"/>
      <c r="K1179" s="155">
        <v>0</v>
      </c>
      <c r="L1179" s="47"/>
      <c r="M1179" s="155">
        <v>0</v>
      </c>
      <c r="N1179" s="47"/>
      <c r="O1179" s="374">
        <f>F1179*E1179</f>
        <v>5000</v>
      </c>
    </row>
    <row r="1180" spans="1:15">
      <c r="A1180" s="59">
        <f t="shared" si="39"/>
        <v>28</v>
      </c>
      <c r="B1180" s="286"/>
      <c r="C1180" s="29" t="s">
        <v>1580</v>
      </c>
      <c r="D1180" s="4" t="s">
        <v>32</v>
      </c>
      <c r="E1180" s="321">
        <v>973.5</v>
      </c>
      <c r="F1180" s="14">
        <v>22</v>
      </c>
      <c r="G1180" s="155">
        <f t="shared" si="40"/>
        <v>21417</v>
      </c>
      <c r="H1180" s="47"/>
      <c r="I1180" s="155">
        <v>0</v>
      </c>
      <c r="J1180" s="47"/>
      <c r="K1180" s="155">
        <v>0</v>
      </c>
      <c r="L1180" s="47"/>
      <c r="M1180" s="155">
        <v>0</v>
      </c>
      <c r="N1180" s="47"/>
      <c r="O1180" s="374">
        <v>0</v>
      </c>
    </row>
    <row r="1181" spans="1:15">
      <c r="A1181" s="59">
        <f t="shared" si="39"/>
        <v>29</v>
      </c>
      <c r="B1181" s="286"/>
      <c r="C1181" s="29" t="s">
        <v>1581</v>
      </c>
      <c r="D1181" s="4" t="s">
        <v>32</v>
      </c>
      <c r="E1181" s="321">
        <v>1445.5</v>
      </c>
      <c r="F1181" s="14">
        <v>66</v>
      </c>
      <c r="G1181" s="155">
        <f t="shared" si="40"/>
        <v>95403</v>
      </c>
      <c r="H1181" s="47"/>
      <c r="I1181" s="155">
        <v>0</v>
      </c>
      <c r="J1181" s="47"/>
      <c r="K1181" s="155">
        <v>0</v>
      </c>
      <c r="L1181" s="47"/>
      <c r="M1181" s="155">
        <v>0</v>
      </c>
      <c r="N1181" s="47"/>
      <c r="O1181" s="374">
        <v>0</v>
      </c>
    </row>
    <row r="1182" spans="1:15">
      <c r="A1182" s="59">
        <f t="shared" si="39"/>
        <v>30</v>
      </c>
      <c r="B1182" s="286"/>
      <c r="C1182" s="29" t="s">
        <v>1582</v>
      </c>
      <c r="D1182" s="4" t="s">
        <v>32</v>
      </c>
      <c r="E1182" s="321">
        <v>8850</v>
      </c>
      <c r="F1182" s="14">
        <f>15-3</f>
        <v>12</v>
      </c>
      <c r="G1182" s="155">
        <f t="shared" si="40"/>
        <v>106200</v>
      </c>
      <c r="H1182" s="47"/>
      <c r="I1182" s="155">
        <v>0</v>
      </c>
      <c r="J1182" s="47"/>
      <c r="K1182" s="155">
        <v>0</v>
      </c>
      <c r="L1182" s="47"/>
      <c r="M1182" s="155">
        <v>0</v>
      </c>
      <c r="N1182" s="47"/>
      <c r="O1182" s="374">
        <v>0</v>
      </c>
    </row>
    <row r="1183" spans="1:15">
      <c r="A1183" s="59">
        <f t="shared" si="39"/>
        <v>31</v>
      </c>
      <c r="B1183" s="286"/>
      <c r="C1183" s="29" t="s">
        <v>1583</v>
      </c>
      <c r="D1183" s="4" t="s">
        <v>32</v>
      </c>
      <c r="E1183" s="321">
        <v>8850</v>
      </c>
      <c r="F1183" s="14">
        <f>15-3</f>
        <v>12</v>
      </c>
      <c r="G1183" s="155">
        <f t="shared" si="40"/>
        <v>106200</v>
      </c>
      <c r="H1183" s="47"/>
      <c r="I1183" s="155">
        <v>0</v>
      </c>
      <c r="J1183" s="47"/>
      <c r="K1183" s="155">
        <v>0</v>
      </c>
      <c r="L1183" s="47"/>
      <c r="M1183" s="155">
        <v>0</v>
      </c>
      <c r="N1183" s="47"/>
      <c r="O1183" s="374">
        <v>0</v>
      </c>
    </row>
    <row r="1184" spans="1:15">
      <c r="A1184" s="59">
        <f t="shared" si="39"/>
        <v>32</v>
      </c>
      <c r="B1184" s="286"/>
      <c r="C1184" s="29" t="s">
        <v>1584</v>
      </c>
      <c r="D1184" s="4" t="s">
        <v>32</v>
      </c>
      <c r="E1184" s="321">
        <v>4130</v>
      </c>
      <c r="F1184" s="14">
        <f>5-1</f>
        <v>4</v>
      </c>
      <c r="G1184" s="155">
        <f t="shared" si="40"/>
        <v>16520</v>
      </c>
      <c r="H1184" s="47"/>
      <c r="I1184" s="155">
        <v>0</v>
      </c>
      <c r="J1184" s="47"/>
      <c r="K1184" s="155">
        <v>0</v>
      </c>
      <c r="L1184" s="47"/>
      <c r="M1184" s="155">
        <v>0</v>
      </c>
      <c r="N1184" s="47"/>
      <c r="O1184" s="374">
        <v>0</v>
      </c>
    </row>
    <row r="1185" spans="1:15">
      <c r="A1185" s="59">
        <f t="shared" si="39"/>
        <v>33</v>
      </c>
      <c r="B1185" s="286"/>
      <c r="C1185" s="29" t="s">
        <v>1585</v>
      </c>
      <c r="D1185" s="4" t="s">
        <v>32</v>
      </c>
      <c r="E1185" s="321">
        <v>6572.6</v>
      </c>
      <c r="F1185" s="14">
        <f>20-4-6-4-1-3</f>
        <v>2</v>
      </c>
      <c r="G1185" s="155">
        <f t="shared" si="40"/>
        <v>13145.2</v>
      </c>
      <c r="H1185" s="47"/>
      <c r="I1185" s="155">
        <v>0</v>
      </c>
      <c r="J1185" s="47"/>
      <c r="K1185" s="155">
        <v>0</v>
      </c>
      <c r="L1185" s="47"/>
      <c r="M1185" s="155">
        <v>0</v>
      </c>
      <c r="N1185" s="47"/>
      <c r="O1185" s="374">
        <v>0</v>
      </c>
    </row>
    <row r="1186" spans="1:15">
      <c r="A1186" s="59">
        <f t="shared" si="39"/>
        <v>34</v>
      </c>
      <c r="B1186" s="286"/>
      <c r="C1186" s="29" t="s">
        <v>1586</v>
      </c>
      <c r="D1186" s="4" t="s">
        <v>32</v>
      </c>
      <c r="E1186" s="321">
        <v>29981.439999999999</v>
      </c>
      <c r="F1186" s="14">
        <f>6-2-3</f>
        <v>1</v>
      </c>
      <c r="G1186" s="155">
        <f t="shared" si="40"/>
        <v>29981.439999999999</v>
      </c>
      <c r="H1186" s="47"/>
      <c r="I1186" s="155">
        <v>0</v>
      </c>
      <c r="J1186" s="47"/>
      <c r="K1186" s="155">
        <v>0</v>
      </c>
      <c r="L1186" s="47"/>
      <c r="M1186" s="155">
        <v>0</v>
      </c>
      <c r="N1186" s="47"/>
      <c r="O1186" s="374">
        <v>0</v>
      </c>
    </row>
    <row r="1187" spans="1:15">
      <c r="A1187" s="59">
        <f t="shared" si="39"/>
        <v>35</v>
      </c>
      <c r="B1187" s="286"/>
      <c r="C1187" s="29" t="s">
        <v>1587</v>
      </c>
      <c r="D1187" s="226" t="s">
        <v>381</v>
      </c>
      <c r="E1187" s="321">
        <v>300000</v>
      </c>
      <c r="F1187" s="130">
        <v>0.1</v>
      </c>
      <c r="G1187" s="155">
        <f t="shared" si="40"/>
        <v>30000</v>
      </c>
      <c r="H1187" s="47"/>
      <c r="I1187" s="155">
        <v>0</v>
      </c>
      <c r="J1187" s="47"/>
      <c r="K1187" s="155">
        <v>0</v>
      </c>
      <c r="L1187" s="47"/>
      <c r="M1187" s="155">
        <v>0</v>
      </c>
      <c r="N1187" s="47"/>
      <c r="O1187" s="374">
        <v>0</v>
      </c>
    </row>
    <row r="1188" spans="1:15">
      <c r="A1188" s="59">
        <f t="shared" si="39"/>
        <v>36</v>
      </c>
      <c r="B1188" s="286"/>
      <c r="C1188" s="29" t="s">
        <v>1588</v>
      </c>
      <c r="D1188" s="226" t="s">
        <v>32</v>
      </c>
      <c r="E1188" s="321">
        <v>29205</v>
      </c>
      <c r="F1188" s="14">
        <f>3-2</f>
        <v>1</v>
      </c>
      <c r="G1188" s="155">
        <f t="shared" si="40"/>
        <v>29205</v>
      </c>
      <c r="H1188" s="47"/>
      <c r="I1188" s="155">
        <v>0</v>
      </c>
      <c r="J1188" s="47"/>
      <c r="K1188" s="155">
        <v>0</v>
      </c>
      <c r="L1188" s="47"/>
      <c r="M1188" s="155">
        <v>0</v>
      </c>
      <c r="N1188" s="47"/>
      <c r="O1188" s="374">
        <v>0</v>
      </c>
    </row>
    <row r="1189" spans="1:15">
      <c r="A1189" s="59">
        <f t="shared" si="39"/>
        <v>37</v>
      </c>
      <c r="B1189" s="286"/>
      <c r="C1189" s="29" t="s">
        <v>1589</v>
      </c>
      <c r="D1189" s="226" t="s">
        <v>32</v>
      </c>
      <c r="E1189" s="321">
        <v>44663</v>
      </c>
      <c r="F1189" s="14">
        <v>2</v>
      </c>
      <c r="G1189" s="155">
        <f t="shared" si="40"/>
        <v>89326</v>
      </c>
      <c r="H1189" s="47"/>
      <c r="I1189" s="155">
        <v>0</v>
      </c>
      <c r="J1189" s="47"/>
      <c r="K1189" s="155">
        <v>0</v>
      </c>
      <c r="L1189" s="47"/>
      <c r="M1189" s="155">
        <v>0</v>
      </c>
      <c r="N1189" s="47"/>
      <c r="O1189" s="374">
        <v>0</v>
      </c>
    </row>
    <row r="1190" spans="1:15">
      <c r="A1190" s="59">
        <f t="shared" si="39"/>
        <v>38</v>
      </c>
      <c r="B1190" s="286"/>
      <c r="C1190" s="29" t="s">
        <v>1589</v>
      </c>
      <c r="D1190" s="226" t="s">
        <v>32</v>
      </c>
      <c r="E1190" s="321">
        <v>55401</v>
      </c>
      <c r="F1190" s="14">
        <v>2</v>
      </c>
      <c r="G1190" s="155">
        <f t="shared" si="40"/>
        <v>110802</v>
      </c>
      <c r="H1190" s="47"/>
      <c r="I1190" s="155">
        <v>0</v>
      </c>
      <c r="J1190" s="47"/>
      <c r="K1190" s="155">
        <v>0</v>
      </c>
      <c r="L1190" s="47"/>
      <c r="M1190" s="155">
        <v>0</v>
      </c>
      <c r="N1190" s="47"/>
      <c r="O1190" s="374">
        <v>0</v>
      </c>
    </row>
    <row r="1191" spans="1:15">
      <c r="A1191" s="59">
        <f t="shared" si="39"/>
        <v>39</v>
      </c>
      <c r="B1191" s="286"/>
      <c r="C1191" s="29" t="s">
        <v>1590</v>
      </c>
      <c r="D1191" s="226" t="s">
        <v>32</v>
      </c>
      <c r="E1191" s="321">
        <v>16461</v>
      </c>
      <c r="F1191" s="14">
        <f>2-1</f>
        <v>1</v>
      </c>
      <c r="G1191" s="155">
        <f t="shared" si="40"/>
        <v>16461</v>
      </c>
      <c r="H1191" s="47"/>
      <c r="I1191" s="155">
        <v>0</v>
      </c>
      <c r="J1191" s="47"/>
      <c r="K1191" s="155">
        <v>0</v>
      </c>
      <c r="L1191" s="47"/>
      <c r="M1191" s="155">
        <v>0</v>
      </c>
      <c r="N1191" s="47"/>
      <c r="O1191" s="374">
        <v>0</v>
      </c>
    </row>
    <row r="1192" spans="1:15">
      <c r="A1192" s="59">
        <f t="shared" si="39"/>
        <v>40</v>
      </c>
      <c r="B1192" s="286"/>
      <c r="C1192" s="29" t="s">
        <v>1591</v>
      </c>
      <c r="D1192" s="226" t="s">
        <v>32</v>
      </c>
      <c r="E1192" s="321">
        <v>15930</v>
      </c>
      <c r="F1192" s="14">
        <f>2-1</f>
        <v>1</v>
      </c>
      <c r="G1192" s="155">
        <f t="shared" si="40"/>
        <v>15930</v>
      </c>
      <c r="H1192" s="47"/>
      <c r="I1192" s="155">
        <v>0</v>
      </c>
      <c r="J1192" s="47"/>
      <c r="K1192" s="155">
        <v>0</v>
      </c>
      <c r="L1192" s="47"/>
      <c r="M1192" s="155">
        <v>0</v>
      </c>
      <c r="N1192" s="47"/>
      <c r="O1192" s="374">
        <v>0</v>
      </c>
    </row>
    <row r="1193" spans="1:15">
      <c r="A1193" s="59">
        <f t="shared" si="39"/>
        <v>41</v>
      </c>
      <c r="B1193" s="286"/>
      <c r="C1193" s="29" t="s">
        <v>1592</v>
      </c>
      <c r="D1193" s="226" t="s">
        <v>32</v>
      </c>
      <c r="E1193" s="321">
        <v>6903</v>
      </c>
      <c r="F1193" s="14">
        <f>6-3</f>
        <v>3</v>
      </c>
      <c r="G1193" s="155">
        <f t="shared" si="40"/>
        <v>20709</v>
      </c>
      <c r="H1193" s="47"/>
      <c r="I1193" s="155">
        <v>0</v>
      </c>
      <c r="J1193" s="47"/>
      <c r="K1193" s="155">
        <v>0</v>
      </c>
      <c r="L1193" s="47"/>
      <c r="M1193" s="155">
        <v>0</v>
      </c>
      <c r="N1193" s="47"/>
      <c r="O1193" s="374">
        <v>0</v>
      </c>
    </row>
    <row r="1194" spans="1:15">
      <c r="A1194" s="59">
        <f t="shared" si="39"/>
        <v>42</v>
      </c>
      <c r="B1194" s="286"/>
      <c r="C1194" s="29" t="s">
        <v>1593</v>
      </c>
      <c r="D1194" s="226" t="s">
        <v>32</v>
      </c>
      <c r="E1194" s="288">
        <v>6254</v>
      </c>
      <c r="F1194" s="14">
        <f>5-3</f>
        <v>2</v>
      </c>
      <c r="G1194" s="155">
        <f t="shared" si="40"/>
        <v>12508</v>
      </c>
      <c r="H1194" s="47"/>
      <c r="I1194" s="155">
        <v>0</v>
      </c>
      <c r="J1194" s="47"/>
      <c r="K1194" s="155">
        <v>0</v>
      </c>
      <c r="L1194" s="47"/>
      <c r="M1194" s="155">
        <v>0</v>
      </c>
      <c r="N1194" s="47"/>
      <c r="O1194" s="374">
        <v>0</v>
      </c>
    </row>
    <row r="1195" spans="1:15">
      <c r="A1195" s="59">
        <f t="shared" si="39"/>
        <v>43</v>
      </c>
      <c r="B1195" s="286"/>
      <c r="C1195" s="29" t="s">
        <v>1594</v>
      </c>
      <c r="D1195" s="226" t="s">
        <v>32</v>
      </c>
      <c r="E1195" s="288">
        <v>4012</v>
      </c>
      <c r="F1195" s="14">
        <v>3</v>
      </c>
      <c r="G1195" s="155">
        <f t="shared" si="40"/>
        <v>12036</v>
      </c>
      <c r="H1195" s="47"/>
      <c r="I1195" s="155">
        <v>0</v>
      </c>
      <c r="J1195" s="47"/>
      <c r="K1195" s="155">
        <v>0</v>
      </c>
      <c r="L1195" s="47"/>
      <c r="M1195" s="155">
        <v>0</v>
      </c>
      <c r="N1195" s="47"/>
      <c r="O1195" s="374">
        <v>0</v>
      </c>
    </row>
    <row r="1196" spans="1:15">
      <c r="A1196" s="59">
        <f t="shared" si="39"/>
        <v>44</v>
      </c>
      <c r="B1196" s="286"/>
      <c r="C1196" s="29" t="s">
        <v>1593</v>
      </c>
      <c r="D1196" s="226" t="s">
        <v>32</v>
      </c>
      <c r="E1196" s="288">
        <v>5675.7999999999993</v>
      </c>
      <c r="F1196" s="14">
        <f>5-3</f>
        <v>2</v>
      </c>
      <c r="G1196" s="155">
        <f t="shared" si="40"/>
        <v>11351.599999999999</v>
      </c>
      <c r="H1196" s="47"/>
      <c r="I1196" s="155">
        <v>0</v>
      </c>
      <c r="J1196" s="47"/>
      <c r="K1196" s="155">
        <v>0</v>
      </c>
      <c r="L1196" s="47"/>
      <c r="M1196" s="155">
        <v>0</v>
      </c>
      <c r="N1196" s="47"/>
      <c r="O1196" s="374">
        <v>0</v>
      </c>
    </row>
    <row r="1197" spans="1:15">
      <c r="A1197" s="59">
        <f t="shared" si="39"/>
        <v>45</v>
      </c>
      <c r="B1197" s="286"/>
      <c r="C1197" s="29" t="s">
        <v>1593</v>
      </c>
      <c r="D1197" s="226" t="s">
        <v>32</v>
      </c>
      <c r="E1197" s="288">
        <v>4897</v>
      </c>
      <c r="F1197" s="14">
        <v>8</v>
      </c>
      <c r="G1197" s="155">
        <f t="shared" si="40"/>
        <v>39176</v>
      </c>
      <c r="H1197" s="47"/>
      <c r="I1197" s="155">
        <v>0</v>
      </c>
      <c r="J1197" s="47"/>
      <c r="K1197" s="155">
        <v>0</v>
      </c>
      <c r="L1197" s="47"/>
      <c r="M1197" s="155">
        <v>0</v>
      </c>
      <c r="N1197" s="47"/>
      <c r="O1197" s="374">
        <v>0</v>
      </c>
    </row>
    <row r="1198" spans="1:15">
      <c r="A1198" s="59">
        <f t="shared" si="39"/>
        <v>46</v>
      </c>
      <c r="B1198" s="286"/>
      <c r="C1198" s="325" t="s">
        <v>1595</v>
      </c>
      <c r="D1198" s="226" t="s">
        <v>32</v>
      </c>
      <c r="E1198" s="288">
        <v>413000</v>
      </c>
      <c r="F1198" s="14">
        <v>1</v>
      </c>
      <c r="G1198" s="155">
        <f t="shared" si="40"/>
        <v>413000</v>
      </c>
      <c r="H1198" s="47"/>
      <c r="I1198" s="155">
        <v>0</v>
      </c>
      <c r="J1198" s="47"/>
      <c r="K1198" s="155">
        <v>0</v>
      </c>
      <c r="L1198" s="47"/>
      <c r="M1198" s="155">
        <v>0</v>
      </c>
      <c r="N1198" s="47"/>
      <c r="O1198" s="374">
        <v>0</v>
      </c>
    </row>
    <row r="1199" spans="1:15">
      <c r="A1199" s="59">
        <f t="shared" si="39"/>
        <v>47</v>
      </c>
      <c r="B1199" s="286"/>
      <c r="C1199" s="325" t="s">
        <v>1596</v>
      </c>
      <c r="D1199" s="226" t="s">
        <v>32</v>
      </c>
      <c r="E1199" s="288">
        <v>9440</v>
      </c>
      <c r="F1199" s="14">
        <v>4</v>
      </c>
      <c r="G1199" s="155">
        <f t="shared" si="40"/>
        <v>37760</v>
      </c>
      <c r="H1199" s="47"/>
      <c r="I1199" s="155">
        <v>0</v>
      </c>
      <c r="J1199" s="47"/>
      <c r="K1199" s="155">
        <v>0</v>
      </c>
      <c r="L1199" s="47"/>
      <c r="M1199" s="155">
        <v>0</v>
      </c>
      <c r="N1199" s="47"/>
      <c r="O1199" s="374">
        <v>0</v>
      </c>
    </row>
    <row r="1200" spans="1:15">
      <c r="A1200" s="59">
        <f t="shared" si="39"/>
        <v>48</v>
      </c>
      <c r="B1200" s="286"/>
      <c r="C1200" s="29" t="s">
        <v>1597</v>
      </c>
      <c r="D1200" s="226" t="s">
        <v>32</v>
      </c>
      <c r="E1200" s="288">
        <v>559320</v>
      </c>
      <c r="F1200" s="14">
        <v>1</v>
      </c>
      <c r="G1200" s="155">
        <f t="shared" si="40"/>
        <v>559320</v>
      </c>
      <c r="H1200" s="47"/>
      <c r="I1200" s="155">
        <v>0</v>
      </c>
      <c r="J1200" s="47"/>
      <c r="K1200" s="155">
        <v>0</v>
      </c>
      <c r="L1200" s="47"/>
      <c r="M1200" s="155">
        <v>0</v>
      </c>
      <c r="N1200" s="47"/>
      <c r="O1200" s="374">
        <v>0</v>
      </c>
    </row>
    <row r="1201" spans="1:15">
      <c r="A1201" s="59">
        <f t="shared" si="39"/>
        <v>49</v>
      </c>
      <c r="B1201" s="286"/>
      <c r="C1201" s="29" t="s">
        <v>1598</v>
      </c>
      <c r="D1201" s="226" t="s">
        <v>32</v>
      </c>
      <c r="E1201" s="288">
        <v>413000</v>
      </c>
      <c r="F1201" s="14">
        <v>2</v>
      </c>
      <c r="G1201" s="155">
        <f t="shared" si="40"/>
        <v>826000</v>
      </c>
      <c r="H1201" s="47"/>
      <c r="I1201" s="155">
        <v>0</v>
      </c>
      <c r="J1201" s="47"/>
      <c r="K1201" s="155">
        <v>0</v>
      </c>
      <c r="L1201" s="47"/>
      <c r="M1201" s="155">
        <v>0</v>
      </c>
      <c r="N1201" s="47"/>
      <c r="O1201" s="374">
        <v>0</v>
      </c>
    </row>
    <row r="1202" spans="1:15">
      <c r="A1202" s="59">
        <f t="shared" si="39"/>
        <v>50</v>
      </c>
      <c r="B1202" s="286"/>
      <c r="C1202" s="29" t="s">
        <v>1599</v>
      </c>
      <c r="D1202" s="226" t="s">
        <v>32</v>
      </c>
      <c r="E1202" s="288">
        <v>5310</v>
      </c>
      <c r="F1202" s="14">
        <v>7</v>
      </c>
      <c r="G1202" s="155">
        <f t="shared" si="40"/>
        <v>37170</v>
      </c>
      <c r="H1202" s="47"/>
      <c r="I1202" s="155">
        <v>0</v>
      </c>
      <c r="J1202" s="47"/>
      <c r="K1202" s="155">
        <v>0</v>
      </c>
      <c r="L1202" s="47"/>
      <c r="M1202" s="155">
        <v>0</v>
      </c>
      <c r="N1202" s="47"/>
      <c r="O1202" s="374">
        <v>0</v>
      </c>
    </row>
    <row r="1203" spans="1:15">
      <c r="A1203" s="59">
        <f t="shared" si="39"/>
        <v>51</v>
      </c>
      <c r="B1203" s="286"/>
      <c r="C1203" s="29" t="s">
        <v>1600</v>
      </c>
      <c r="D1203" s="226" t="s">
        <v>32</v>
      </c>
      <c r="E1203" s="288">
        <v>3658</v>
      </c>
      <c r="F1203" s="14">
        <v>6</v>
      </c>
      <c r="G1203" s="155">
        <f t="shared" si="40"/>
        <v>21948</v>
      </c>
      <c r="H1203" s="47"/>
      <c r="I1203" s="155">
        <v>0</v>
      </c>
      <c r="J1203" s="47"/>
      <c r="K1203" s="155">
        <v>0</v>
      </c>
      <c r="L1203" s="47"/>
      <c r="M1203" s="155">
        <v>0</v>
      </c>
      <c r="N1203" s="47"/>
      <c r="O1203" s="374">
        <v>0</v>
      </c>
    </row>
    <row r="1204" spans="1:15">
      <c r="A1204" s="59">
        <f t="shared" si="39"/>
        <v>52</v>
      </c>
      <c r="B1204" s="286"/>
      <c r="C1204" s="29" t="s">
        <v>1601</v>
      </c>
      <c r="D1204" s="226" t="s">
        <v>32</v>
      </c>
      <c r="E1204" s="288">
        <v>182900</v>
      </c>
      <c r="F1204" s="14">
        <v>1</v>
      </c>
      <c r="G1204" s="155">
        <f t="shared" si="40"/>
        <v>182900</v>
      </c>
      <c r="H1204" s="47"/>
      <c r="I1204" s="155">
        <v>0</v>
      </c>
      <c r="J1204" s="47"/>
      <c r="K1204" s="155">
        <v>0</v>
      </c>
      <c r="L1204" s="47"/>
      <c r="M1204" s="155">
        <v>0</v>
      </c>
      <c r="N1204" s="47"/>
      <c r="O1204" s="374">
        <v>0</v>
      </c>
    </row>
    <row r="1205" spans="1:15">
      <c r="A1205" s="59">
        <f t="shared" si="39"/>
        <v>53</v>
      </c>
      <c r="B1205" s="286"/>
      <c r="C1205" s="29" t="s">
        <v>1602</v>
      </c>
      <c r="D1205" s="226" t="s">
        <v>593</v>
      </c>
      <c r="E1205" s="288">
        <v>64900</v>
      </c>
      <c r="F1205" s="14">
        <v>0.5</v>
      </c>
      <c r="G1205" s="155">
        <f t="shared" si="40"/>
        <v>32450</v>
      </c>
      <c r="H1205" s="47"/>
      <c r="I1205" s="155">
        <v>0</v>
      </c>
      <c r="J1205" s="47"/>
      <c r="K1205" s="155">
        <v>0</v>
      </c>
      <c r="L1205" s="47"/>
      <c r="M1205" s="155">
        <v>0</v>
      </c>
      <c r="N1205" s="47"/>
      <c r="O1205" s="374">
        <v>0</v>
      </c>
    </row>
    <row r="1206" spans="1:15">
      <c r="A1206" s="59">
        <f t="shared" si="39"/>
        <v>54</v>
      </c>
      <c r="B1206" s="286"/>
      <c r="C1206" s="29" t="s">
        <v>1603</v>
      </c>
      <c r="D1206" s="226" t="s">
        <v>32</v>
      </c>
      <c r="E1206" s="288">
        <v>6490</v>
      </c>
      <c r="F1206" s="14">
        <v>6</v>
      </c>
      <c r="G1206" s="155">
        <f t="shared" si="40"/>
        <v>38940</v>
      </c>
      <c r="H1206" s="47"/>
      <c r="I1206" s="155">
        <v>0</v>
      </c>
      <c r="J1206" s="47"/>
      <c r="K1206" s="155">
        <v>0</v>
      </c>
      <c r="L1206" s="47"/>
      <c r="M1206" s="155">
        <v>0</v>
      </c>
      <c r="N1206" s="47"/>
      <c r="O1206" s="374">
        <v>0</v>
      </c>
    </row>
    <row r="1207" spans="1:15">
      <c r="A1207" s="59">
        <f t="shared" si="39"/>
        <v>55</v>
      </c>
      <c r="B1207" s="286"/>
      <c r="C1207" s="29" t="s">
        <v>1592</v>
      </c>
      <c r="D1207" s="226" t="s">
        <v>32</v>
      </c>
      <c r="E1207" s="288">
        <v>6490</v>
      </c>
      <c r="F1207" s="14">
        <v>6</v>
      </c>
      <c r="G1207" s="155">
        <f t="shared" si="40"/>
        <v>38940</v>
      </c>
      <c r="H1207" s="47"/>
      <c r="I1207" s="155">
        <v>0</v>
      </c>
      <c r="J1207" s="47"/>
      <c r="K1207" s="155">
        <v>0</v>
      </c>
      <c r="L1207" s="47"/>
      <c r="M1207" s="155">
        <v>0</v>
      </c>
      <c r="N1207" s="47"/>
      <c r="O1207" s="374">
        <v>0</v>
      </c>
    </row>
    <row r="1208" spans="1:15">
      <c r="A1208" s="59">
        <f t="shared" si="39"/>
        <v>56</v>
      </c>
      <c r="B1208" s="286"/>
      <c r="C1208" s="29" t="s">
        <v>1584</v>
      </c>
      <c r="D1208" s="226" t="s">
        <v>32</v>
      </c>
      <c r="E1208" s="288">
        <v>6490</v>
      </c>
      <c r="F1208" s="14">
        <v>6</v>
      </c>
      <c r="G1208" s="155">
        <f t="shared" si="40"/>
        <v>38940</v>
      </c>
      <c r="H1208" s="47"/>
      <c r="I1208" s="155">
        <v>0</v>
      </c>
      <c r="J1208" s="47"/>
      <c r="K1208" s="155">
        <v>0</v>
      </c>
      <c r="L1208" s="47"/>
      <c r="M1208" s="155">
        <v>0</v>
      </c>
      <c r="N1208" s="47"/>
      <c r="O1208" s="374">
        <v>0</v>
      </c>
    </row>
    <row r="1209" spans="1:15">
      <c r="A1209" s="59">
        <f t="shared" si="39"/>
        <v>57</v>
      </c>
      <c r="B1209" s="286"/>
      <c r="C1209" s="29" t="s">
        <v>1604</v>
      </c>
      <c r="D1209" s="226" t="s">
        <v>593</v>
      </c>
      <c r="E1209" s="288">
        <v>139240</v>
      </c>
      <c r="F1209" s="14">
        <v>0.1</v>
      </c>
      <c r="G1209" s="155">
        <f t="shared" si="40"/>
        <v>13924</v>
      </c>
      <c r="H1209" s="47"/>
      <c r="I1209" s="155">
        <v>0</v>
      </c>
      <c r="J1209" s="47"/>
      <c r="K1209" s="155">
        <v>0</v>
      </c>
      <c r="L1209" s="47"/>
      <c r="M1209" s="155">
        <v>0</v>
      </c>
      <c r="N1209" s="47"/>
      <c r="O1209" s="374">
        <v>0</v>
      </c>
    </row>
    <row r="1210" spans="1:15">
      <c r="A1210" s="59">
        <f t="shared" si="39"/>
        <v>58</v>
      </c>
      <c r="B1210" s="286"/>
      <c r="C1210" s="29" t="s">
        <v>1605</v>
      </c>
      <c r="D1210" s="226" t="s">
        <v>370</v>
      </c>
      <c r="E1210" s="288">
        <v>76.7</v>
      </c>
      <c r="F1210" s="14">
        <v>50</v>
      </c>
      <c r="G1210" s="155">
        <f t="shared" si="40"/>
        <v>3835</v>
      </c>
      <c r="H1210" s="47"/>
      <c r="I1210" s="155">
        <v>0</v>
      </c>
      <c r="J1210" s="47"/>
      <c r="K1210" s="155">
        <v>0</v>
      </c>
      <c r="L1210" s="47"/>
      <c r="M1210" s="155">
        <v>0</v>
      </c>
      <c r="N1210" s="47"/>
      <c r="O1210" s="374">
        <v>0</v>
      </c>
    </row>
    <row r="1211" spans="1:15">
      <c r="A1211" s="59">
        <f t="shared" si="39"/>
        <v>59</v>
      </c>
      <c r="B1211" s="286"/>
      <c r="C1211" s="29" t="s">
        <v>1606</v>
      </c>
      <c r="D1211" s="226" t="s">
        <v>23</v>
      </c>
      <c r="E1211" s="288">
        <v>295</v>
      </c>
      <c r="F1211" s="14">
        <v>1</v>
      </c>
      <c r="G1211" s="155">
        <f t="shared" si="40"/>
        <v>295</v>
      </c>
      <c r="H1211" s="47"/>
      <c r="I1211" s="155">
        <v>0</v>
      </c>
      <c r="J1211" s="47"/>
      <c r="K1211" s="155">
        <v>0</v>
      </c>
      <c r="L1211" s="47"/>
      <c r="M1211" s="155">
        <v>0</v>
      </c>
      <c r="N1211" s="47"/>
      <c r="O1211" s="374">
        <v>0</v>
      </c>
    </row>
    <row r="1212" spans="1:15">
      <c r="A1212" s="59">
        <f t="shared" si="39"/>
        <v>60</v>
      </c>
      <c r="B1212" s="286"/>
      <c r="C1212" s="29" t="s">
        <v>1461</v>
      </c>
      <c r="D1212" s="226" t="s">
        <v>32</v>
      </c>
      <c r="E1212" s="288">
        <v>413</v>
      </c>
      <c r="F1212" s="14">
        <v>1</v>
      </c>
      <c r="G1212" s="155">
        <f t="shared" si="40"/>
        <v>413</v>
      </c>
      <c r="H1212" s="47"/>
      <c r="I1212" s="155">
        <v>0</v>
      </c>
      <c r="J1212" s="47"/>
      <c r="K1212" s="155">
        <v>0</v>
      </c>
      <c r="L1212" s="47"/>
      <c r="M1212" s="155">
        <v>0</v>
      </c>
      <c r="N1212" s="47"/>
      <c r="O1212" s="374">
        <v>0</v>
      </c>
    </row>
    <row r="1213" spans="1:15">
      <c r="A1213" s="59">
        <f t="shared" si="39"/>
        <v>61</v>
      </c>
      <c r="B1213" s="286"/>
      <c r="C1213" s="29" t="s">
        <v>1607</v>
      </c>
      <c r="D1213" s="226" t="s">
        <v>32</v>
      </c>
      <c r="E1213" s="288">
        <v>100300</v>
      </c>
      <c r="F1213" s="14">
        <v>6</v>
      </c>
      <c r="G1213" s="155">
        <f t="shared" si="40"/>
        <v>601800</v>
      </c>
      <c r="H1213" s="47"/>
      <c r="I1213" s="155">
        <v>0</v>
      </c>
      <c r="J1213" s="47"/>
      <c r="K1213" s="155">
        <v>0</v>
      </c>
      <c r="L1213" s="47"/>
      <c r="M1213" s="155">
        <v>0</v>
      </c>
      <c r="N1213" s="47"/>
      <c r="O1213" s="374">
        <v>0</v>
      </c>
    </row>
    <row r="1214" spans="1:15" ht="15">
      <c r="A1214" s="17"/>
      <c r="F1214" s="155">
        <f>SUM(F1153:F1203)</f>
        <v>330.16</v>
      </c>
      <c r="G1214" s="326">
        <f>SUM(G1153:G1213)</f>
        <v>3728031.24</v>
      </c>
      <c r="H1214" s="47"/>
      <c r="I1214" s="326">
        <f>SUM(I1153:I1177)</f>
        <v>40500</v>
      </c>
      <c r="J1214" s="47"/>
      <c r="K1214" s="326">
        <f>SUM(K1166:K1177)</f>
        <v>86233.5</v>
      </c>
      <c r="L1214" s="47"/>
      <c r="M1214" s="326">
        <f>SUM(M1166:M1177)</f>
        <v>97920</v>
      </c>
      <c r="N1214" s="47"/>
      <c r="O1214" s="375">
        <f>SUM(O1153:O1177)</f>
        <v>14390</v>
      </c>
    </row>
    <row r="1215" spans="1:15" ht="15">
      <c r="A1215" s="360" t="s">
        <v>1608</v>
      </c>
      <c r="B1215" s="361"/>
      <c r="C1215" s="361"/>
      <c r="D1215" s="362"/>
      <c r="E1215" s="90"/>
    </row>
    <row r="1216" spans="1:15" ht="15">
      <c r="A1216" s="363" t="s">
        <v>1538</v>
      </c>
      <c r="B1216" s="363"/>
      <c r="C1216" s="363"/>
      <c r="D1216" s="363"/>
      <c r="E1216" s="363"/>
      <c r="F1216" s="363"/>
      <c r="G1216" s="363"/>
      <c r="H1216" s="363"/>
      <c r="I1216" s="363"/>
      <c r="J1216" s="363"/>
      <c r="K1216" s="363"/>
      <c r="L1216" s="363"/>
      <c r="M1216" s="363"/>
      <c r="N1216" s="363"/>
      <c r="O1216" s="363"/>
    </row>
    <row r="1217" spans="1:15" ht="15">
      <c r="A1217" s="407" t="s">
        <v>753</v>
      </c>
      <c r="B1217" s="408"/>
      <c r="C1217" s="327" t="s">
        <v>1609</v>
      </c>
      <c r="D1217" s="53"/>
      <c r="E1217" s="53"/>
      <c r="F1217" s="53"/>
      <c r="G1217" s="53"/>
      <c r="H1217" s="53"/>
      <c r="I1217" s="53"/>
      <c r="J1217" s="53"/>
      <c r="K1217" s="53"/>
      <c r="L1217" s="53"/>
      <c r="M1217" s="53"/>
      <c r="N1217" s="328"/>
      <c r="O1217" s="329"/>
    </row>
    <row r="1218" spans="1:15" ht="15">
      <c r="A1218" s="407" t="s">
        <v>1540</v>
      </c>
      <c r="B1218" s="408"/>
      <c r="C1218" s="329" t="s">
        <v>1610</v>
      </c>
      <c r="D1218" s="53"/>
      <c r="E1218" s="53"/>
      <c r="F1218" s="53"/>
      <c r="G1218" s="53"/>
      <c r="H1218" s="53"/>
      <c r="I1218" s="53"/>
      <c r="J1218" s="53"/>
      <c r="K1218" s="53"/>
      <c r="L1218" s="53"/>
      <c r="M1218" s="53"/>
      <c r="N1218" s="328"/>
      <c r="O1218" s="329"/>
    </row>
    <row r="1219" spans="1:15" ht="15">
      <c r="A1219" s="407" t="s">
        <v>1541</v>
      </c>
      <c r="B1219" s="408"/>
      <c r="C1219" s="329" t="s">
        <v>1542</v>
      </c>
      <c r="D1219" s="53"/>
      <c r="E1219" s="53"/>
      <c r="F1219" s="53"/>
      <c r="G1219" s="53"/>
      <c r="H1219" s="53"/>
      <c r="I1219" s="409" t="s">
        <v>1611</v>
      </c>
      <c r="J1219" s="409"/>
      <c r="K1219" s="330" t="s">
        <v>1612</v>
      </c>
      <c r="L1219" s="330"/>
      <c r="M1219" s="329"/>
      <c r="N1219" s="328"/>
      <c r="O1219" s="329"/>
    </row>
    <row r="1220" spans="1:15" ht="15">
      <c r="A1220" s="408" t="s">
        <v>1613</v>
      </c>
      <c r="B1220" s="408"/>
      <c r="C1220" s="327" t="s">
        <v>1614</v>
      </c>
      <c r="D1220" s="53"/>
      <c r="E1220" s="53"/>
      <c r="F1220" s="53"/>
      <c r="G1220" s="53"/>
      <c r="H1220" s="53"/>
      <c r="I1220" s="410" t="s">
        <v>801</v>
      </c>
      <c r="J1220" s="410"/>
      <c r="K1220" s="400">
        <v>46204</v>
      </c>
      <c r="L1220" s="400"/>
      <c r="M1220" s="53"/>
      <c r="N1220" s="329"/>
      <c r="O1220" s="53"/>
    </row>
    <row r="1221" spans="1:15" ht="15">
      <c r="A1221" s="331"/>
      <c r="B1221" s="53"/>
      <c r="C1221" s="331"/>
      <c r="D1221" s="331"/>
      <c r="E1221" s="331"/>
      <c r="F1221" s="331"/>
      <c r="G1221" s="331"/>
      <c r="H1221" s="331"/>
      <c r="I1221" s="331"/>
      <c r="J1221" s="331"/>
      <c r="K1221" s="331"/>
      <c r="L1221" s="331"/>
      <c r="M1221" s="331"/>
      <c r="N1221" s="331"/>
      <c r="O1221" s="331"/>
    </row>
    <row r="1222" spans="1:15" ht="15" customHeight="1">
      <c r="A1222" s="404" t="s">
        <v>14</v>
      </c>
      <c r="B1222" s="404" t="s">
        <v>1490</v>
      </c>
      <c r="C1222" s="404" t="s">
        <v>0</v>
      </c>
      <c r="D1222" s="404" t="s">
        <v>1</v>
      </c>
      <c r="E1222" s="404" t="s">
        <v>15</v>
      </c>
      <c r="F1222" s="406" t="s">
        <v>2</v>
      </c>
      <c r="G1222" s="406"/>
      <c r="H1222" s="406" t="s">
        <v>3</v>
      </c>
      <c r="I1222" s="406"/>
      <c r="J1222" s="390" t="s">
        <v>4</v>
      </c>
      <c r="K1222" s="391"/>
      <c r="L1222" s="390" t="s">
        <v>5</v>
      </c>
      <c r="M1222" s="391"/>
      <c r="N1222" s="390" t="s">
        <v>6</v>
      </c>
      <c r="O1222" s="391"/>
    </row>
    <row r="1223" spans="1:15" ht="45" customHeight="1">
      <c r="A1223" s="405"/>
      <c r="B1223" s="405"/>
      <c r="C1223" s="405"/>
      <c r="D1223" s="405"/>
      <c r="E1223" s="405"/>
      <c r="F1223" s="332" t="s">
        <v>16</v>
      </c>
      <c r="G1223" s="332" t="s">
        <v>17</v>
      </c>
      <c r="H1223" s="332" t="s">
        <v>16</v>
      </c>
      <c r="I1223" s="332" t="s">
        <v>17</v>
      </c>
      <c r="J1223" s="332" t="s">
        <v>16</v>
      </c>
      <c r="K1223" s="332" t="s">
        <v>17</v>
      </c>
      <c r="L1223" s="332" t="s">
        <v>16</v>
      </c>
      <c r="M1223" s="332" t="s">
        <v>17</v>
      </c>
      <c r="N1223" s="332" t="s">
        <v>16</v>
      </c>
      <c r="O1223" s="332" t="s">
        <v>17</v>
      </c>
    </row>
    <row r="1224" spans="1:15" ht="15">
      <c r="A1224" s="226">
        <v>1</v>
      </c>
      <c r="B1224" s="333" t="s">
        <v>233</v>
      </c>
      <c r="C1224" s="334" t="s">
        <v>1615</v>
      </c>
      <c r="D1224" s="227" t="s">
        <v>370</v>
      </c>
      <c r="E1224" s="312">
        <v>72.2</v>
      </c>
      <c r="F1224" s="59">
        <v>4.0999999999999996</v>
      </c>
      <c r="G1224" s="59">
        <f>F1224*E1224</f>
        <v>296.02</v>
      </c>
      <c r="H1224" s="129"/>
      <c r="I1224" s="129"/>
      <c r="J1224" s="129"/>
      <c r="K1224" s="129"/>
      <c r="L1224" s="129"/>
      <c r="M1224" s="129"/>
      <c r="N1224" s="129"/>
      <c r="O1224" s="129"/>
    </row>
    <row r="1225" spans="1:15" ht="15">
      <c r="A1225" s="226">
        <v>2</v>
      </c>
      <c r="B1225" s="335" t="s">
        <v>1616</v>
      </c>
      <c r="C1225" s="334" t="s">
        <v>1617</v>
      </c>
      <c r="D1225" s="227" t="s">
        <v>214</v>
      </c>
      <c r="E1225" s="312">
        <v>40</v>
      </c>
      <c r="F1225" s="59">
        <v>1233.0999999999999</v>
      </c>
      <c r="G1225" s="59">
        <f t="shared" ref="G1225:G1243" si="41">F1225*E1225</f>
        <v>49324</v>
      </c>
      <c r="H1225" s="129"/>
      <c r="I1225" s="129"/>
      <c r="J1225" s="129"/>
      <c r="K1225" s="129"/>
      <c r="L1225" s="129"/>
      <c r="M1225" s="129"/>
      <c r="N1225" s="129"/>
      <c r="O1225" s="129"/>
    </row>
    <row r="1226" spans="1:15" ht="15">
      <c r="A1226" s="226">
        <v>3</v>
      </c>
      <c r="B1226" s="333" t="s">
        <v>1618</v>
      </c>
      <c r="C1226" s="334" t="s">
        <v>1619</v>
      </c>
      <c r="D1226" s="227" t="s">
        <v>214</v>
      </c>
      <c r="E1226" s="312">
        <v>20</v>
      </c>
      <c r="F1226" s="59">
        <v>2064.5</v>
      </c>
      <c r="G1226" s="59">
        <f t="shared" si="41"/>
        <v>41290</v>
      </c>
      <c r="H1226" s="129"/>
      <c r="I1226" s="129"/>
      <c r="J1226" s="129"/>
      <c r="K1226" s="129"/>
      <c r="L1226" s="129"/>
      <c r="M1226" s="129"/>
      <c r="N1226" s="129"/>
      <c r="O1226" s="129"/>
    </row>
    <row r="1227" spans="1:15" ht="15">
      <c r="A1227" s="226">
        <v>4</v>
      </c>
      <c r="B1227" s="333" t="s">
        <v>233</v>
      </c>
      <c r="C1227" s="6" t="s">
        <v>1620</v>
      </c>
      <c r="D1227" s="226" t="s">
        <v>7</v>
      </c>
      <c r="E1227" s="288">
        <v>40000</v>
      </c>
      <c r="F1227" s="316">
        <v>2.7890000000000001</v>
      </c>
      <c r="G1227" s="59">
        <f t="shared" si="41"/>
        <v>111560</v>
      </c>
      <c r="H1227" s="315"/>
      <c r="I1227" s="315"/>
      <c r="J1227" s="315"/>
      <c r="K1227" s="315"/>
      <c r="L1227" s="315"/>
      <c r="M1227" s="315"/>
      <c r="N1227" s="315"/>
      <c r="O1227" s="315"/>
    </row>
    <row r="1228" spans="1:15" ht="15">
      <c r="A1228" s="226">
        <v>5</v>
      </c>
      <c r="B1228" s="333" t="s">
        <v>1618</v>
      </c>
      <c r="C1228" s="100" t="s">
        <v>1621</v>
      </c>
      <c r="D1228" s="226" t="s">
        <v>7</v>
      </c>
      <c r="E1228" s="288">
        <v>72200</v>
      </c>
      <c r="F1228" s="316">
        <v>1.77</v>
      </c>
      <c r="G1228" s="59">
        <f t="shared" si="41"/>
        <v>127794</v>
      </c>
      <c r="H1228" s="315"/>
      <c r="I1228" s="315"/>
      <c r="J1228" s="315"/>
      <c r="K1228" s="315"/>
      <c r="L1228" s="315"/>
      <c r="M1228" s="315"/>
      <c r="N1228" s="315"/>
      <c r="O1228" s="315"/>
    </row>
    <row r="1229" spans="1:15" ht="15">
      <c r="A1229" s="226">
        <v>6</v>
      </c>
      <c r="B1229" s="333" t="s">
        <v>380</v>
      </c>
      <c r="C1229" s="100" t="s">
        <v>1622</v>
      </c>
      <c r="D1229" s="226" t="s">
        <v>32</v>
      </c>
      <c r="E1229" s="288">
        <v>50</v>
      </c>
      <c r="F1229" s="316">
        <v>4</v>
      </c>
      <c r="G1229" s="59">
        <f t="shared" si="41"/>
        <v>200</v>
      </c>
      <c r="H1229" s="315"/>
      <c r="I1229" s="315"/>
      <c r="J1229" s="315"/>
      <c r="K1229" s="315"/>
      <c r="L1229" s="315"/>
      <c r="M1229" s="315"/>
      <c r="N1229" s="315"/>
      <c r="O1229" s="315"/>
    </row>
    <row r="1230" spans="1:15" ht="15">
      <c r="A1230" s="226">
        <v>7</v>
      </c>
      <c r="B1230" s="333" t="s">
        <v>515</v>
      </c>
      <c r="C1230" s="100" t="s">
        <v>1623</v>
      </c>
      <c r="D1230" s="226" t="s">
        <v>593</v>
      </c>
      <c r="E1230" s="288">
        <v>44</v>
      </c>
      <c r="F1230" s="316">
        <v>249.97</v>
      </c>
      <c r="G1230" s="59">
        <f t="shared" si="41"/>
        <v>10998.68</v>
      </c>
      <c r="H1230" s="315"/>
      <c r="I1230" s="315"/>
      <c r="J1230" s="315"/>
      <c r="K1230" s="315"/>
      <c r="L1230" s="315"/>
      <c r="M1230" s="315"/>
      <c r="N1230" s="315"/>
      <c r="O1230" s="315"/>
    </row>
    <row r="1231" spans="1:15" ht="28.5">
      <c r="A1231" s="226">
        <v>8</v>
      </c>
      <c r="B1231" s="333" t="s">
        <v>1500</v>
      </c>
      <c r="C1231" s="100" t="s">
        <v>1624</v>
      </c>
      <c r="D1231" s="226" t="s">
        <v>32</v>
      </c>
      <c r="E1231" s="288">
        <v>9056.5</v>
      </c>
      <c r="F1231" s="316">
        <v>3</v>
      </c>
      <c r="G1231" s="59">
        <f t="shared" si="41"/>
        <v>27169.5</v>
      </c>
      <c r="H1231" s="315"/>
      <c r="I1231" s="315"/>
      <c r="J1231" s="315"/>
      <c r="K1231" s="315"/>
      <c r="L1231" s="315"/>
      <c r="M1231" s="315"/>
      <c r="N1231" s="315"/>
      <c r="O1231" s="315"/>
    </row>
    <row r="1232" spans="1:15" ht="28.5">
      <c r="A1232" s="226">
        <v>9</v>
      </c>
      <c r="B1232" s="333" t="s">
        <v>1625</v>
      </c>
      <c r="C1232" s="100" t="s">
        <v>1626</v>
      </c>
      <c r="D1232" s="226" t="s">
        <v>32</v>
      </c>
      <c r="E1232" s="288">
        <v>5428</v>
      </c>
      <c r="F1232" s="316">
        <v>6</v>
      </c>
      <c r="G1232" s="59">
        <f t="shared" si="41"/>
        <v>32568</v>
      </c>
      <c r="H1232" s="315"/>
      <c r="I1232" s="315"/>
      <c r="J1232" s="315"/>
      <c r="K1232" s="315"/>
      <c r="L1232" s="315"/>
      <c r="M1232" s="315"/>
      <c r="N1232" s="315"/>
      <c r="O1232" s="315"/>
    </row>
    <row r="1233" spans="1:15" ht="15">
      <c r="A1233" s="226">
        <v>10</v>
      </c>
      <c r="B1233" s="333" t="s">
        <v>1502</v>
      </c>
      <c r="C1233" s="100" t="s">
        <v>1627</v>
      </c>
      <c r="D1233" s="226" t="s">
        <v>32</v>
      </c>
      <c r="E1233" s="288">
        <v>1239</v>
      </c>
      <c r="F1233" s="316">
        <v>6</v>
      </c>
      <c r="G1233" s="59">
        <f t="shared" si="41"/>
        <v>7434</v>
      </c>
      <c r="H1233" s="315"/>
      <c r="I1233" s="315"/>
      <c r="J1233" s="315"/>
      <c r="K1233" s="315"/>
      <c r="L1233" s="315"/>
      <c r="M1233" s="315"/>
      <c r="N1233" s="315"/>
      <c r="O1233" s="315"/>
    </row>
    <row r="1234" spans="1:15" ht="15">
      <c r="A1234" s="226">
        <v>11</v>
      </c>
      <c r="B1234" s="333" t="s">
        <v>1628</v>
      </c>
      <c r="C1234" s="100" t="s">
        <v>1629</v>
      </c>
      <c r="D1234" s="226" t="s">
        <v>32</v>
      </c>
      <c r="E1234" s="288">
        <v>1410.1</v>
      </c>
      <c r="F1234" s="316">
        <v>14</v>
      </c>
      <c r="G1234" s="59">
        <f t="shared" si="41"/>
        <v>19741.399999999998</v>
      </c>
      <c r="H1234" s="315"/>
      <c r="I1234" s="315"/>
      <c r="J1234" s="315"/>
      <c r="K1234" s="315"/>
      <c r="L1234" s="315"/>
      <c r="M1234" s="315"/>
      <c r="N1234" s="315"/>
      <c r="O1234" s="315"/>
    </row>
    <row r="1235" spans="1:15" ht="15">
      <c r="A1235" s="226">
        <v>12</v>
      </c>
      <c r="B1235" s="333" t="s">
        <v>1420</v>
      </c>
      <c r="C1235" s="100" t="s">
        <v>1630</v>
      </c>
      <c r="D1235" s="336" t="s">
        <v>32</v>
      </c>
      <c r="E1235" s="288">
        <v>9204</v>
      </c>
      <c r="F1235" s="316">
        <v>1</v>
      </c>
      <c r="G1235" s="59">
        <f t="shared" si="41"/>
        <v>9204</v>
      </c>
      <c r="H1235" s="315"/>
      <c r="I1235" s="315"/>
      <c r="J1235" s="315"/>
      <c r="K1235" s="315"/>
      <c r="L1235" s="315"/>
      <c r="M1235" s="315"/>
      <c r="N1235" s="315"/>
      <c r="O1235" s="315"/>
    </row>
    <row r="1236" spans="1:15" ht="28.5">
      <c r="A1236" s="226">
        <v>13</v>
      </c>
      <c r="B1236" s="337" t="s">
        <v>233</v>
      </c>
      <c r="C1236" s="90" t="s">
        <v>1631</v>
      </c>
      <c r="D1236" s="160" t="s">
        <v>370</v>
      </c>
      <c r="E1236" s="30">
        <v>40</v>
      </c>
      <c r="F1236" s="181">
        <v>28000</v>
      </c>
      <c r="G1236" s="59">
        <f t="shared" si="41"/>
        <v>1120000</v>
      </c>
      <c r="H1236" s="315"/>
      <c r="I1236" s="315"/>
      <c r="J1236" s="315"/>
      <c r="K1236" s="315"/>
      <c r="L1236" s="315"/>
      <c r="M1236" s="315"/>
      <c r="N1236" s="315"/>
      <c r="O1236" s="315"/>
    </row>
    <row r="1237" spans="1:15" ht="28.5">
      <c r="A1237" s="226">
        <v>14</v>
      </c>
      <c r="B1237" s="337" t="s">
        <v>233</v>
      </c>
      <c r="C1237" s="90" t="s">
        <v>1632</v>
      </c>
      <c r="D1237" s="160" t="s">
        <v>370</v>
      </c>
      <c r="E1237" s="30">
        <v>40</v>
      </c>
      <c r="F1237" s="181">
        <v>5300</v>
      </c>
      <c r="G1237" s="59">
        <f t="shared" si="41"/>
        <v>212000</v>
      </c>
      <c r="H1237" s="315"/>
      <c r="I1237" s="315"/>
      <c r="J1237" s="315"/>
      <c r="K1237" s="315"/>
      <c r="L1237" s="315"/>
      <c r="M1237" s="315"/>
      <c r="N1237" s="315"/>
      <c r="O1237" s="315"/>
    </row>
    <row r="1238" spans="1:15" ht="15">
      <c r="A1238" s="226">
        <v>15</v>
      </c>
      <c r="B1238" s="337" t="s">
        <v>233</v>
      </c>
      <c r="C1238" s="90" t="s">
        <v>1633</v>
      </c>
      <c r="D1238" s="160" t="s">
        <v>370</v>
      </c>
      <c r="E1238" s="30">
        <v>40</v>
      </c>
      <c r="F1238" s="181">
        <v>13022</v>
      </c>
      <c r="G1238" s="59">
        <f t="shared" si="41"/>
        <v>520880</v>
      </c>
      <c r="H1238" s="315"/>
      <c r="I1238" s="315"/>
      <c r="J1238" s="315"/>
      <c r="K1238" s="315"/>
      <c r="L1238" s="315"/>
      <c r="M1238" s="315"/>
      <c r="N1238" s="315"/>
      <c r="O1238" s="315"/>
    </row>
    <row r="1239" spans="1:15" ht="15">
      <c r="A1239" s="226">
        <v>16</v>
      </c>
      <c r="B1239" s="337" t="s">
        <v>233</v>
      </c>
      <c r="C1239" s="90" t="s">
        <v>1634</v>
      </c>
      <c r="D1239" s="160" t="s">
        <v>7</v>
      </c>
      <c r="E1239" s="30">
        <v>100</v>
      </c>
      <c r="F1239" s="181">
        <v>0.83989999999999998</v>
      </c>
      <c r="G1239" s="59">
        <f t="shared" si="41"/>
        <v>83.99</v>
      </c>
      <c r="H1239" s="315"/>
      <c r="I1239" s="315"/>
      <c r="J1239" s="315"/>
      <c r="K1239" s="315"/>
      <c r="L1239" s="315"/>
      <c r="M1239" s="315"/>
      <c r="N1239" s="315"/>
      <c r="O1239" s="315"/>
    </row>
    <row r="1240" spans="1:15" ht="15">
      <c r="A1240" s="226">
        <v>17</v>
      </c>
      <c r="B1240" s="338" t="s">
        <v>1425</v>
      </c>
      <c r="C1240" s="339" t="s">
        <v>1635</v>
      </c>
      <c r="D1240" s="4" t="s">
        <v>32</v>
      </c>
      <c r="E1240" s="321">
        <v>9676</v>
      </c>
      <c r="F1240" s="181">
        <v>12</v>
      </c>
      <c r="G1240" s="59">
        <f t="shared" si="41"/>
        <v>116112</v>
      </c>
      <c r="H1240" s="315"/>
      <c r="I1240" s="315"/>
      <c r="J1240" s="315"/>
      <c r="K1240" s="315"/>
      <c r="L1240" s="315"/>
      <c r="M1240" s="315"/>
      <c r="N1240" s="315"/>
      <c r="O1240" s="315"/>
    </row>
    <row r="1241" spans="1:15" ht="15">
      <c r="A1241" s="226">
        <v>18</v>
      </c>
      <c r="B1241" s="340" t="s">
        <v>1636</v>
      </c>
      <c r="C1241" s="341" t="s">
        <v>1637</v>
      </c>
      <c r="D1241" s="342" t="s">
        <v>32</v>
      </c>
      <c r="E1241" s="343">
        <v>2360</v>
      </c>
      <c r="F1241" s="181">
        <v>2</v>
      </c>
      <c r="G1241" s="59">
        <f t="shared" si="41"/>
        <v>4720</v>
      </c>
      <c r="H1241" s="313"/>
      <c r="I1241" s="313"/>
      <c r="J1241" s="313"/>
      <c r="K1241" s="313"/>
      <c r="L1241" s="313"/>
      <c r="M1241" s="313"/>
      <c r="N1241" s="313"/>
      <c r="O1241" s="313"/>
    </row>
    <row r="1242" spans="1:15" ht="15">
      <c r="A1242" s="226">
        <v>19</v>
      </c>
      <c r="B1242" s="340" t="s">
        <v>695</v>
      </c>
      <c r="C1242" s="339" t="s">
        <v>1638</v>
      </c>
      <c r="D1242" s="342" t="s">
        <v>32</v>
      </c>
      <c r="E1242" s="321">
        <v>2926.4</v>
      </c>
      <c r="F1242" s="180">
        <v>2</v>
      </c>
      <c r="G1242" s="302">
        <f t="shared" si="41"/>
        <v>5852.8</v>
      </c>
      <c r="H1242" s="344"/>
      <c r="I1242" s="344"/>
      <c r="J1242" s="344"/>
      <c r="K1242" s="344"/>
      <c r="L1242" s="344"/>
      <c r="M1242" s="344"/>
      <c r="N1242" s="344"/>
      <c r="O1242" s="344"/>
    </row>
    <row r="1243" spans="1:15" ht="15">
      <c r="A1243" s="226">
        <v>20</v>
      </c>
      <c r="B1243" s="340" t="s">
        <v>1405</v>
      </c>
      <c r="C1243" s="339" t="s">
        <v>1639</v>
      </c>
      <c r="D1243" s="4" t="s">
        <v>32</v>
      </c>
      <c r="E1243" s="321">
        <v>2937.02</v>
      </c>
      <c r="F1243" s="180">
        <v>6</v>
      </c>
      <c r="G1243" s="302">
        <f t="shared" si="41"/>
        <v>17622.12</v>
      </c>
      <c r="H1243" s="344"/>
      <c r="I1243" s="344"/>
      <c r="J1243" s="344"/>
      <c r="K1243" s="344"/>
      <c r="L1243" s="344"/>
      <c r="M1243" s="344"/>
      <c r="N1243" s="344"/>
      <c r="O1243" s="344"/>
    </row>
    <row r="1244" spans="1:15" ht="15">
      <c r="A1244" s="364" t="s">
        <v>1608</v>
      </c>
      <c r="B1244" s="365"/>
      <c r="C1244" s="365"/>
      <c r="D1244" s="366"/>
      <c r="E1244" s="345"/>
      <c r="F1244" s="345"/>
      <c r="G1244" s="346">
        <f>SUM(G1224:G1243)</f>
        <v>2434850.5100000002</v>
      </c>
      <c r="H1244" s="347"/>
      <c r="I1244" s="314">
        <f>SUM(I1227:I1234)</f>
        <v>0</v>
      </c>
      <c r="J1244" s="348"/>
      <c r="K1244" s="349"/>
      <c r="L1244" s="348"/>
      <c r="M1244" s="314">
        <f>SUM(M1224:M1234)</f>
        <v>0</v>
      </c>
      <c r="N1244" s="348"/>
      <c r="O1244" s="314">
        <f>SUM(O1225:O1234)</f>
        <v>0</v>
      </c>
    </row>
  </sheetData>
  <mergeCells count="116">
    <mergeCell ref="A527:O527"/>
    <mergeCell ref="A746:O746"/>
    <mergeCell ref="A791:O791"/>
    <mergeCell ref="E525:E526"/>
    <mergeCell ref="F525:G525"/>
    <mergeCell ref="H525:I525"/>
    <mergeCell ref="J525:K525"/>
    <mergeCell ref="L525:M525"/>
    <mergeCell ref="A522:B522"/>
    <mergeCell ref="C522:D522"/>
    <mergeCell ref="A523:B523"/>
    <mergeCell ref="A524:B524"/>
    <mergeCell ref="A525:A526"/>
    <mergeCell ref="B525:B526"/>
    <mergeCell ref="C525:C526"/>
    <mergeCell ref="D525:D526"/>
    <mergeCell ref="N525:O525"/>
    <mergeCell ref="C305:C306"/>
    <mergeCell ref="A368:D368"/>
    <mergeCell ref="A5:B5"/>
    <mergeCell ref="A2:B2"/>
    <mergeCell ref="A3:B3"/>
    <mergeCell ref="A4:B4"/>
    <mergeCell ref="C4:D4"/>
    <mergeCell ref="A520:B520"/>
    <mergeCell ref="A521:B521"/>
    <mergeCell ref="A959:K959"/>
    <mergeCell ref="A960:K960"/>
    <mergeCell ref="A961:K961"/>
    <mergeCell ref="A963:C963"/>
    <mergeCell ref="A6:O6"/>
    <mergeCell ref="N7:O7"/>
    <mergeCell ref="A7:A8"/>
    <mergeCell ref="B7:B8"/>
    <mergeCell ref="C7:C8"/>
    <mergeCell ref="D7:D8"/>
    <mergeCell ref="E7:E8"/>
    <mergeCell ref="J7:K7"/>
    <mergeCell ref="L7:M7"/>
    <mergeCell ref="A254:C254"/>
    <mergeCell ref="A380:C380"/>
    <mergeCell ref="F7:G7"/>
    <mergeCell ref="H7:I7"/>
    <mergeCell ref="A11:O11"/>
    <mergeCell ref="A114:O114"/>
    <mergeCell ref="A303:A304"/>
    <mergeCell ref="B303:B304"/>
    <mergeCell ref="C303:C304"/>
    <mergeCell ref="A305:A306"/>
    <mergeCell ref="B305:B306"/>
    <mergeCell ref="A1069:A1070"/>
    <mergeCell ref="B1069:B1070"/>
    <mergeCell ref="C1069:C1070"/>
    <mergeCell ref="D1069:D1070"/>
    <mergeCell ref="E1069:E1070"/>
    <mergeCell ref="H1068:I1069"/>
    <mergeCell ref="F1068:G1069"/>
    <mergeCell ref="D962:E963"/>
    <mergeCell ref="F962:K962"/>
    <mergeCell ref="A1145:B1145"/>
    <mergeCell ref="C1145:E1145"/>
    <mergeCell ref="A1146:B1146"/>
    <mergeCell ref="C1146:E1146"/>
    <mergeCell ref="F1151:G1151"/>
    <mergeCell ref="A1103:A1104"/>
    <mergeCell ref="B1103:B1104"/>
    <mergeCell ref="C1103:C1104"/>
    <mergeCell ref="D1103:D1104"/>
    <mergeCell ref="E1103:E1104"/>
    <mergeCell ref="F1103:G1103"/>
    <mergeCell ref="A1218:B1218"/>
    <mergeCell ref="A1219:B1219"/>
    <mergeCell ref="I1219:J1219"/>
    <mergeCell ref="A1220:B1220"/>
    <mergeCell ref="I1220:J1220"/>
    <mergeCell ref="A1217:B1217"/>
    <mergeCell ref="A1150:B1150"/>
    <mergeCell ref="C1150:E1150"/>
    <mergeCell ref="A1147:B1147"/>
    <mergeCell ref="C1147:E1147"/>
    <mergeCell ref="A1148:B1148"/>
    <mergeCell ref="C1148:E1148"/>
    <mergeCell ref="A1149:B1149"/>
    <mergeCell ref="C1149:E1149"/>
    <mergeCell ref="A1222:A1223"/>
    <mergeCell ref="B1222:B1223"/>
    <mergeCell ref="C1222:C1223"/>
    <mergeCell ref="D1222:D1223"/>
    <mergeCell ref="E1222:E1223"/>
    <mergeCell ref="F1222:G1222"/>
    <mergeCell ref="H1222:I1222"/>
    <mergeCell ref="J1222:K1222"/>
    <mergeCell ref="L1222:M1222"/>
    <mergeCell ref="N1222:O1222"/>
    <mergeCell ref="N963:O963"/>
    <mergeCell ref="L963:M963"/>
    <mergeCell ref="J963:K963"/>
    <mergeCell ref="H963:I963"/>
    <mergeCell ref="F963:G963"/>
    <mergeCell ref="N1068:O1069"/>
    <mergeCell ref="L1068:M1069"/>
    <mergeCell ref="J1068:K1069"/>
    <mergeCell ref="K1220:L1220"/>
    <mergeCell ref="H1103:I1103"/>
    <mergeCell ref="J1103:K1103"/>
    <mergeCell ref="N1151:O1151"/>
    <mergeCell ref="L1151:M1151"/>
    <mergeCell ref="J1151:K1151"/>
    <mergeCell ref="H1151:I1151"/>
    <mergeCell ref="L1103:M1103"/>
    <mergeCell ref="N1103:O1103"/>
    <mergeCell ref="H1140:I1140"/>
    <mergeCell ref="F1140:G1140"/>
    <mergeCell ref="N1140:O1140"/>
    <mergeCell ref="L1140:M1140"/>
    <mergeCell ref="J1140:K1140"/>
  </mergeCells>
  <pageMargins left="0.7" right="0.7" top="0.75" bottom="0.75" header="0.3" footer="0.3"/>
  <pageSetup scale="34" orientation="landscape" r:id="rId1"/>
  <rowBreaks count="2" manualBreakCount="2">
    <brk id="519" max="15" man="1"/>
    <brk id="745" max="15" man="1"/>
  </rowBreaks>
</worksheet>
</file>

<file path=xl/worksheets/sheet2.xml><?xml version="1.0" encoding="utf-8"?>
<worksheet xmlns="http://schemas.openxmlformats.org/spreadsheetml/2006/main" xmlns:r="http://schemas.openxmlformats.org/officeDocument/2006/relationships">
  <dimension ref="A1:E47"/>
  <sheetViews>
    <sheetView topLeftCell="A4" workbookViewId="0">
      <selection activeCell="E45" sqref="E45"/>
    </sheetView>
  </sheetViews>
  <sheetFormatPr defaultRowHeight="15"/>
  <cols>
    <col min="1" max="1" width="6.5703125" customWidth="1"/>
    <col min="2" max="2" width="19.28515625" customWidth="1"/>
    <col min="3" max="3" width="27.85546875" customWidth="1"/>
    <col min="4" max="4" width="24" customWidth="1"/>
    <col min="5" max="5" width="22.85546875" customWidth="1"/>
  </cols>
  <sheetData>
    <row r="1" spans="1:5">
      <c r="A1" s="478" t="s">
        <v>797</v>
      </c>
      <c r="B1" s="478"/>
      <c r="C1" s="478"/>
      <c r="D1" s="478"/>
      <c r="E1" s="478"/>
    </row>
    <row r="2" spans="1:5" ht="15.75">
      <c r="A2" s="472" t="s">
        <v>798</v>
      </c>
      <c r="B2" s="473"/>
      <c r="C2" s="478" t="s">
        <v>799</v>
      </c>
      <c r="D2" s="478"/>
      <c r="E2" s="478"/>
    </row>
    <row r="3" spans="1:5" ht="15.75">
      <c r="A3" s="472" t="s">
        <v>757</v>
      </c>
      <c r="B3" s="473"/>
      <c r="C3" s="478" t="s">
        <v>800</v>
      </c>
      <c r="D3" s="478"/>
      <c r="E3" s="478"/>
    </row>
    <row r="4" spans="1:5" ht="15.75">
      <c r="A4" s="472" t="s">
        <v>801</v>
      </c>
      <c r="B4" s="473"/>
      <c r="C4" s="474">
        <v>46233</v>
      </c>
      <c r="D4" s="474"/>
      <c r="E4" s="474"/>
    </row>
    <row r="5" spans="1:5" ht="30">
      <c r="A5" s="201" t="s">
        <v>802</v>
      </c>
      <c r="B5" s="201" t="s">
        <v>803</v>
      </c>
      <c r="C5" s="202" t="s">
        <v>804</v>
      </c>
      <c r="D5" s="202" t="s">
        <v>805</v>
      </c>
      <c r="E5" s="202" t="s">
        <v>374</v>
      </c>
    </row>
    <row r="6" spans="1:5">
      <c r="A6" s="203">
        <v>1</v>
      </c>
      <c r="B6" s="203" t="s">
        <v>2</v>
      </c>
      <c r="C6" s="204">
        <f>'Compiled dehradun'!G113+'Compiled dehradun'!G253+'Compiled dehradun'!G367+'Compiled dehradun'!G379</f>
        <v>66424818.024570793</v>
      </c>
      <c r="D6" s="204">
        <f>'Compiled dehradun'!G509+'Compiled dehradun'!G518</f>
        <v>4439858.108</v>
      </c>
      <c r="E6" s="204">
        <f t="shared" ref="E6:E11" si="0">SUM(C6:D6)</f>
        <v>70864676.132570788</v>
      </c>
    </row>
    <row r="7" spans="1:5">
      <c r="A7" s="203">
        <v>2</v>
      </c>
      <c r="B7" s="203" t="s">
        <v>3</v>
      </c>
      <c r="C7" s="204">
        <f>'Compiled dehradun'!I379+'Compiled dehradun'!I367+'Compiled dehradun'!I253+'Compiled dehradun'!I113</f>
        <v>0</v>
      </c>
      <c r="D7" s="204">
        <f>'Compiled dehradun'!I518+'Compiled dehradun'!I498</f>
        <v>0</v>
      </c>
      <c r="E7" s="204">
        <f t="shared" si="0"/>
        <v>0</v>
      </c>
    </row>
    <row r="8" spans="1:5">
      <c r="A8" s="203">
        <v>3</v>
      </c>
      <c r="B8" s="203" t="s">
        <v>806</v>
      </c>
      <c r="C8" s="204">
        <f>'Compiled dehradun'!K113+'Compiled dehradun'!K253+'Compiled dehradun'!K367+'Compiled dehradun'!K379</f>
        <v>0</v>
      </c>
      <c r="D8" s="204">
        <f>'Compiled dehradun'!K498+'Compiled dehradun'!K518</f>
        <v>0</v>
      </c>
      <c r="E8" s="204">
        <f t="shared" si="0"/>
        <v>0</v>
      </c>
    </row>
    <row r="9" spans="1:5">
      <c r="A9" s="203">
        <v>4</v>
      </c>
      <c r="B9" s="203" t="s">
        <v>5</v>
      </c>
      <c r="C9" s="205">
        <f>'Compiled dehradun'!M379+'Compiled dehradun'!M367+'Compiled dehradun'!M253+'Compiled dehradun'!M113</f>
        <v>0</v>
      </c>
      <c r="D9" s="204">
        <f>'Compiled dehradun'!M518+'Compiled dehradun'!M498</f>
        <v>0</v>
      </c>
      <c r="E9" s="204">
        <f t="shared" si="0"/>
        <v>0</v>
      </c>
    </row>
    <row r="10" spans="1:5">
      <c r="A10" s="203">
        <v>5</v>
      </c>
      <c r="B10" s="203" t="s">
        <v>807</v>
      </c>
      <c r="C10" s="204">
        <f>'Compiled dehradun'!O379+'Compiled dehradun'!O367+'Compiled dehradun'!O253+'Compiled dehradun'!O113</f>
        <v>1345786.6680000001</v>
      </c>
      <c r="D10" s="204">
        <f>'Compiled dehradun'!O509</f>
        <v>8500</v>
      </c>
      <c r="E10" s="204">
        <f t="shared" si="0"/>
        <v>1354286.6680000001</v>
      </c>
    </row>
    <row r="11" spans="1:5">
      <c r="A11" s="206"/>
      <c r="B11" s="207" t="s">
        <v>374</v>
      </c>
      <c r="C11" s="204">
        <f>SUM(C6:C10)</f>
        <v>67770604.692570791</v>
      </c>
      <c r="D11" s="204">
        <f>SUM(D6:D10)</f>
        <v>4448358.108</v>
      </c>
      <c r="E11" s="204">
        <f t="shared" si="0"/>
        <v>72218962.800570786</v>
      </c>
    </row>
    <row r="12" spans="1:5">
      <c r="A12" s="482" t="s">
        <v>808</v>
      </c>
      <c r="B12" s="483"/>
      <c r="C12" s="483"/>
      <c r="D12" s="484"/>
      <c r="E12" s="204">
        <f>SUM(E11)</f>
        <v>72218962.800570786</v>
      </c>
    </row>
    <row r="13" spans="1:5">
      <c r="A13" s="208"/>
      <c r="B13" s="208"/>
      <c r="C13" s="208"/>
      <c r="D13" s="208"/>
      <c r="E13" s="378"/>
    </row>
    <row r="14" spans="1:5">
      <c r="A14" s="475" t="s">
        <v>797</v>
      </c>
      <c r="B14" s="476"/>
      <c r="C14" s="476"/>
      <c r="D14" s="476"/>
      <c r="E14" s="477"/>
    </row>
    <row r="15" spans="1:5" ht="15.75">
      <c r="A15" s="485" t="s">
        <v>798</v>
      </c>
      <c r="B15" s="485"/>
      <c r="C15" s="475" t="s">
        <v>799</v>
      </c>
      <c r="D15" s="476"/>
      <c r="E15" s="477"/>
    </row>
    <row r="16" spans="1:5" ht="15.75">
      <c r="A16" s="485" t="s">
        <v>757</v>
      </c>
      <c r="B16" s="485"/>
      <c r="C16" s="475" t="s">
        <v>809</v>
      </c>
      <c r="D16" s="476"/>
      <c r="E16" s="477"/>
    </row>
    <row r="17" spans="1:5" s="208" customFormat="1" ht="15.75">
      <c r="A17" s="485" t="s">
        <v>801</v>
      </c>
      <c r="B17" s="485"/>
      <c r="C17" s="491">
        <v>46233</v>
      </c>
      <c r="D17" s="492"/>
      <c r="E17" s="493"/>
    </row>
    <row r="18" spans="1:5" s="208" customFormat="1" ht="30">
      <c r="A18" s="201" t="s">
        <v>802</v>
      </c>
      <c r="B18" s="201" t="s">
        <v>803</v>
      </c>
      <c r="C18" s="202" t="s">
        <v>810</v>
      </c>
      <c r="D18" s="202" t="s">
        <v>811</v>
      </c>
      <c r="E18" s="202" t="s">
        <v>374</v>
      </c>
    </row>
    <row r="19" spans="1:5" s="208" customFormat="1">
      <c r="A19" s="211">
        <v>1</v>
      </c>
      <c r="B19" s="203" t="s">
        <v>2</v>
      </c>
      <c r="C19" s="204">
        <f>'Compiled dehradun'!G1244+'Compiled dehradun'!G1214</f>
        <v>6162881.75</v>
      </c>
      <c r="D19" s="204">
        <f>'Compiled dehradun'!G1144+'Compiled dehradun'!G1135+'Compiled dehradun'!G1097+'Compiled dehradun'!G1062</f>
        <v>10611292.3783</v>
      </c>
      <c r="E19" s="204">
        <f t="shared" ref="E19:E24" si="1">SUM(C19:D19)</f>
        <v>16774174.1283</v>
      </c>
    </row>
    <row r="20" spans="1:5" s="208" customFormat="1">
      <c r="A20" s="211">
        <v>2</v>
      </c>
      <c r="B20" s="203" t="s">
        <v>3</v>
      </c>
      <c r="C20" s="204">
        <f>'Compiled dehradun'!I1214+'Compiled dehradun'!I1244</f>
        <v>40500</v>
      </c>
      <c r="D20" s="204">
        <f>'Compiled dehradun'!I1062+'Compiled dehradun'!I1097+'Compiled dehradun'!I1135</f>
        <v>140210</v>
      </c>
      <c r="E20" s="204">
        <f t="shared" si="1"/>
        <v>180710</v>
      </c>
    </row>
    <row r="21" spans="1:5" s="208" customFormat="1">
      <c r="A21" s="211">
        <v>3</v>
      </c>
      <c r="B21" s="203" t="s">
        <v>806</v>
      </c>
      <c r="C21" s="204">
        <f>'Compiled dehradun'!K1244+'Compiled dehradun'!K1214</f>
        <v>86233.5</v>
      </c>
      <c r="D21" s="204">
        <f>'Compiled dehradun'!K1144+'Compiled dehradun'!K1135+'Compiled dehradun'!K1097+'Compiled dehradun'!K1062</f>
        <v>82800</v>
      </c>
      <c r="E21" s="204">
        <f t="shared" si="1"/>
        <v>169033.5</v>
      </c>
    </row>
    <row r="22" spans="1:5" s="208" customFormat="1">
      <c r="A22" s="211">
        <v>4</v>
      </c>
      <c r="B22" s="203" t="s">
        <v>5</v>
      </c>
      <c r="C22" s="204">
        <f>'Compiled dehradun'!M1244+'Compiled dehradun'!M1214</f>
        <v>97920</v>
      </c>
      <c r="D22" s="204">
        <f>'Compiled dehradun'!M1062+'Compiled dehradun'!M1097+'Compiled dehradun'!M1135+'Compiled dehradun'!M1144</f>
        <v>350250</v>
      </c>
      <c r="E22" s="204">
        <f t="shared" si="1"/>
        <v>448170</v>
      </c>
    </row>
    <row r="23" spans="1:5" s="208" customFormat="1">
      <c r="A23" s="211">
        <v>5</v>
      </c>
      <c r="B23" s="203" t="s">
        <v>807</v>
      </c>
      <c r="C23" s="204">
        <f>'Compiled dehradun'!O1244+'Compiled dehradun'!O1214</f>
        <v>14390</v>
      </c>
      <c r="D23" s="204">
        <f>'Compiled dehradun'!O1144+'Compiled dehradun'!O1135+'Compiled dehradun'!O1097+'Compiled dehradun'!O1062</f>
        <v>520000</v>
      </c>
      <c r="E23" s="204">
        <f t="shared" si="1"/>
        <v>534390</v>
      </c>
    </row>
    <row r="24" spans="1:5" s="208" customFormat="1">
      <c r="A24" s="206"/>
      <c r="B24" s="207" t="s">
        <v>374</v>
      </c>
      <c r="C24" s="204">
        <f>SUM(C19:C23)</f>
        <v>6401925.25</v>
      </c>
      <c r="D24" s="204">
        <f>SUM(D19:D23)</f>
        <v>11704552.3783</v>
      </c>
      <c r="E24" s="204">
        <f t="shared" si="1"/>
        <v>18106477.6283</v>
      </c>
    </row>
    <row r="25" spans="1:5" s="208" customFormat="1">
      <c r="A25" s="209" t="s">
        <v>808</v>
      </c>
      <c r="B25" s="210"/>
      <c r="C25" s="210"/>
      <c r="D25" s="210"/>
      <c r="E25" s="204">
        <f>SUM(E24)</f>
        <v>18106477.6283</v>
      </c>
    </row>
    <row r="26" spans="1:5">
      <c r="A26" s="212"/>
      <c r="B26" s="213"/>
      <c r="C26" s="213"/>
      <c r="D26" s="213"/>
      <c r="E26" s="379"/>
    </row>
    <row r="27" spans="1:5">
      <c r="A27" s="486" t="s">
        <v>797</v>
      </c>
      <c r="B27" s="487"/>
      <c r="C27" s="487"/>
      <c r="D27" s="487"/>
      <c r="E27" s="488"/>
    </row>
    <row r="28" spans="1:5" ht="15.75">
      <c r="A28" s="489" t="s">
        <v>798</v>
      </c>
      <c r="B28" s="489"/>
      <c r="C28" s="490" t="s">
        <v>799</v>
      </c>
      <c r="D28" s="490"/>
      <c r="E28" s="490"/>
    </row>
    <row r="29" spans="1:5" ht="15.75">
      <c r="A29" s="485" t="s">
        <v>757</v>
      </c>
      <c r="B29" s="485"/>
      <c r="C29" s="490" t="s">
        <v>812</v>
      </c>
      <c r="D29" s="490"/>
      <c r="E29" s="490"/>
    </row>
    <row r="30" spans="1:5" ht="15.75">
      <c r="A30" s="485" t="s">
        <v>801</v>
      </c>
      <c r="B30" s="485"/>
      <c r="C30" s="494">
        <v>46233</v>
      </c>
      <c r="D30" s="494"/>
      <c r="E30" s="494"/>
    </row>
    <row r="31" spans="1:5" ht="30">
      <c r="A31" s="214" t="s">
        <v>802</v>
      </c>
      <c r="B31" s="214" t="s">
        <v>803</v>
      </c>
      <c r="C31" s="215" t="s">
        <v>813</v>
      </c>
      <c r="D31" s="215" t="s">
        <v>814</v>
      </c>
      <c r="E31" s="202" t="s">
        <v>374</v>
      </c>
    </row>
    <row r="32" spans="1:5">
      <c r="A32" s="216">
        <v>1</v>
      </c>
      <c r="B32" s="217" t="s">
        <v>2</v>
      </c>
      <c r="C32" s="204">
        <f>'Compiled dehradun'!G745+'Compiled dehradun'!G790</f>
        <v>13867638.425660007</v>
      </c>
      <c r="D32" s="204">
        <f>'Compiled dehradun'!G957</f>
        <v>5037050.5269999988</v>
      </c>
      <c r="E32" s="218">
        <f t="shared" ref="E32:E37" si="2">SUM(C32:D32)</f>
        <v>18904688.952660006</v>
      </c>
    </row>
    <row r="33" spans="1:5">
      <c r="A33" s="216">
        <v>2</v>
      </c>
      <c r="B33" s="217" t="s">
        <v>3</v>
      </c>
      <c r="C33" s="380">
        <f>'Compiled dehradun'!I790</f>
        <v>0</v>
      </c>
      <c r="D33" s="381">
        <f>'Compiled dehradun'!I957</f>
        <v>0</v>
      </c>
      <c r="E33" s="218">
        <f t="shared" si="2"/>
        <v>0</v>
      </c>
    </row>
    <row r="34" spans="1:5">
      <c r="A34" s="216">
        <v>3</v>
      </c>
      <c r="B34" s="217" t="s">
        <v>806</v>
      </c>
      <c r="C34" s="380">
        <f>'Compiled dehradun'!K790</f>
        <v>0</v>
      </c>
      <c r="D34" s="382">
        <f>'Compiled dehradun'!K957</f>
        <v>0</v>
      </c>
      <c r="E34" s="218">
        <f t="shared" si="2"/>
        <v>0</v>
      </c>
    </row>
    <row r="35" spans="1:5">
      <c r="A35" s="216">
        <v>4</v>
      </c>
      <c r="B35" s="217" t="s">
        <v>5</v>
      </c>
      <c r="C35" s="380">
        <f>'Compiled dehradun'!M790</f>
        <v>0</v>
      </c>
      <c r="D35" s="204">
        <f>'Compiled dehradun'!M957</f>
        <v>46000</v>
      </c>
      <c r="E35" s="218">
        <f t="shared" si="2"/>
        <v>46000</v>
      </c>
    </row>
    <row r="36" spans="1:5">
      <c r="A36" s="216">
        <v>5</v>
      </c>
      <c r="B36" s="217" t="s">
        <v>807</v>
      </c>
      <c r="C36" s="380">
        <f>'Compiled dehradun'!O790</f>
        <v>0</v>
      </c>
      <c r="D36" s="204">
        <f>'Compiled dehradun'!O957</f>
        <v>1020</v>
      </c>
      <c r="E36" s="218">
        <f t="shared" si="2"/>
        <v>1020</v>
      </c>
    </row>
    <row r="37" spans="1:5">
      <c r="A37" s="219"/>
      <c r="B37" s="220" t="s">
        <v>374</v>
      </c>
      <c r="C37" s="204">
        <f>SUM(C32:C36)</f>
        <v>13867638.425660007</v>
      </c>
      <c r="D37" s="221">
        <f>SUM(D32:D36)</f>
        <v>5084070.5269999988</v>
      </c>
      <c r="E37" s="218">
        <f t="shared" si="2"/>
        <v>18951708.952660006</v>
      </c>
    </row>
    <row r="38" spans="1:5">
      <c r="A38" s="495" t="s">
        <v>808</v>
      </c>
      <c r="B38" s="496"/>
      <c r="C38" s="496"/>
      <c r="D38" s="496"/>
      <c r="E38" s="377">
        <f>SUM(E37)</f>
        <v>18951708.952660006</v>
      </c>
    </row>
    <row r="40" spans="1:5" s="208" customFormat="1" ht="26.25">
      <c r="A40" s="479" t="s">
        <v>815</v>
      </c>
      <c r="B40" s="480"/>
      <c r="C40" s="480"/>
      <c r="D40" s="480"/>
      <c r="E40" s="481"/>
    </row>
    <row r="41" spans="1:5" s="208" customFormat="1">
      <c r="A41" s="475" t="s">
        <v>816</v>
      </c>
      <c r="B41" s="476"/>
      <c r="C41" s="476"/>
      <c r="D41" s="477"/>
      <c r="E41" s="222">
        <f>E32+E19+E6</f>
        <v>106543539.21353079</v>
      </c>
    </row>
    <row r="42" spans="1:5" s="208" customFormat="1">
      <c r="A42" s="475" t="s">
        <v>817</v>
      </c>
      <c r="B42" s="476"/>
      <c r="C42" s="476"/>
      <c r="D42" s="477"/>
      <c r="E42" s="222">
        <f>E33+E20+E7</f>
        <v>180710</v>
      </c>
    </row>
    <row r="43" spans="1:5" s="208" customFormat="1">
      <c r="A43" s="475" t="s">
        <v>818</v>
      </c>
      <c r="B43" s="476"/>
      <c r="C43" s="476"/>
      <c r="D43" s="477"/>
      <c r="E43" s="222">
        <f>E34+E21+E8</f>
        <v>169033.5</v>
      </c>
    </row>
    <row r="44" spans="1:5" s="208" customFormat="1">
      <c r="A44" s="475" t="s">
        <v>819</v>
      </c>
      <c r="B44" s="476"/>
      <c r="C44" s="476"/>
      <c r="D44" s="477"/>
      <c r="E44" s="222">
        <f>E35+E22+E9</f>
        <v>494170</v>
      </c>
    </row>
    <row r="45" spans="1:5" s="208" customFormat="1">
      <c r="A45" s="475" t="s">
        <v>820</v>
      </c>
      <c r="B45" s="476"/>
      <c r="C45" s="476"/>
      <c r="D45" s="477"/>
      <c r="E45" s="222">
        <f>E36+E23+E10</f>
        <v>1889696.6680000001</v>
      </c>
    </row>
    <row r="46" spans="1:5" s="208" customFormat="1">
      <c r="A46" s="498" t="s">
        <v>821</v>
      </c>
      <c r="B46" s="498"/>
      <c r="C46" s="498"/>
      <c r="D46" s="498"/>
      <c r="E46" s="497">
        <f>SUM(E41:E45)</f>
        <v>109277149.38153079</v>
      </c>
    </row>
    <row r="47" spans="1:5" s="208" customFormat="1">
      <c r="A47" s="498"/>
      <c r="B47" s="498"/>
      <c r="C47" s="498"/>
      <c r="D47" s="498"/>
      <c r="E47" s="497"/>
    </row>
  </sheetData>
  <mergeCells count="31">
    <mergeCell ref="E46:E47"/>
    <mergeCell ref="A41:D41"/>
    <mergeCell ref="A42:D42"/>
    <mergeCell ref="A43:D43"/>
    <mergeCell ref="A44:D44"/>
    <mergeCell ref="A45:D45"/>
    <mergeCell ref="A46:D47"/>
    <mergeCell ref="A40:E40"/>
    <mergeCell ref="A12:D12"/>
    <mergeCell ref="A15:B15"/>
    <mergeCell ref="A16:B16"/>
    <mergeCell ref="A17:B17"/>
    <mergeCell ref="A27:E27"/>
    <mergeCell ref="A28:B28"/>
    <mergeCell ref="C28:E28"/>
    <mergeCell ref="C17:E17"/>
    <mergeCell ref="A29:B29"/>
    <mergeCell ref="C29:E29"/>
    <mergeCell ref="A30:B30"/>
    <mergeCell ref="C30:E30"/>
    <mergeCell ref="A38:D38"/>
    <mergeCell ref="A1:E1"/>
    <mergeCell ref="A2:B2"/>
    <mergeCell ref="C2:E2"/>
    <mergeCell ref="A3:B3"/>
    <mergeCell ref="C3:E3"/>
    <mergeCell ref="A4:B4"/>
    <mergeCell ref="C4:E4"/>
    <mergeCell ref="A14:E14"/>
    <mergeCell ref="C15:E15"/>
    <mergeCell ref="C16:E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Compiled dehradun</vt:lpstr>
      <vt:lpstr>Abstract</vt:lpstr>
      <vt:lpstr>'Compiled dehradun'!Print_Area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2026-07-31T11:10:07Z</dcterms:modified>
</cp:coreProperties>
</file>