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20" yWindow="-120" windowWidth="20730" windowHeight="11160"/>
  </bookViews>
  <sheets>
    <sheet name="Aug-26" sheetId="53" r:id="rId1"/>
  </sheets>
  <calcPr calcId="124519"/>
  <extLst xmlns:x15="http://schemas.microsoft.com/office/spreadsheetml/2010/11/main">
    <ext uri="{140A7094-0E35-4892-8432-C4D2E57EDEB5}">
      <x15:workbookPr chartTrackingRefBase="1"/>
    </ext>
  </extLst>
</workbook>
</file>

<file path=xl/calcChain.xml><?xml version="1.0" encoding="utf-8"?>
<calcChain xmlns="http://schemas.openxmlformats.org/spreadsheetml/2006/main">
  <c r="H2468" i="53"/>
  <c r="O2467"/>
  <c r="P2467" s="1"/>
  <c r="G2467"/>
  <c r="P2466"/>
  <c r="O2466"/>
  <c r="G2466"/>
  <c r="P2465"/>
  <c r="O2465"/>
  <c r="G2465"/>
  <c r="O2464"/>
  <c r="P2464" s="1"/>
  <c r="G2464"/>
  <c r="O2463"/>
  <c r="O2468" s="1"/>
  <c r="G2463"/>
  <c r="P2462"/>
  <c r="P2461"/>
  <c r="P2460"/>
  <c r="P2459"/>
  <c r="G2459"/>
  <c r="P2458"/>
  <c r="G2458"/>
  <c r="P2457"/>
  <c r="G2457"/>
  <c r="P2456"/>
  <c r="G2456"/>
  <c r="P2455"/>
  <c r="G2455"/>
  <c r="G2454"/>
  <c r="P2454" s="1"/>
  <c r="P2453"/>
  <c r="G2453"/>
  <c r="G2452"/>
  <c r="P2452" s="1"/>
  <c r="P2451"/>
  <c r="G2451"/>
  <c r="G2450"/>
  <c r="P2450" s="1"/>
  <c r="P2449"/>
  <c r="G2449"/>
  <c r="G2448"/>
  <c r="P2448" s="1"/>
  <c r="P2447"/>
  <c r="G2447"/>
  <c r="G2446"/>
  <c r="P2446" s="1"/>
  <c r="P2445"/>
  <c r="G2445"/>
  <c r="G2444"/>
  <c r="P2444" s="1"/>
  <c r="P2443"/>
  <c r="G2443"/>
  <c r="G2442"/>
  <c r="P2442" s="1"/>
  <c r="P2441"/>
  <c r="G2441"/>
  <c r="G2440"/>
  <c r="P2440" s="1"/>
  <c r="P2439"/>
  <c r="G2439"/>
  <c r="P2438"/>
  <c r="G2438"/>
  <c r="P2437"/>
  <c r="G2437"/>
  <c r="P2436"/>
  <c r="G2436"/>
  <c r="P2435"/>
  <c r="G2435"/>
  <c r="P2434"/>
  <c r="G2434"/>
  <c r="P2433"/>
  <c r="G2433"/>
  <c r="P2432"/>
  <c r="G2432"/>
  <c r="P2431"/>
  <c r="G2431"/>
  <c r="P2430"/>
  <c r="G2430"/>
  <c r="P2429"/>
  <c r="G2429"/>
  <c r="G2428"/>
  <c r="P2428" s="1"/>
  <c r="P2427"/>
  <c r="G2427"/>
  <c r="G2426"/>
  <c r="P2426" s="1"/>
  <c r="P2425"/>
  <c r="G2425"/>
  <c r="G2468" s="1"/>
  <c r="G2424"/>
  <c r="P2424" s="1"/>
  <c r="P2468" l="1"/>
  <c r="P2463"/>
  <c r="P2412" l="1"/>
  <c r="G2412"/>
  <c r="O2411"/>
  <c r="P2411" s="1"/>
  <c r="G2410"/>
  <c r="P2410" s="1"/>
  <c r="O2409"/>
  <c r="P2409" s="1"/>
  <c r="O2408"/>
  <c r="P2408" s="1"/>
  <c r="P2407"/>
  <c r="G2407"/>
  <c r="P2406"/>
  <c r="G2406"/>
  <c r="P2405"/>
  <c r="G2405"/>
  <c r="P2404"/>
  <c r="G2404"/>
  <c r="P2403"/>
  <c r="G2403"/>
  <c r="P2402"/>
  <c r="G2402"/>
  <c r="P2401"/>
  <c r="G2401"/>
  <c r="P2400"/>
  <c r="G2400"/>
  <c r="P2399"/>
  <c r="G2399"/>
  <c r="P2398"/>
  <c r="G2398"/>
  <c r="P2397"/>
  <c r="G2397"/>
  <c r="G2396"/>
  <c r="P2396" s="1"/>
  <c r="P2395"/>
  <c r="G2395"/>
  <c r="P2394"/>
  <c r="G2394"/>
  <c r="P2393"/>
  <c r="G2393"/>
  <c r="O2392"/>
  <c r="P2392" s="1"/>
  <c r="P2391"/>
  <c r="G2391"/>
  <c r="P2390"/>
  <c r="G2390"/>
  <c r="O2389"/>
  <c r="P2389" s="1"/>
  <c r="P2388"/>
  <c r="G2388"/>
  <c r="P2387"/>
  <c r="G2387"/>
  <c r="P2386"/>
  <c r="G2386"/>
  <c r="P2385"/>
  <c r="G2385"/>
  <c r="P2384"/>
  <c r="G2384"/>
  <c r="P2383"/>
  <c r="G2383"/>
  <c r="P2382"/>
  <c r="G2382"/>
  <c r="P2381"/>
  <c r="G2381"/>
  <c r="P2380"/>
  <c r="G2380"/>
  <c r="P2379"/>
  <c r="G2379"/>
  <c r="P2378"/>
  <c r="G2378"/>
  <c r="P2377"/>
  <c r="G2377"/>
  <c r="P2376"/>
  <c r="G2376"/>
  <c r="P2375"/>
  <c r="G2375"/>
  <c r="P2374"/>
  <c r="G2374"/>
  <c r="P2373"/>
  <c r="G2373"/>
  <c r="P2372"/>
  <c r="G2372"/>
  <c r="P2371"/>
  <c r="G2371"/>
  <c r="O2370"/>
  <c r="P2370" s="1"/>
  <c r="P2369"/>
  <c r="G2369"/>
  <c r="P2368"/>
  <c r="G2368"/>
  <c r="P2367"/>
  <c r="G2367"/>
  <c r="P2366"/>
  <c r="G2366"/>
  <c r="P2365"/>
  <c r="G2365"/>
  <c r="P2364"/>
  <c r="G2364"/>
  <c r="P2363"/>
  <c r="G2363"/>
  <c r="P2362"/>
  <c r="G2362"/>
  <c r="P2361"/>
  <c r="G2361"/>
  <c r="P2360"/>
  <c r="G2360"/>
  <c r="P2359"/>
  <c r="G2359"/>
  <c r="P2358"/>
  <c r="G2358"/>
  <c r="P2357"/>
  <c r="G2357"/>
  <c r="P2356"/>
  <c r="G2356"/>
  <c r="P2355"/>
  <c r="G2355"/>
  <c r="P2354"/>
  <c r="G2354"/>
  <c r="P2353"/>
  <c r="G2353"/>
  <c r="P2352"/>
  <c r="G2352"/>
  <c r="P2351"/>
  <c r="G2351"/>
  <c r="P2350"/>
  <c r="G2350"/>
  <c r="P2349"/>
  <c r="G2349"/>
  <c r="P2348"/>
  <c r="G2348"/>
  <c r="P2347"/>
  <c r="G2347"/>
  <c r="P2346"/>
  <c r="G2346"/>
  <c r="P2345"/>
  <c r="G2345"/>
  <c r="P2344"/>
  <c r="G2344"/>
  <c r="P2343"/>
  <c r="G2343"/>
  <c r="P2342"/>
  <c r="G2342"/>
  <c r="O2341"/>
  <c r="O2413" s="1"/>
  <c r="O2415" s="1"/>
  <c r="P2340"/>
  <c r="G2340"/>
  <c r="P2339"/>
  <c r="G2339"/>
  <c r="P2338"/>
  <c r="G2338"/>
  <c r="P2337"/>
  <c r="G2337"/>
  <c r="P2336"/>
  <c r="G2336"/>
  <c r="P2335"/>
  <c r="G2335"/>
  <c r="P2334"/>
  <c r="G2334"/>
  <c r="P2333"/>
  <c r="G2333"/>
  <c r="G2413" s="1"/>
  <c r="G2415" s="1"/>
  <c r="Q2323"/>
  <c r="Q2322"/>
  <c r="Q2324" s="1"/>
  <c r="Q2320"/>
  <c r="Q2319"/>
  <c r="Q2318"/>
  <c r="Q2317"/>
  <c r="Q2321" s="1"/>
  <c r="Q2315"/>
  <c r="Q2314"/>
  <c r="Q2313"/>
  <c r="Q2312"/>
  <c r="Q2311"/>
  <c r="Q2310"/>
  <c r="Q2309"/>
  <c r="Q2308"/>
  <c r="Q2316" s="1"/>
  <c r="Q2325" s="1"/>
  <c r="Q2307"/>
  <c r="Q2306"/>
  <c r="Q2294"/>
  <c r="Q2293"/>
  <c r="Q2292"/>
  <c r="Q2291"/>
  <c r="Q2290"/>
  <c r="Q2289"/>
  <c r="Q2288"/>
  <c r="Q2287"/>
  <c r="Q2286"/>
  <c r="Q2285"/>
  <c r="Q2284"/>
  <c r="Q2283"/>
  <c r="Q2282"/>
  <c r="Q2281"/>
  <c r="Q2280"/>
  <c r="Q2279"/>
  <c r="Q2296" s="1"/>
  <c r="Q2273"/>
  <c r="Q2272"/>
  <c r="Q2271"/>
  <c r="Q2270"/>
  <c r="Q2269"/>
  <c r="Q2268"/>
  <c r="Q2267"/>
  <c r="Q2266"/>
  <c r="Q2265"/>
  <c r="Q2264"/>
  <c r="Q2263"/>
  <c r="Q2262"/>
  <c r="Q2261"/>
  <c r="Q2260"/>
  <c r="Q2259"/>
  <c r="Q2258"/>
  <c r="Q2257"/>
  <c r="Q2256"/>
  <c r="Q2255"/>
  <c r="Q2254"/>
  <c r="Q2253"/>
  <c r="Q2252"/>
  <c r="Q2251"/>
  <c r="Q2250"/>
  <c r="Q2249"/>
  <c r="Q2248"/>
  <c r="Q2247"/>
  <c r="Q2246"/>
  <c r="Q2245"/>
  <c r="Q2244"/>
  <c r="Q2243"/>
  <c r="Q2242"/>
  <c r="Q2241"/>
  <c r="Q2240"/>
  <c r="Q2239"/>
  <c r="Q2238"/>
  <c r="Q2237"/>
  <c r="Q2236"/>
  <c r="Q2235"/>
  <c r="Q2234"/>
  <c r="Q2233"/>
  <c r="Q2232"/>
  <c r="Q2231"/>
  <c r="Q2230"/>
  <c r="Q2229"/>
  <c r="Q2228"/>
  <c r="Q2227"/>
  <c r="Q2226"/>
  <c r="Q2225"/>
  <c r="Q2224"/>
  <c r="Q2223"/>
  <c r="Q2222"/>
  <c r="Q2221"/>
  <c r="Q2220"/>
  <c r="Q2219"/>
  <c r="Q2218"/>
  <c r="Q2216"/>
  <c r="Q2215"/>
  <c r="Q2214"/>
  <c r="Q2213"/>
  <c r="Q2212"/>
  <c r="Q2211"/>
  <c r="Q2210"/>
  <c r="Q2276" s="1"/>
  <c r="Q2208"/>
  <c r="Q2207"/>
  <c r="Q2206"/>
  <c r="Q2205"/>
  <c r="Q2204"/>
  <c r="Q2209" s="1"/>
  <c r="Q2202"/>
  <c r="P2202"/>
  <c r="Q2201"/>
  <c r="P2201"/>
  <c r="Q2200"/>
  <c r="P2200"/>
  <c r="Q2199"/>
  <c r="P2199"/>
  <c r="Q2198"/>
  <c r="P2198"/>
  <c r="Q2197"/>
  <c r="P2197"/>
  <c r="Q2196"/>
  <c r="P2196"/>
  <c r="Q2195"/>
  <c r="P2195"/>
  <c r="Q2194"/>
  <c r="P2194"/>
  <c r="Q2193"/>
  <c r="P2193"/>
  <c r="Q2192"/>
  <c r="P2192"/>
  <c r="Q2191"/>
  <c r="P2191"/>
  <c r="Q2190"/>
  <c r="P2190"/>
  <c r="Q2189"/>
  <c r="P2189"/>
  <c r="Q2188"/>
  <c r="P2188"/>
  <c r="Q2187"/>
  <c r="P2187"/>
  <c r="Q2186"/>
  <c r="P2186"/>
  <c r="Q2185"/>
  <c r="P2185"/>
  <c r="Q2184"/>
  <c r="P2184"/>
  <c r="Q2183"/>
  <c r="P2183"/>
  <c r="Q2182"/>
  <c r="P2182"/>
  <c r="Q2181"/>
  <c r="P2181"/>
  <c r="Q2180"/>
  <c r="P2180"/>
  <c r="Q2179"/>
  <c r="P2179"/>
  <c r="Q2178"/>
  <c r="P2178"/>
  <c r="Q2177"/>
  <c r="Q2203" s="1"/>
  <c r="P2177"/>
  <c r="P2415" l="1"/>
  <c r="P2341"/>
  <c r="P2413" s="1"/>
  <c r="O2167"/>
  <c r="K2167"/>
  <c r="I2167"/>
  <c r="G2166"/>
  <c r="G2165"/>
  <c r="G2164"/>
  <c r="G2163"/>
  <c r="G2162"/>
  <c r="G2161"/>
  <c r="G2160"/>
  <c r="G2159"/>
  <c r="G2158"/>
  <c r="G2157"/>
  <c r="G2156"/>
  <c r="G2155"/>
  <c r="G2154"/>
  <c r="G2153"/>
  <c r="G2152"/>
  <c r="G2151"/>
  <c r="G2150"/>
  <c r="G2149"/>
  <c r="G2148"/>
  <c r="G2147"/>
  <c r="M2146"/>
  <c r="G2145"/>
  <c r="M2144"/>
  <c r="M2143"/>
  <c r="M2142"/>
  <c r="M2141"/>
  <c r="M2140"/>
  <c r="M2139"/>
  <c r="G2138"/>
  <c r="G2137"/>
  <c r="G2136"/>
  <c r="G2135"/>
  <c r="G2134"/>
  <c r="G2133"/>
  <c r="G2132"/>
  <c r="G2131"/>
  <c r="G2130"/>
  <c r="G2129"/>
  <c r="G2128"/>
  <c r="G2127"/>
  <c r="G2126"/>
  <c r="G2125"/>
  <c r="G2124"/>
  <c r="M2123"/>
  <c r="M2122"/>
  <c r="M2121"/>
  <c r="M2120"/>
  <c r="M2119"/>
  <c r="G2118"/>
  <c r="G2117"/>
  <c r="G2116"/>
  <c r="G2115"/>
  <c r="G2114"/>
  <c r="G2113"/>
  <c r="G2112"/>
  <c r="G2111"/>
  <c r="G2110"/>
  <c r="A2110"/>
  <c r="A2111" s="1"/>
  <c r="A2112" s="1"/>
  <c r="A2113" s="1"/>
  <c r="A2114" s="1"/>
  <c r="A2115" s="1"/>
  <c r="A2116" s="1"/>
  <c r="A2117" s="1"/>
  <c r="A2118" s="1"/>
  <c r="A2119" s="1"/>
  <c r="A2120" s="1"/>
  <c r="A2121" s="1"/>
  <c r="A2122" s="1"/>
  <c r="A2123" s="1"/>
  <c r="A2124" s="1"/>
  <c r="A2125" s="1"/>
  <c r="A2126" s="1"/>
  <c r="A2127" s="1"/>
  <c r="A2128" s="1"/>
  <c r="A2129" s="1"/>
  <c r="A2130" s="1"/>
  <c r="A2131" s="1"/>
  <c r="A2132" s="1"/>
  <c r="A2133" s="1"/>
  <c r="A2134" s="1"/>
  <c r="A2135" s="1"/>
  <c r="A2136" s="1"/>
  <c r="A2137" s="1"/>
  <c r="A2142" s="1"/>
  <c r="A2143" s="1"/>
  <c r="A2144" s="1"/>
  <c r="A2145" s="1"/>
  <c r="A2146" s="1"/>
  <c r="A2147" s="1"/>
  <c r="A2149" s="1"/>
  <c r="A2150" s="1"/>
  <c r="A2151" s="1"/>
  <c r="A2152" s="1"/>
  <c r="A2153" s="1"/>
  <c r="A2154" s="1"/>
  <c r="A2155" s="1"/>
  <c r="G2109"/>
  <c r="A2109"/>
  <c r="G2108"/>
  <c r="G2107"/>
  <c r="G2106"/>
  <c r="G2105"/>
  <c r="G2104"/>
  <c r="G2103"/>
  <c r="G2102"/>
  <c r="G2101"/>
  <c r="G2100"/>
  <c r="G2098"/>
  <c r="G2096"/>
  <c r="G2095"/>
  <c r="G2092"/>
  <c r="G2091"/>
  <c r="G2090"/>
  <c r="G2089"/>
  <c r="G2088"/>
  <c r="G2087"/>
  <c r="G2086"/>
  <c r="G2085"/>
  <c r="G2084"/>
  <c r="G2082"/>
  <c r="G2081"/>
  <c r="G2080"/>
  <c r="M2079"/>
  <c r="M2167" s="1"/>
  <c r="G2079"/>
  <c r="G2078"/>
  <c r="G2077"/>
  <c r="G2076"/>
  <c r="G2074"/>
  <c r="G2073"/>
  <c r="G2167" s="1"/>
  <c r="O2063"/>
  <c r="K2063"/>
  <c r="G2062"/>
  <c r="G2060"/>
  <c r="M2059"/>
  <c r="L2059"/>
  <c r="F2057"/>
  <c r="G2057" s="1"/>
  <c r="G2056"/>
  <c r="F2056"/>
  <c r="G2055"/>
  <c r="G2054"/>
  <c r="G2053"/>
  <c r="G2052"/>
  <c r="G2051"/>
  <c r="G2050"/>
  <c r="F2050"/>
  <c r="G2049"/>
  <c r="G2048"/>
  <c r="G2047"/>
  <c r="G2046"/>
  <c r="G2045"/>
  <c r="G2044"/>
  <c r="G2043"/>
  <c r="G2042"/>
  <c r="F2042"/>
  <c r="F2041"/>
  <c r="G2041" s="1"/>
  <c r="G2040"/>
  <c r="G2039"/>
  <c r="F2039"/>
  <c r="G2038"/>
  <c r="F2038"/>
  <c r="G2037"/>
  <c r="G2036"/>
  <c r="G2035"/>
  <c r="G2034"/>
  <c r="F2034"/>
  <c r="L2033"/>
  <c r="M2033" s="1"/>
  <c r="G2033"/>
  <c r="G2032"/>
  <c r="G2030"/>
  <c r="G2029"/>
  <c r="G2028"/>
  <c r="F2028"/>
  <c r="G2027"/>
  <c r="G2026"/>
  <c r="G2025"/>
  <c r="F2025"/>
  <c r="G2024"/>
  <c r="G2023"/>
  <c r="M2022"/>
  <c r="L2022"/>
  <c r="G2022"/>
  <c r="G2021"/>
  <c r="G2020"/>
  <c r="G2019"/>
  <c r="G2018"/>
  <c r="G2017"/>
  <c r="G2016"/>
  <c r="M2015"/>
  <c r="G2015"/>
  <c r="G2014"/>
  <c r="F2014"/>
  <c r="G2013"/>
  <c r="G2012"/>
  <c r="G2011"/>
  <c r="G2010"/>
  <c r="F2010"/>
  <c r="G2009"/>
  <c r="G2008"/>
  <c r="G2007"/>
  <c r="G2006"/>
  <c r="G2005"/>
  <c r="G2004"/>
  <c r="G2003"/>
  <c r="G2002"/>
  <c r="G2001"/>
  <c r="G2000"/>
  <c r="F2000"/>
  <c r="G1999"/>
  <c r="F1999"/>
  <c r="G1998"/>
  <c r="F1998"/>
  <c r="G1997"/>
  <c r="F1997"/>
  <c r="G1996"/>
  <c r="G1995"/>
  <c r="G1994"/>
  <c r="F1994"/>
  <c r="G1993"/>
  <c r="G1992"/>
  <c r="G1991"/>
  <c r="G1990"/>
  <c r="G1989"/>
  <c r="G1988"/>
  <c r="G1987"/>
  <c r="G1986"/>
  <c r="G1985"/>
  <c r="G1984"/>
  <c r="F1984"/>
  <c r="F1983"/>
  <c r="G1983" s="1"/>
  <c r="G1982"/>
  <c r="G1981"/>
  <c r="G1980"/>
  <c r="G1979"/>
  <c r="G1978"/>
  <c r="G1977"/>
  <c r="G1976"/>
  <c r="G1975"/>
  <c r="G1974"/>
  <c r="F1974"/>
  <c r="F1973"/>
  <c r="G1973" s="1"/>
  <c r="G1972"/>
  <c r="F1972"/>
  <c r="F1971"/>
  <c r="G1971" s="1"/>
  <c r="G1970"/>
  <c r="F1970"/>
  <c r="G1969"/>
  <c r="G1968"/>
  <c r="G1967"/>
  <c r="G1966"/>
  <c r="G1965"/>
  <c r="G1964"/>
  <c r="G1963"/>
  <c r="G1962"/>
  <c r="F1962"/>
  <c r="G1961"/>
  <c r="F1961"/>
  <c r="G1960"/>
  <c r="F1960"/>
  <c r="G1959"/>
  <c r="G1958"/>
  <c r="G1957"/>
  <c r="F1957"/>
  <c r="G1956"/>
  <c r="G1955"/>
  <c r="G1954"/>
  <c r="G1953"/>
  <c r="F1952"/>
  <c r="G1952" s="1"/>
  <c r="G1951"/>
  <c r="F1951"/>
  <c r="F1950"/>
  <c r="G1950" s="1"/>
  <c r="G1948"/>
  <c r="F1947"/>
  <c r="G1947" s="1"/>
  <c r="G1946"/>
  <c r="F1946"/>
  <c r="G1945"/>
  <c r="G1944"/>
  <c r="G1943"/>
  <c r="G1942"/>
  <c r="F1942"/>
  <c r="G1941"/>
  <c r="G1940"/>
  <c r="G1939"/>
  <c r="F1939"/>
  <c r="G1938"/>
  <c r="G1936"/>
  <c r="F1936"/>
  <c r="G1935"/>
  <c r="G1934"/>
  <c r="G1933"/>
  <c r="F1933"/>
  <c r="F1932"/>
  <c r="G1932" s="1"/>
  <c r="G1931"/>
  <c r="F1931"/>
  <c r="F1929"/>
  <c r="G1929" s="1"/>
  <c r="M1928"/>
  <c r="L1928"/>
  <c r="G1928"/>
  <c r="F1927"/>
  <c r="G1927" s="1"/>
  <c r="G1926"/>
  <c r="F1925"/>
  <c r="G1925" s="1"/>
  <c r="G1924"/>
  <c r="G1923"/>
  <c r="F1922"/>
  <c r="G1922" s="1"/>
  <c r="G1921"/>
  <c r="F1921"/>
  <c r="F1920"/>
  <c r="G1920" s="1"/>
  <c r="G1919"/>
  <c r="F1919"/>
  <c r="F1918"/>
  <c r="G1918" s="1"/>
  <c r="G1917"/>
  <c r="F1917"/>
  <c r="G1916"/>
  <c r="G1915"/>
  <c r="G1914"/>
  <c r="G1913"/>
  <c r="G1912"/>
  <c r="L1911"/>
  <c r="M1911" s="1"/>
  <c r="G1911"/>
  <c r="L1910"/>
  <c r="M1910" s="1"/>
  <c r="I1909"/>
  <c r="I2063" s="1"/>
  <c r="G1907"/>
  <c r="F1907"/>
  <c r="F1906"/>
  <c r="G1906" s="1"/>
  <c r="G1905"/>
  <c r="F1904"/>
  <c r="G1904" s="1"/>
  <c r="G1903"/>
  <c r="G1902"/>
  <c r="G1901"/>
  <c r="G1900"/>
  <c r="G1899"/>
  <c r="F1898"/>
  <c r="G1898" s="1"/>
  <c r="G1897"/>
  <c r="G1896"/>
  <c r="G1895"/>
  <c r="F1895"/>
  <c r="F1894"/>
  <c r="G1894" s="1"/>
  <c r="G1893"/>
  <c r="F1893"/>
  <c r="F1892"/>
  <c r="G1892" s="1"/>
  <c r="G1891"/>
  <c r="F1891"/>
  <c r="G1890"/>
  <c r="G1889"/>
  <c r="F1889"/>
  <c r="G1888"/>
  <c r="G1887"/>
  <c r="G1886"/>
  <c r="G1885"/>
  <c r="F1885"/>
  <c r="G1884"/>
  <c r="F1884"/>
  <c r="G1883"/>
  <c r="G1882"/>
  <c r="G1881"/>
  <c r="G1880"/>
  <c r="F1880"/>
  <c r="G1879"/>
  <c r="G1878"/>
  <c r="F1878"/>
  <c r="G1877"/>
  <c r="F1877"/>
  <c r="G1876"/>
  <c r="G1875"/>
  <c r="F1875"/>
  <c r="G1874"/>
  <c r="G1873"/>
  <c r="G1872"/>
  <c r="G1871"/>
  <c r="F1870"/>
  <c r="G1870" s="1"/>
  <c r="G1869"/>
  <c r="F1869"/>
  <c r="F1868"/>
  <c r="G1868" s="1"/>
  <c r="G1867"/>
  <c r="G1866"/>
  <c r="F1865"/>
  <c r="G1865" s="1"/>
  <c r="G1864"/>
  <c r="G1863"/>
  <c r="M1862"/>
  <c r="M1861"/>
  <c r="G1860"/>
  <c r="F1860"/>
  <c r="G1859"/>
  <c r="G1858"/>
  <c r="F1858"/>
  <c r="G1857"/>
  <c r="M1855"/>
  <c r="M1854"/>
  <c r="L1854"/>
  <c r="M1853"/>
  <c r="L1852"/>
  <c r="M1852" s="1"/>
  <c r="G1851"/>
  <c r="G1850"/>
  <c r="F1850"/>
  <c r="G1849"/>
  <c r="G1848"/>
  <c r="F1848"/>
  <c r="G1847"/>
  <c r="G1846"/>
  <c r="F1846"/>
  <c r="G1845"/>
  <c r="G1844"/>
  <c r="G1843"/>
  <c r="F1843"/>
  <c r="G1842"/>
  <c r="F1842"/>
  <c r="G1841"/>
  <c r="G1840"/>
  <c r="F1840"/>
  <c r="G1839"/>
  <c r="G1838"/>
  <c r="G1837"/>
  <c r="F1837"/>
  <c r="F1836"/>
  <c r="G1836" s="1"/>
  <c r="G1835"/>
  <c r="G1834"/>
  <c r="F1833"/>
  <c r="G1833" s="1"/>
  <c r="M1832"/>
  <c r="G1831"/>
  <c r="F1831"/>
  <c r="G1830"/>
  <c r="G1829"/>
  <c r="G1827"/>
  <c r="F1827"/>
  <c r="G1826"/>
  <c r="F1826"/>
  <c r="G1825"/>
  <c r="F1825"/>
  <c r="M1823"/>
  <c r="G1822"/>
  <c r="G1821"/>
  <c r="F1821"/>
  <c r="G1820"/>
  <c r="F1820"/>
  <c r="G1819"/>
  <c r="F1819"/>
  <c r="G1818"/>
  <c r="F1818"/>
  <c r="G1817"/>
  <c r="F1817"/>
  <c r="G1816"/>
  <c r="F1816"/>
  <c r="M1815"/>
  <c r="M1814"/>
  <c r="M1813"/>
  <c r="L1813"/>
  <c r="M1812"/>
  <c r="L1812"/>
  <c r="M1811"/>
  <c r="L1811"/>
  <c r="M1810"/>
  <c r="G1809"/>
  <c r="G1808"/>
  <c r="F1808"/>
  <c r="G1807"/>
  <c r="F1806"/>
  <c r="G1806" s="1"/>
  <c r="M1805"/>
  <c r="L1805"/>
  <c r="G1804"/>
  <c r="G1802"/>
  <c r="G1801"/>
  <c r="G1800"/>
  <c r="F1799"/>
  <c r="G1799" s="1"/>
  <c r="G1798"/>
  <c r="F1798"/>
  <c r="G1797"/>
  <c r="G1796"/>
  <c r="F1796"/>
  <c r="M1794"/>
  <c r="L1794"/>
  <c r="M1793"/>
  <c r="G1792"/>
  <c r="F1792"/>
  <c r="G1790"/>
  <c r="G1789"/>
  <c r="F1789"/>
  <c r="G1788"/>
  <c r="F1788"/>
  <c r="M1787"/>
  <c r="M1786"/>
  <c r="M1785"/>
  <c r="M1784"/>
  <c r="M1783"/>
  <c r="L1783"/>
  <c r="M1782"/>
  <c r="L1782"/>
  <c r="G1781"/>
  <c r="G2063" s="1"/>
  <c r="F1781"/>
  <c r="K1771"/>
  <c r="K1770"/>
  <c r="K1769"/>
  <c r="K1768"/>
  <c r="K1767"/>
  <c r="K1766"/>
  <c r="K1765"/>
  <c r="K1764"/>
  <c r="K1763"/>
  <c r="K1759"/>
  <c r="K1758"/>
  <c r="K1757"/>
  <c r="K1755"/>
  <c r="K1754"/>
  <c r="K1753"/>
  <c r="K1752"/>
  <c r="K1751"/>
  <c r="K1750"/>
  <c r="K1749"/>
  <c r="K1748"/>
  <c r="K1747"/>
  <c r="K1746"/>
  <c r="K1745"/>
  <c r="K1744"/>
  <c r="K1743"/>
  <c r="K1742"/>
  <c r="K1741"/>
  <c r="K1740"/>
  <c r="K1739"/>
  <c r="K1738"/>
  <c r="K1737"/>
  <c r="K1736"/>
  <c r="K1735"/>
  <c r="K1734"/>
  <c r="K1733"/>
  <c r="K1732"/>
  <c r="K1731"/>
  <c r="K1730"/>
  <c r="K1729"/>
  <c r="K1728"/>
  <c r="K1727"/>
  <c r="K1726"/>
  <c r="K1725"/>
  <c r="K1724"/>
  <c r="K1723"/>
  <c r="K1722"/>
  <c r="K1721"/>
  <c r="K1720"/>
  <c r="K1719"/>
  <c r="K1718"/>
  <c r="K1717"/>
  <c r="K1716"/>
  <c r="K1715"/>
  <c r="K1714"/>
  <c r="K1713"/>
  <c r="K1712"/>
  <c r="K1711"/>
  <c r="K1710"/>
  <c r="K1709"/>
  <c r="K1708"/>
  <c r="K1707"/>
  <c r="K1706"/>
  <c r="K1705"/>
  <c r="K1700"/>
  <c r="K1699"/>
  <c r="K1698"/>
  <c r="K1697"/>
  <c r="K1696"/>
  <c r="K1695"/>
  <c r="K1694"/>
  <c r="K1693"/>
  <c r="K1692"/>
  <c r="K1691"/>
  <c r="K1690"/>
  <c r="K1686"/>
  <c r="K1685"/>
  <c r="K1684"/>
  <c r="K1683"/>
  <c r="K1682"/>
  <c r="K1681"/>
  <c r="K1680"/>
  <c r="K1679"/>
  <c r="K1678"/>
  <c r="K1677"/>
  <c r="K1676"/>
  <c r="K1675"/>
  <c r="K1674"/>
  <c r="K1673"/>
  <c r="K1672"/>
  <c r="K1671"/>
  <c r="K1670"/>
  <c r="K1669"/>
  <c r="K1668"/>
  <c r="K1667"/>
  <c r="K1666"/>
  <c r="K1665"/>
  <c r="K1664"/>
  <c r="K1663"/>
  <c r="K1662"/>
  <c r="K1661"/>
  <c r="K1660"/>
  <c r="K1659"/>
  <c r="K1658"/>
  <c r="K1657"/>
  <c r="K1656"/>
  <c r="K1655"/>
  <c r="K1654"/>
  <c r="K1653"/>
  <c r="K1652"/>
  <c r="K1651"/>
  <c r="K1650"/>
  <c r="K1649"/>
  <c r="K1648"/>
  <c r="K1647"/>
  <c r="K1646"/>
  <c r="K1645"/>
  <c r="K1644"/>
  <c r="K1643"/>
  <c r="K1642"/>
  <c r="K1641"/>
  <c r="K1640"/>
  <c r="K1639"/>
  <c r="K1638"/>
  <c r="K1637"/>
  <c r="K1636"/>
  <c r="K1635"/>
  <c r="K1634"/>
  <c r="K1633"/>
  <c r="K1632"/>
  <c r="K1626"/>
  <c r="K1625"/>
  <c r="K1624"/>
  <c r="K1623"/>
  <c r="K1622"/>
  <c r="K1621"/>
  <c r="K1620"/>
  <c r="K1619"/>
  <c r="K1618"/>
  <c r="K1617"/>
  <c r="K1616"/>
  <c r="K1615"/>
  <c r="K1614"/>
  <c r="K1613"/>
  <c r="K1612"/>
  <c r="K1611"/>
  <c r="K1610"/>
  <c r="K1609"/>
  <c r="K1608"/>
  <c r="K1607"/>
  <c r="K1605"/>
  <c r="K1604"/>
  <c r="K1603"/>
  <c r="K1602"/>
  <c r="K1601"/>
  <c r="K1600"/>
  <c r="K1599"/>
  <c r="K1598"/>
  <c r="K1597"/>
  <c r="K1596"/>
  <c r="K1595"/>
  <c r="K1594"/>
  <c r="K1593"/>
  <c r="K1592"/>
  <c r="K1591"/>
  <c r="K1590"/>
  <c r="K1589"/>
  <c r="K1588"/>
  <c r="K1587"/>
  <c r="K1586"/>
  <c r="K1585"/>
  <c r="K1584"/>
  <c r="K1583"/>
  <c r="K1582"/>
  <c r="K1581"/>
  <c r="K1580"/>
  <c r="K1579"/>
  <c r="K1578"/>
  <c r="K1577"/>
  <c r="K1576"/>
  <c r="K1575"/>
  <c r="K1574"/>
  <c r="K1573"/>
  <c r="K1572"/>
  <c r="K1571"/>
  <c r="K1570"/>
  <c r="K1569"/>
  <c r="K1568"/>
  <c r="K1567"/>
  <c r="K1566"/>
  <c r="K1565"/>
  <c r="K1564"/>
  <c r="K1563"/>
  <c r="K1562"/>
  <c r="K1561"/>
  <c r="K1560"/>
  <c r="K1559"/>
  <c r="K1558"/>
  <c r="K1557"/>
  <c r="K1556"/>
  <c r="K1555"/>
  <c r="K1554"/>
  <c r="K1553"/>
  <c r="K1552"/>
  <c r="K1551"/>
  <c r="K1550"/>
  <c r="K1549"/>
  <c r="K1548"/>
  <c r="K1547"/>
  <c r="K1546"/>
  <c r="K1545"/>
  <c r="K1544"/>
  <c r="K1543"/>
  <c r="K1542"/>
  <c r="K1541"/>
  <c r="K1540"/>
  <c r="K1539"/>
  <c r="K1538"/>
  <c r="K1537"/>
  <c r="K1536"/>
  <c r="K1535"/>
  <c r="K1534"/>
  <c r="K1533"/>
  <c r="K1532"/>
  <c r="K1531"/>
  <c r="M2063" l="1"/>
  <c r="K1520"/>
  <c r="K1519"/>
  <c r="K1518"/>
  <c r="K1517"/>
  <c r="K1516"/>
  <c r="K1515"/>
  <c r="K1514"/>
  <c r="K1513"/>
  <c r="K1512"/>
  <c r="K1511"/>
  <c r="K1510"/>
  <c r="K1509"/>
  <c r="K1508"/>
  <c r="K1507"/>
  <c r="K1506"/>
  <c r="K1505"/>
  <c r="K1503"/>
  <c r="K1502"/>
  <c r="K1501"/>
  <c r="K1500"/>
  <c r="K1499"/>
  <c r="K1498"/>
  <c r="K1497"/>
  <c r="K1496"/>
  <c r="K1495"/>
  <c r="K1494"/>
  <c r="K1493"/>
  <c r="K1492"/>
  <c r="K1491"/>
  <c r="K1490"/>
  <c r="K1489"/>
  <c r="K1488"/>
  <c r="K1487"/>
  <c r="K1486"/>
  <c r="K1485"/>
  <c r="K1484"/>
  <c r="K1483"/>
  <c r="K1482"/>
  <c r="K1481"/>
  <c r="K1480"/>
  <c r="K1479"/>
  <c r="K1478"/>
  <c r="K1477"/>
  <c r="K1476"/>
  <c r="K1475"/>
  <c r="K1474"/>
  <c r="K1473"/>
  <c r="K1472"/>
  <c r="K1471"/>
  <c r="K1470"/>
  <c r="K1469"/>
  <c r="K1468"/>
  <c r="K1467"/>
  <c r="K1466"/>
  <c r="K1465"/>
  <c r="K1464"/>
  <c r="K1463"/>
  <c r="K1462"/>
  <c r="K1461"/>
  <c r="K1460"/>
  <c r="K1459"/>
  <c r="K1458"/>
  <c r="K1457"/>
  <c r="K1456"/>
  <c r="K1455"/>
  <c r="K1454"/>
  <c r="K1453"/>
  <c r="K1452"/>
  <c r="K1451"/>
  <c r="K1450"/>
  <c r="K1449"/>
  <c r="K1448"/>
  <c r="K1447"/>
  <c r="K1446"/>
  <c r="K1445"/>
  <c r="K1444"/>
  <c r="K1443"/>
  <c r="K1442"/>
  <c r="K1441"/>
  <c r="K1440"/>
  <c r="K1439"/>
  <c r="K1438"/>
  <c r="K1437"/>
  <c r="K1436"/>
  <c r="K1435"/>
  <c r="K1434"/>
  <c r="K1433"/>
  <c r="K1432"/>
  <c r="K1431"/>
  <c r="K1430"/>
  <c r="K1429"/>
  <c r="K1428"/>
  <c r="K1427"/>
  <c r="K1426"/>
  <c r="K1425"/>
  <c r="K1424"/>
  <c r="K1423"/>
  <c r="K1422"/>
  <c r="K1421"/>
  <c r="K1420"/>
  <c r="K1419"/>
  <c r="K1418"/>
  <c r="K1417"/>
  <c r="K1416"/>
  <c r="K1415"/>
  <c r="K1414"/>
  <c r="K1413"/>
  <c r="K1412"/>
  <c r="K1411"/>
  <c r="K1410"/>
  <c r="K1408"/>
  <c r="K1407"/>
  <c r="K1406"/>
  <c r="K1405"/>
  <c r="K1404"/>
  <c r="K1403"/>
  <c r="K1402"/>
  <c r="K1401"/>
  <c r="K1400"/>
  <c r="K1399"/>
  <c r="K1398"/>
  <c r="K1397"/>
  <c r="K1396"/>
  <c r="K1395"/>
  <c r="K1394"/>
  <c r="K1393"/>
  <c r="K1392"/>
  <c r="K1391"/>
  <c r="K1390"/>
  <c r="K1521" s="1"/>
  <c r="O1377" l="1"/>
  <c r="M1377"/>
  <c r="K1377"/>
  <c r="I1377"/>
  <c r="G1377"/>
  <c r="O1376"/>
  <c r="M1376"/>
  <c r="K1376"/>
  <c r="I1376"/>
  <c r="G1376"/>
  <c r="O1375"/>
  <c r="M1375"/>
  <c r="K1375"/>
  <c r="I1375"/>
  <c r="G1375"/>
  <c r="O1374"/>
  <c r="M1374"/>
  <c r="K1374"/>
  <c r="I1374"/>
  <c r="G1374"/>
  <c r="O1373"/>
  <c r="M1373"/>
  <c r="K1373"/>
  <c r="I1373"/>
  <c r="G1373"/>
  <c r="O1372"/>
  <c r="M1372"/>
  <c r="K1372"/>
  <c r="I1372"/>
  <c r="G1372"/>
  <c r="O1371"/>
  <c r="M1371"/>
  <c r="K1371"/>
  <c r="I1371"/>
  <c r="G1371"/>
  <c r="O1370"/>
  <c r="M1370"/>
  <c r="K1370"/>
  <c r="I1370"/>
  <c r="G1370"/>
  <c r="O1369"/>
  <c r="M1369"/>
  <c r="K1369"/>
  <c r="I1369"/>
  <c r="G1369"/>
  <c r="O1368"/>
  <c r="M1368"/>
  <c r="K1368"/>
  <c r="I1368"/>
  <c r="G1368"/>
  <c r="O1367"/>
  <c r="M1367"/>
  <c r="K1367"/>
  <c r="I1367"/>
  <c r="G1367"/>
  <c r="O1366"/>
  <c r="M1366"/>
  <c r="K1366"/>
  <c r="I1366"/>
  <c r="G1366"/>
  <c r="O1365"/>
  <c r="M1365"/>
  <c r="K1365"/>
  <c r="I1365"/>
  <c r="G1365"/>
  <c r="O1364"/>
  <c r="M1364"/>
  <c r="K1364"/>
  <c r="I1364"/>
  <c r="G1364"/>
  <c r="O1363"/>
  <c r="M1363"/>
  <c r="K1363"/>
  <c r="I1363"/>
  <c r="G1363"/>
  <c r="O1362"/>
  <c r="M1362"/>
  <c r="K1362"/>
  <c r="I1362"/>
  <c r="G1362"/>
  <c r="O1361"/>
  <c r="M1361"/>
  <c r="K1361"/>
  <c r="I1361"/>
  <c r="G1361"/>
  <c r="O1360"/>
  <c r="M1360"/>
  <c r="K1360"/>
  <c r="I1360"/>
  <c r="G1360"/>
  <c r="O1359"/>
  <c r="M1359"/>
  <c r="K1359"/>
  <c r="I1359"/>
  <c r="G1359"/>
  <c r="O1358"/>
  <c r="M1358"/>
  <c r="K1358"/>
  <c r="I1358"/>
  <c r="G1358"/>
  <c r="O1357"/>
  <c r="M1357"/>
  <c r="K1357"/>
  <c r="I1357"/>
  <c r="G1357"/>
  <c r="O1356"/>
  <c r="M1356"/>
  <c r="K1356"/>
  <c r="I1356"/>
  <c r="G1356"/>
  <c r="O1355"/>
  <c r="M1355"/>
  <c r="K1355"/>
  <c r="I1355"/>
  <c r="G1355"/>
  <c r="O1354"/>
  <c r="M1354"/>
  <c r="K1354"/>
  <c r="I1354"/>
  <c r="G1354"/>
  <c r="O1353"/>
  <c r="M1353"/>
  <c r="K1353"/>
  <c r="I1353"/>
  <c r="G1353"/>
  <c r="O1352"/>
  <c r="M1352"/>
  <c r="K1352"/>
  <c r="I1352"/>
  <c r="G1352"/>
  <c r="O1351"/>
  <c r="M1351"/>
  <c r="K1351"/>
  <c r="I1351"/>
  <c r="G1351"/>
  <c r="O1350"/>
  <c r="M1350"/>
  <c r="K1350"/>
  <c r="I1350"/>
  <c r="G1350"/>
  <c r="O1349"/>
  <c r="M1349"/>
  <c r="K1349"/>
  <c r="I1349"/>
  <c r="G1349"/>
  <c r="O1348"/>
  <c r="M1348"/>
  <c r="K1348"/>
  <c r="I1348"/>
  <c r="G1348"/>
  <c r="O1347"/>
  <c r="M1347"/>
  <c r="K1347"/>
  <c r="I1347"/>
  <c r="G1347"/>
  <c r="O1346"/>
  <c r="M1346"/>
  <c r="K1346"/>
  <c r="I1346"/>
  <c r="G1346"/>
  <c r="O1345"/>
  <c r="M1345"/>
  <c r="K1345"/>
  <c r="I1345"/>
  <c r="G1345"/>
  <c r="O1344"/>
  <c r="M1344"/>
  <c r="K1344"/>
  <c r="I1344"/>
  <c r="G1344"/>
  <c r="O1343"/>
  <c r="M1343"/>
  <c r="K1343"/>
  <c r="I1343"/>
  <c r="G1343"/>
  <c r="O1342"/>
  <c r="M1342"/>
  <c r="K1342"/>
  <c r="I1342"/>
  <c r="G1342"/>
  <c r="O1341"/>
  <c r="M1341"/>
  <c r="K1341"/>
  <c r="I1341"/>
  <c r="G1341"/>
  <c r="O1340"/>
  <c r="M1340"/>
  <c r="K1340"/>
  <c r="I1340"/>
  <c r="G1340"/>
  <c r="O1339"/>
  <c r="M1339"/>
  <c r="K1339"/>
  <c r="I1339"/>
  <c r="G1339"/>
  <c r="O1338"/>
  <c r="M1338"/>
  <c r="K1338"/>
  <c r="I1338"/>
  <c r="G1338"/>
  <c r="O1337"/>
  <c r="M1337"/>
  <c r="K1337"/>
  <c r="I1337"/>
  <c r="G1337"/>
  <c r="O1336"/>
  <c r="M1336"/>
  <c r="K1336"/>
  <c r="I1336"/>
  <c r="G1336"/>
  <c r="O1335"/>
  <c r="M1335"/>
  <c r="K1335"/>
  <c r="I1335"/>
  <c r="G1335"/>
  <c r="O1334"/>
  <c r="M1334"/>
  <c r="K1334"/>
  <c r="I1334"/>
  <c r="G1334"/>
  <c r="O1333"/>
  <c r="M1333"/>
  <c r="K1333"/>
  <c r="I1333"/>
  <c r="G1333"/>
  <c r="O1332"/>
  <c r="M1332"/>
  <c r="K1332"/>
  <c r="I1332"/>
  <c r="G1332"/>
  <c r="O1331"/>
  <c r="M1331"/>
  <c r="K1331"/>
  <c r="I1331"/>
  <c r="G1331"/>
  <c r="O1330"/>
  <c r="M1330"/>
  <c r="K1330"/>
  <c r="I1330"/>
  <c r="G1330"/>
  <c r="O1329"/>
  <c r="M1329"/>
  <c r="K1329"/>
  <c r="I1329"/>
  <c r="G1329"/>
  <c r="O1328"/>
  <c r="M1328"/>
  <c r="K1328"/>
  <c r="I1328"/>
  <c r="G1328"/>
  <c r="O1327"/>
  <c r="M1327"/>
  <c r="K1327"/>
  <c r="I1327"/>
  <c r="G1327"/>
  <c r="O1326"/>
  <c r="M1326"/>
  <c r="K1326"/>
  <c r="I1326"/>
  <c r="G1326"/>
  <c r="O1325"/>
  <c r="M1325"/>
  <c r="K1325"/>
  <c r="I1325"/>
  <c r="G1325"/>
  <c r="O1324"/>
  <c r="M1324"/>
  <c r="K1324"/>
  <c r="I1324"/>
  <c r="G1324"/>
  <c r="O1323"/>
  <c r="M1323"/>
  <c r="K1323"/>
  <c r="I1323"/>
  <c r="G1323"/>
  <c r="O1322"/>
  <c r="M1322"/>
  <c r="K1322"/>
  <c r="I1322"/>
  <c r="G1322"/>
  <c r="O1321"/>
  <c r="M1321"/>
  <c r="K1321"/>
  <c r="I1321"/>
  <c r="G1321"/>
  <c r="G1378" s="1"/>
  <c r="O1314"/>
  <c r="M1314"/>
  <c r="K1314"/>
  <c r="I1314"/>
  <c r="G1314"/>
  <c r="O1313"/>
  <c r="M1313"/>
  <c r="K1313"/>
  <c r="I1313"/>
  <c r="G1313"/>
  <c r="O1312"/>
  <c r="M1312"/>
  <c r="K1312"/>
  <c r="I1312"/>
  <c r="G1312"/>
  <c r="O1311"/>
  <c r="M1311"/>
  <c r="K1311"/>
  <c r="I1311"/>
  <c r="G1311"/>
  <c r="O1310"/>
  <c r="M1310"/>
  <c r="K1310"/>
  <c r="I1310"/>
  <c r="G1310"/>
  <c r="O1309"/>
  <c r="M1309"/>
  <c r="K1309"/>
  <c r="I1309"/>
  <c r="G1309"/>
  <c r="O1308"/>
  <c r="M1308"/>
  <c r="K1308"/>
  <c r="I1308"/>
  <c r="G1308"/>
  <c r="O1307"/>
  <c r="M1307"/>
  <c r="K1307"/>
  <c r="I1307"/>
  <c r="G1307"/>
  <c r="O1306"/>
  <c r="M1306"/>
  <c r="K1306"/>
  <c r="I1306"/>
  <c r="G1306"/>
  <c r="O1305"/>
  <c r="M1305"/>
  <c r="K1305"/>
  <c r="I1305"/>
  <c r="G1305"/>
  <c r="O1304"/>
  <c r="M1304"/>
  <c r="K1304"/>
  <c r="I1304"/>
  <c r="G1304"/>
  <c r="O1303"/>
  <c r="M1303"/>
  <c r="K1303"/>
  <c r="I1303"/>
  <c r="G1303"/>
  <c r="O1302"/>
  <c r="M1302"/>
  <c r="K1302"/>
  <c r="I1302"/>
  <c r="G1302"/>
  <c r="O1301"/>
  <c r="M1301"/>
  <c r="K1301"/>
  <c r="I1301"/>
  <c r="G1301"/>
  <c r="O1298"/>
  <c r="M1298"/>
  <c r="K1298"/>
  <c r="I1298"/>
  <c r="G1298"/>
  <c r="O1297"/>
  <c r="M1297"/>
  <c r="K1297"/>
  <c r="I1297"/>
  <c r="G1297"/>
  <c r="O1296"/>
  <c r="M1296"/>
  <c r="K1296"/>
  <c r="I1296"/>
  <c r="G1296"/>
  <c r="O1295"/>
  <c r="M1295"/>
  <c r="K1295"/>
  <c r="I1295"/>
  <c r="G1295"/>
  <c r="O1294"/>
  <c r="M1294"/>
  <c r="K1294"/>
  <c r="I1294"/>
  <c r="G1294"/>
  <c r="O1293"/>
  <c r="M1293"/>
  <c r="K1293"/>
  <c r="I1293"/>
  <c r="G1293"/>
  <c r="O1292"/>
  <c r="M1292"/>
  <c r="K1292"/>
  <c r="I1292"/>
  <c r="G1292"/>
  <c r="O1291"/>
  <c r="M1291"/>
  <c r="K1291"/>
  <c r="I1291"/>
  <c r="G1291"/>
  <c r="O1290"/>
  <c r="M1290"/>
  <c r="K1290"/>
  <c r="I1290"/>
  <c r="G1290"/>
  <c r="O1289"/>
  <c r="M1289"/>
  <c r="K1289"/>
  <c r="I1289"/>
  <c r="G1289"/>
  <c r="O1288"/>
  <c r="M1288"/>
  <c r="K1288"/>
  <c r="I1288"/>
  <c r="G1288"/>
  <c r="O1287"/>
  <c r="M1287"/>
  <c r="K1287"/>
  <c r="I1287"/>
  <c r="G1287"/>
  <c r="O1286"/>
  <c r="M1286"/>
  <c r="K1286"/>
  <c r="I1286"/>
  <c r="G1286"/>
  <c r="O1285"/>
  <c r="M1285"/>
  <c r="K1285"/>
  <c r="I1285"/>
  <c r="G1285"/>
  <c r="O1284"/>
  <c r="M1284"/>
  <c r="K1284"/>
  <c r="I1284"/>
  <c r="G1284"/>
  <c r="O1283"/>
  <c r="M1283"/>
  <c r="K1283"/>
  <c r="I1283"/>
  <c r="G1283"/>
  <c r="O1282"/>
  <c r="M1282"/>
  <c r="K1282"/>
  <c r="I1282"/>
  <c r="G1282"/>
  <c r="O1281"/>
  <c r="M1281"/>
  <c r="K1281"/>
  <c r="I1281"/>
  <c r="G1281"/>
  <c r="O1280"/>
  <c r="M1280"/>
  <c r="K1280"/>
  <c r="I1280"/>
  <c r="G1280"/>
  <c r="O1279"/>
  <c r="M1279"/>
  <c r="K1279"/>
  <c r="I1279"/>
  <c r="G1279"/>
  <c r="O1278"/>
  <c r="M1278"/>
  <c r="K1278"/>
  <c r="I1278"/>
  <c r="G1278"/>
  <c r="O1277"/>
  <c r="M1277"/>
  <c r="K1277"/>
  <c r="I1277"/>
  <c r="G1277"/>
  <c r="O1276"/>
  <c r="M1276"/>
  <c r="K1276"/>
  <c r="I1276"/>
  <c r="G1276"/>
  <c r="O1275"/>
  <c r="M1275"/>
  <c r="K1275"/>
  <c r="I1275"/>
  <c r="G1275"/>
  <c r="O1274"/>
  <c r="M1274"/>
  <c r="K1274"/>
  <c r="I1274"/>
  <c r="G1274"/>
  <c r="O1273"/>
  <c r="M1273"/>
  <c r="K1273"/>
  <c r="I1273"/>
  <c r="G1273"/>
  <c r="O1272"/>
  <c r="M1272"/>
  <c r="K1272"/>
  <c r="I1272"/>
  <c r="G1272"/>
  <c r="O1271"/>
  <c r="M1271"/>
  <c r="K1271"/>
  <c r="I1271"/>
  <c r="G1271"/>
  <c r="O1270"/>
  <c r="M1270"/>
  <c r="K1270"/>
  <c r="I1270"/>
  <c r="G1270"/>
  <c r="O1269"/>
  <c r="M1269"/>
  <c r="K1269"/>
  <c r="I1269"/>
  <c r="G1269"/>
  <c r="O1268"/>
  <c r="M1268"/>
  <c r="K1268"/>
  <c r="I1268"/>
  <c r="G1268"/>
  <c r="O1267"/>
  <c r="M1267"/>
  <c r="K1267"/>
  <c r="I1267"/>
  <c r="G1267"/>
  <c r="O1266"/>
  <c r="M1266"/>
  <c r="K1266"/>
  <c r="I1266"/>
  <c r="G1266"/>
  <c r="O1265"/>
  <c r="M1265"/>
  <c r="K1265"/>
  <c r="I1265"/>
  <c r="G1265"/>
  <c r="O1264"/>
  <c r="M1264"/>
  <c r="K1264"/>
  <c r="I1264"/>
  <c r="G1264"/>
  <c r="O1263"/>
  <c r="M1263"/>
  <c r="K1263"/>
  <c r="I1263"/>
  <c r="G1263"/>
  <c r="O1262"/>
  <c r="M1262"/>
  <c r="K1262"/>
  <c r="I1262"/>
  <c r="G1262"/>
  <c r="O1261"/>
  <c r="M1261"/>
  <c r="K1261"/>
  <c r="I1261"/>
  <c r="G1261"/>
  <c r="O1260"/>
  <c r="M1260"/>
  <c r="K1260"/>
  <c r="I1260"/>
  <c r="G1260"/>
  <c r="O1259"/>
  <c r="M1259"/>
  <c r="K1259"/>
  <c r="I1259"/>
  <c r="G1259"/>
  <c r="O1258"/>
  <c r="M1258"/>
  <c r="K1258"/>
  <c r="I1258"/>
  <c r="G1258"/>
  <c r="O1257"/>
  <c r="M1257"/>
  <c r="K1257"/>
  <c r="I1257"/>
  <c r="G1257"/>
  <c r="O1256"/>
  <c r="M1256"/>
  <c r="K1256"/>
  <c r="I1256"/>
  <c r="G1256"/>
  <c r="O1255"/>
  <c r="M1255"/>
  <c r="K1255"/>
  <c r="I1255"/>
  <c r="G1255"/>
  <c r="O1254"/>
  <c r="M1254"/>
  <c r="K1254"/>
  <c r="I1254"/>
  <c r="G1254"/>
  <c r="O1253"/>
  <c r="M1253"/>
  <c r="K1253"/>
  <c r="I1253"/>
  <c r="G1253"/>
  <c r="O1252"/>
  <c r="M1252"/>
  <c r="K1252"/>
  <c r="I1252"/>
  <c r="G1252"/>
  <c r="O1251"/>
  <c r="M1251"/>
  <c r="K1251"/>
  <c r="I1251"/>
  <c r="G1251"/>
  <c r="O1250"/>
  <c r="M1250"/>
  <c r="K1250"/>
  <c r="I1250"/>
  <c r="G1250"/>
  <c r="O1249"/>
  <c r="M1249"/>
  <c r="K1249"/>
  <c r="I1249"/>
  <c r="G1249"/>
  <c r="O1248"/>
  <c r="M1248"/>
  <c r="K1248"/>
  <c r="I1248"/>
  <c r="G1248"/>
  <c r="O1247"/>
  <c r="M1247"/>
  <c r="K1247"/>
  <c r="I1247"/>
  <c r="G1247"/>
  <c r="O1246"/>
  <c r="M1246"/>
  <c r="K1246"/>
  <c r="I1246"/>
  <c r="G1246"/>
  <c r="O1245"/>
  <c r="M1245"/>
  <c r="K1245"/>
  <c r="I1245"/>
  <c r="G1245"/>
  <c r="O1243"/>
  <c r="M1243"/>
  <c r="K1243"/>
  <c r="I1243"/>
  <c r="G1243"/>
  <c r="O1242"/>
  <c r="M1242"/>
  <c r="K1242"/>
  <c r="I1242"/>
  <c r="G1242"/>
  <c r="O1241"/>
  <c r="M1241"/>
  <c r="K1241"/>
  <c r="I1241"/>
  <c r="G1241"/>
  <c r="O1240"/>
  <c r="M1240"/>
  <c r="K1240"/>
  <c r="I1240"/>
  <c r="G1240"/>
  <c r="O1239"/>
  <c r="M1239"/>
  <c r="K1239"/>
  <c r="I1239"/>
  <c r="G1239"/>
  <c r="O1238"/>
  <c r="M1238"/>
  <c r="K1238"/>
  <c r="I1238"/>
  <c r="G1238"/>
  <c r="O1237"/>
  <c r="M1237"/>
  <c r="K1237"/>
  <c r="I1237"/>
  <c r="G1237"/>
  <c r="O1236"/>
  <c r="M1236"/>
  <c r="K1236"/>
  <c r="I1236"/>
  <c r="G1236"/>
  <c r="O1235"/>
  <c r="M1235"/>
  <c r="K1235"/>
  <c r="I1235"/>
  <c r="G1235"/>
  <c r="O1234"/>
  <c r="M1234"/>
  <c r="K1234"/>
  <c r="I1234"/>
  <c r="G1234"/>
  <c r="O1233"/>
  <c r="M1233"/>
  <c r="K1233"/>
  <c r="I1233"/>
  <c r="G1233"/>
  <c r="O1232"/>
  <c r="M1232"/>
  <c r="K1232"/>
  <c r="I1232"/>
  <c r="G1232"/>
  <c r="O1231"/>
  <c r="M1231"/>
  <c r="K1231"/>
  <c r="I1231"/>
  <c r="G1231"/>
  <c r="O1230"/>
  <c r="M1230"/>
  <c r="K1230"/>
  <c r="I1230"/>
  <c r="G1230"/>
  <c r="O1229"/>
  <c r="M1229"/>
  <c r="K1229"/>
  <c r="I1229"/>
  <c r="G1229"/>
  <c r="O1228"/>
  <c r="M1228"/>
  <c r="K1228"/>
  <c r="I1228"/>
  <c r="G1228"/>
  <c r="O1227"/>
  <c r="M1227"/>
  <c r="K1227"/>
  <c r="I1227"/>
  <c r="G1227"/>
  <c r="O1226"/>
  <c r="M1226"/>
  <c r="K1226"/>
  <c r="I1226"/>
  <c r="G1226"/>
  <c r="O1225"/>
  <c r="M1225"/>
  <c r="K1225"/>
  <c r="I1225"/>
  <c r="G1225"/>
  <c r="O1224"/>
  <c r="M1224"/>
  <c r="K1224"/>
  <c r="I1224"/>
  <c r="G1224"/>
  <c r="O1223"/>
  <c r="M1223"/>
  <c r="K1223"/>
  <c r="I1223"/>
  <c r="G1223"/>
  <c r="O1222"/>
  <c r="M1222"/>
  <c r="K1222"/>
  <c r="I1222"/>
  <c r="G1222"/>
  <c r="O1221"/>
  <c r="M1221"/>
  <c r="K1221"/>
  <c r="I1221"/>
  <c r="G1221"/>
  <c r="O1220"/>
  <c r="M1220"/>
  <c r="K1220"/>
  <c r="I1220"/>
  <c r="G1220"/>
  <c r="O1219"/>
  <c r="M1219"/>
  <c r="K1219"/>
  <c r="I1219"/>
  <c r="G1219"/>
  <c r="O1218"/>
  <c r="M1218"/>
  <c r="K1218"/>
  <c r="I1218"/>
  <c r="G1218"/>
  <c r="O1217"/>
  <c r="M1217"/>
  <c r="K1217"/>
  <c r="I1217"/>
  <c r="G1217"/>
  <c r="O1216"/>
  <c r="O1315" s="1"/>
  <c r="M1216"/>
  <c r="M1315" s="1"/>
  <c r="K1216"/>
  <c r="K1315" s="1"/>
  <c r="I1216"/>
  <c r="I1315" s="1"/>
  <c r="G1216"/>
  <c r="G1315" s="1"/>
  <c r="K1205" l="1"/>
  <c r="K1204"/>
  <c r="K1203"/>
  <c r="K1202"/>
  <c r="K1201"/>
  <c r="K1200"/>
  <c r="K1199"/>
  <c r="K1198"/>
  <c r="K1197"/>
  <c r="K1196"/>
  <c r="K1195"/>
  <c r="K1194"/>
  <c r="K1193"/>
  <c r="K1192"/>
  <c r="K1191"/>
  <c r="K1190"/>
  <c r="K1189"/>
  <c r="K1188"/>
  <c r="K1187"/>
  <c r="K1186"/>
  <c r="K1185"/>
  <c r="K1184"/>
  <c r="K1183"/>
  <c r="K1182"/>
  <c r="K1181"/>
  <c r="K1180"/>
  <c r="K1179"/>
  <c r="K1178"/>
  <c r="K1177"/>
  <c r="K1176"/>
  <c r="K1175"/>
  <c r="K1174"/>
  <c r="K1173"/>
  <c r="K1172"/>
  <c r="K1171"/>
  <c r="K1170"/>
  <c r="K1169"/>
  <c r="K1168"/>
  <c r="K1167"/>
  <c r="K1166"/>
  <c r="K1165"/>
  <c r="K1164"/>
  <c r="K1163"/>
  <c r="K1162"/>
  <c r="K1161"/>
  <c r="K1160"/>
  <c r="K1159"/>
  <c r="K1158"/>
  <c r="K1157"/>
  <c r="K1156"/>
  <c r="K1155"/>
  <c r="K1154"/>
  <c r="K1153"/>
  <c r="K1152"/>
  <c r="K1151"/>
  <c r="K1150"/>
  <c r="K1149"/>
  <c r="K1148"/>
  <c r="K1147"/>
  <c r="K1146"/>
  <c r="K1145"/>
  <c r="K1144"/>
  <c r="K1143"/>
  <c r="K1142"/>
  <c r="K1141"/>
  <c r="K1140"/>
  <c r="K1139"/>
  <c r="K1138"/>
  <c r="K1137"/>
  <c r="K1136"/>
  <c r="K1135"/>
  <c r="K1134"/>
  <c r="K1133"/>
  <c r="K1132"/>
  <c r="K1131"/>
  <c r="K1130"/>
  <c r="K1129"/>
  <c r="K1128"/>
  <c r="K1127"/>
  <c r="K1126"/>
  <c r="K1125"/>
  <c r="K1124"/>
  <c r="K1206" s="1"/>
  <c r="G1115"/>
  <c r="G1114"/>
  <c r="G1113"/>
  <c r="G1112"/>
  <c r="G1111"/>
  <c r="G1110"/>
  <c r="G1109"/>
  <c r="G1108"/>
  <c r="G1107"/>
  <c r="G1106"/>
  <c r="G1105"/>
  <c r="G1104"/>
  <c r="G1103"/>
  <c r="G1102"/>
  <c r="G1101"/>
  <c r="G1100"/>
  <c r="G1099"/>
  <c r="G1098"/>
  <c r="G1097"/>
  <c r="G1116" s="1"/>
  <c r="O1012"/>
  <c r="O1011"/>
  <c r="O1010"/>
  <c r="O1009"/>
  <c r="O1008"/>
  <c r="O1007"/>
  <c r="O1006"/>
  <c r="O1005"/>
  <c r="O1004"/>
  <c r="O1003"/>
  <c r="O1002"/>
  <c r="O1001"/>
  <c r="G1000"/>
  <c r="G999"/>
  <c r="G998"/>
  <c r="O997"/>
  <c r="O996"/>
  <c r="O995"/>
  <c r="O994"/>
  <c r="O993"/>
  <c r="O992"/>
  <c r="O991"/>
  <c r="O990"/>
  <c r="O989"/>
  <c r="O988"/>
  <c r="O987"/>
  <c r="O986"/>
  <c r="O985"/>
  <c r="G984"/>
  <c r="G983"/>
  <c r="G1014" s="1"/>
  <c r="I982"/>
  <c r="I1014" s="1"/>
  <c r="G982"/>
  <c r="O981"/>
  <c r="O980"/>
  <c r="O979"/>
  <c r="O978"/>
  <c r="O977"/>
  <c r="O976"/>
  <c r="O975"/>
  <c r="O974"/>
  <c r="O973"/>
  <c r="O972"/>
  <c r="O971"/>
  <c r="O1014" s="1"/>
  <c r="O970"/>
  <c r="O969"/>
  <c r="G965"/>
  <c r="G964"/>
  <c r="G963"/>
  <c r="G962"/>
  <c r="G961"/>
  <c r="G960"/>
  <c r="G959"/>
  <c r="G958"/>
  <c r="G957"/>
  <c r="G956"/>
  <c r="G955"/>
  <c r="G954"/>
  <c r="G953"/>
  <c r="G952"/>
  <c r="G951"/>
  <c r="G950"/>
  <c r="G949"/>
  <c r="G948"/>
  <c r="G947"/>
  <c r="G946"/>
  <c r="G945"/>
  <c r="G944"/>
  <c r="G943"/>
  <c r="G942"/>
  <c r="G941"/>
  <c r="G940"/>
  <c r="G939"/>
  <c r="G938"/>
  <c r="G937"/>
  <c r="G936"/>
  <c r="G935"/>
  <c r="G934"/>
  <c r="G933"/>
  <c r="G932"/>
  <c r="G931"/>
  <c r="G930"/>
  <c r="G929"/>
  <c r="G928"/>
  <c r="G927"/>
  <c r="G926"/>
  <c r="G925"/>
  <c r="G924"/>
  <c r="G923"/>
  <c r="G922"/>
  <c r="G921"/>
  <c r="G920"/>
  <c r="G919"/>
  <c r="G918"/>
  <c r="G917"/>
  <c r="G916"/>
  <c r="G915"/>
  <c r="G914"/>
  <c r="G913"/>
  <c r="G912"/>
  <c r="G911"/>
  <c r="G910"/>
  <c r="G909"/>
  <c r="G908"/>
  <c r="G907"/>
  <c r="G906"/>
  <c r="G905"/>
  <c r="G904"/>
  <c r="G903"/>
  <c r="G902"/>
  <c r="G901"/>
  <c r="G900"/>
  <c r="G899"/>
  <c r="G898"/>
  <c r="G897"/>
  <c r="G896"/>
  <c r="G895"/>
  <c r="G894"/>
  <c r="G893"/>
  <c r="G892"/>
  <c r="G891"/>
  <c r="G890"/>
  <c r="G889"/>
  <c r="G888"/>
  <c r="G887"/>
  <c r="G886"/>
  <c r="G885"/>
  <c r="G884"/>
  <c r="G883"/>
  <c r="G882"/>
  <c r="G881"/>
  <c r="G880"/>
  <c r="G879"/>
  <c r="G878"/>
  <c r="G877"/>
  <c r="G876"/>
  <c r="G875"/>
  <c r="G874"/>
  <c r="G873"/>
  <c r="G872"/>
  <c r="G871"/>
  <c r="G870"/>
  <c r="G869"/>
  <c r="G868"/>
  <c r="G867"/>
  <c r="G866"/>
  <c r="G865"/>
  <c r="G864"/>
  <c r="G863"/>
  <c r="G862"/>
  <c r="G861"/>
  <c r="G860"/>
  <c r="G859"/>
  <c r="G858"/>
  <c r="G857"/>
  <c r="G856"/>
  <c r="G855"/>
  <c r="G854"/>
  <c r="G853"/>
  <c r="G852"/>
  <c r="G851"/>
  <c r="G850"/>
  <c r="G849"/>
  <c r="G848"/>
  <c r="G847"/>
  <c r="G846"/>
  <c r="G845"/>
  <c r="G844"/>
  <c r="G843"/>
  <c r="G842"/>
  <c r="G841"/>
  <c r="G840"/>
  <c r="G839"/>
  <c r="G838"/>
  <c r="G837"/>
  <c r="G836"/>
  <c r="G835"/>
  <c r="G834"/>
  <c r="G833"/>
  <c r="G832"/>
  <c r="G831"/>
  <c r="G830"/>
  <c r="G829"/>
  <c r="G828"/>
  <c r="G827"/>
  <c r="G826"/>
  <c r="G825"/>
  <c r="G824"/>
  <c r="G823"/>
  <c r="G822"/>
  <c r="G821"/>
  <c r="G820"/>
  <c r="G819"/>
  <c r="G818"/>
  <c r="G817"/>
  <c r="G816"/>
  <c r="G815"/>
  <c r="G814"/>
  <c r="G813"/>
  <c r="G812"/>
  <c r="G811"/>
  <c r="G810"/>
  <c r="G809"/>
  <c r="G808"/>
  <c r="G807"/>
  <c r="G806"/>
  <c r="G805"/>
  <c r="G804"/>
  <c r="G803"/>
  <c r="G802"/>
  <c r="G801"/>
  <c r="G800"/>
  <c r="G799"/>
  <c r="G798"/>
  <c r="G797"/>
  <c r="G796"/>
  <c r="G795"/>
  <c r="G794"/>
  <c r="G793"/>
  <c r="G792"/>
  <c r="G791"/>
  <c r="G790"/>
  <c r="G789"/>
  <c r="G788"/>
  <c r="G787"/>
  <c r="G786"/>
  <c r="G785"/>
  <c r="G784"/>
  <c r="G783"/>
  <c r="G782"/>
  <c r="G781"/>
  <c r="G780"/>
  <c r="G779"/>
  <c r="G778"/>
  <c r="G777"/>
  <c r="G776"/>
  <c r="G775"/>
  <c r="G774"/>
  <c r="G773"/>
  <c r="G772"/>
  <c r="G771"/>
  <c r="G770"/>
  <c r="G769"/>
  <c r="G768"/>
  <c r="G767"/>
  <c r="G766"/>
  <c r="G765"/>
  <c r="G764"/>
  <c r="G763"/>
  <c r="G762"/>
  <c r="G761"/>
  <c r="G760"/>
  <c r="G759"/>
  <c r="G758"/>
  <c r="G757"/>
  <c r="G756"/>
  <c r="G755"/>
  <c r="G754"/>
  <c r="G753"/>
  <c r="G752"/>
  <c r="G751"/>
  <c r="G750"/>
  <c r="G749"/>
  <c r="G748"/>
  <c r="G747"/>
  <c r="G746"/>
  <c r="G745"/>
  <c r="G744"/>
  <c r="G743"/>
  <c r="G742"/>
  <c r="G741"/>
  <c r="G740"/>
  <c r="G739"/>
  <c r="G738"/>
  <c r="G737"/>
  <c r="G736"/>
  <c r="G735"/>
  <c r="G734"/>
  <c r="G733"/>
  <c r="G732"/>
  <c r="G731"/>
  <c r="G730"/>
  <c r="G729"/>
  <c r="G728"/>
  <c r="G727"/>
  <c r="G726"/>
  <c r="G725"/>
  <c r="G724"/>
  <c r="G723"/>
  <c r="G722"/>
  <c r="G721"/>
  <c r="G720"/>
  <c r="G719"/>
  <c r="G718"/>
  <c r="G717"/>
  <c r="G716"/>
  <c r="G715"/>
  <c r="G714"/>
  <c r="G713"/>
  <c r="G712"/>
  <c r="G711"/>
  <c r="G710"/>
  <c r="G709"/>
  <c r="G708"/>
  <c r="G707"/>
  <c r="G706"/>
  <c r="G705"/>
  <c r="G704"/>
  <c r="G703"/>
  <c r="G702"/>
  <c r="G701"/>
  <c r="G700"/>
  <c r="G699"/>
  <c r="G698"/>
  <c r="G697"/>
  <c r="G696"/>
  <c r="G695"/>
  <c r="G694"/>
  <c r="G693"/>
  <c r="G692"/>
  <c r="G691"/>
  <c r="G690"/>
  <c r="G689"/>
  <c r="G688"/>
  <c r="G687"/>
  <c r="G686"/>
  <c r="G685"/>
  <c r="G684"/>
  <c r="G683"/>
  <c r="G682"/>
  <c r="G681"/>
  <c r="G680"/>
  <c r="G679"/>
  <c r="G678"/>
  <c r="G677"/>
  <c r="G676"/>
  <c r="G675"/>
  <c r="G674"/>
  <c r="G673"/>
  <c r="G672"/>
  <c r="G671"/>
  <c r="G670"/>
  <c r="G669"/>
  <c r="G668"/>
  <c r="G667"/>
  <c r="G666"/>
  <c r="G665"/>
  <c r="G664"/>
  <c r="G663"/>
  <c r="G662"/>
  <c r="G661"/>
  <c r="G660"/>
  <c r="G659"/>
  <c r="G658"/>
  <c r="G657"/>
  <c r="G656"/>
  <c r="G655"/>
  <c r="G654"/>
  <c r="G653"/>
  <c r="G652"/>
  <c r="G651"/>
  <c r="G650"/>
  <c r="G649"/>
  <c r="G648"/>
  <c r="G647"/>
  <c r="G646"/>
  <c r="G645"/>
  <c r="G644"/>
  <c r="G643"/>
  <c r="G642"/>
  <c r="G641"/>
  <c r="G640"/>
  <c r="G639"/>
  <c r="G638"/>
  <c r="G637"/>
  <c r="G636"/>
  <c r="G635"/>
  <c r="G634"/>
  <c r="G633"/>
  <c r="G632"/>
  <c r="G631"/>
  <c r="G630"/>
  <c r="G629"/>
  <c r="G628"/>
  <c r="G627"/>
  <c r="G626"/>
  <c r="G625"/>
  <c r="G624"/>
  <c r="G623"/>
  <c r="G622"/>
  <c r="G621"/>
  <c r="G620"/>
  <c r="G619"/>
  <c r="G618"/>
  <c r="G617"/>
  <c r="G616"/>
  <c r="G615"/>
  <c r="G614"/>
  <c r="G613"/>
  <c r="G612"/>
  <c r="G611"/>
  <c r="G610"/>
  <c r="G609"/>
  <c r="G608"/>
  <c r="G607"/>
  <c r="G606"/>
  <c r="G605"/>
  <c r="G604"/>
  <c r="G603"/>
  <c r="G602"/>
  <c r="G601"/>
  <c r="G600"/>
  <c r="G599"/>
  <c r="G598"/>
  <c r="G597"/>
  <c r="G596"/>
  <c r="G595"/>
  <c r="G594"/>
  <c r="G593"/>
  <c r="G592"/>
  <c r="G591"/>
  <c r="G590"/>
  <c r="G589"/>
  <c r="G588"/>
  <c r="G587"/>
  <c r="G586"/>
  <c r="G585"/>
  <c r="G584"/>
  <c r="G583"/>
  <c r="G582"/>
  <c r="G581"/>
  <c r="G580"/>
  <c r="G579"/>
  <c r="G578"/>
  <c r="G577"/>
  <c r="G576"/>
  <c r="G575"/>
  <c r="G574"/>
  <c r="G573"/>
  <c r="G572"/>
  <c r="G571"/>
  <c r="G570"/>
  <c r="G569"/>
  <c r="G568"/>
  <c r="G567"/>
  <c r="G566"/>
  <c r="G565"/>
  <c r="G564"/>
  <c r="G563"/>
  <c r="G562"/>
  <c r="G968" s="1"/>
  <c r="G1015" s="1"/>
  <c r="G1016" s="1"/>
  <c r="G551" l="1"/>
  <c r="P551" s="1"/>
  <c r="P550"/>
  <c r="P549"/>
  <c r="G549"/>
  <c r="P548"/>
  <c r="G548"/>
  <c r="P547"/>
  <c r="G547"/>
  <c r="P546"/>
  <c r="G545"/>
  <c r="P545" s="1"/>
  <c r="G544"/>
  <c r="P544" s="1"/>
  <c r="G543"/>
  <c r="P543" s="1"/>
  <c r="G542"/>
  <c r="P542" s="1"/>
  <c r="G541"/>
  <c r="P541" s="1"/>
  <c r="G540"/>
  <c r="P540" s="1"/>
  <c r="G539"/>
  <c r="P539" s="1"/>
  <c r="G538"/>
  <c r="P538" s="1"/>
  <c r="G537"/>
  <c r="P537" s="1"/>
  <c r="G536"/>
  <c r="P536" s="1"/>
  <c r="O535"/>
  <c r="G535"/>
  <c r="P535" s="1"/>
  <c r="O534"/>
  <c r="G534"/>
  <c r="P534" s="1"/>
  <c r="O533"/>
  <c r="G533"/>
  <c r="P533" s="1"/>
  <c r="P532"/>
  <c r="O532"/>
  <c r="G532"/>
  <c r="O531"/>
  <c r="P531" s="1"/>
  <c r="G531"/>
  <c r="O530"/>
  <c r="G530"/>
  <c r="P530" s="1"/>
  <c r="O529"/>
  <c r="G529"/>
  <c r="P529" s="1"/>
  <c r="P528"/>
  <c r="O528"/>
  <c r="G528"/>
  <c r="O527"/>
  <c r="P527" s="1"/>
  <c r="G527"/>
  <c r="O526"/>
  <c r="G526"/>
  <c r="P526" s="1"/>
  <c r="O525"/>
  <c r="G525"/>
  <c r="P525" s="1"/>
  <c r="P524"/>
  <c r="O524"/>
  <c r="G524"/>
  <c r="O523"/>
  <c r="P523" s="1"/>
  <c r="G523"/>
  <c r="O522"/>
  <c r="G522"/>
  <c r="P522" s="1"/>
  <c r="O521"/>
  <c r="G521"/>
  <c r="P521" s="1"/>
  <c r="P520"/>
  <c r="O520"/>
  <c r="G520"/>
  <c r="O519"/>
  <c r="P519" s="1"/>
  <c r="G519"/>
  <c r="O518"/>
  <c r="G518"/>
  <c r="P518" s="1"/>
  <c r="O517"/>
  <c r="G517"/>
  <c r="P517" s="1"/>
  <c r="P516"/>
  <c r="O516"/>
  <c r="G516"/>
  <c r="O515"/>
  <c r="P515" s="1"/>
  <c r="G515"/>
  <c r="O514"/>
  <c r="G514"/>
  <c r="P514" s="1"/>
  <c r="O513"/>
  <c r="G513"/>
  <c r="P513" s="1"/>
  <c r="P512"/>
  <c r="O512"/>
  <c r="G512"/>
  <c r="O511"/>
  <c r="G511"/>
  <c r="P511" s="1"/>
  <c r="O510"/>
  <c r="G510"/>
  <c r="P510" s="1"/>
  <c r="O509"/>
  <c r="G509"/>
  <c r="P509" s="1"/>
  <c r="P508"/>
  <c r="O508"/>
  <c r="G508"/>
  <c r="O507"/>
  <c r="G507"/>
  <c r="P507" s="1"/>
  <c r="O506"/>
  <c r="G506"/>
  <c r="P506" s="1"/>
  <c r="O505"/>
  <c r="G505"/>
  <c r="P505" s="1"/>
  <c r="P504"/>
  <c r="O504"/>
  <c r="G504"/>
  <c r="O503"/>
  <c r="M503"/>
  <c r="K503"/>
  <c r="G503"/>
  <c r="P503" s="1"/>
  <c r="O502"/>
  <c r="M502"/>
  <c r="K502"/>
  <c r="I502"/>
  <c r="P502" s="1"/>
  <c r="G502"/>
  <c r="O501"/>
  <c r="M501"/>
  <c r="K501"/>
  <c r="I501"/>
  <c r="P501" s="1"/>
  <c r="G501"/>
  <c r="O500"/>
  <c r="M500"/>
  <c r="K500"/>
  <c r="I500"/>
  <c r="P500" s="1"/>
  <c r="G500"/>
  <c r="O499"/>
  <c r="M499"/>
  <c r="K499"/>
  <c r="I499"/>
  <c r="P499" s="1"/>
  <c r="G499"/>
  <c r="O498"/>
  <c r="M498"/>
  <c r="K498"/>
  <c r="I498"/>
  <c r="P498" s="1"/>
  <c r="G498"/>
  <c r="O497"/>
  <c r="M497"/>
  <c r="K497"/>
  <c r="I497"/>
  <c r="P497" s="1"/>
  <c r="G497"/>
  <c r="O496"/>
  <c r="M496"/>
  <c r="K496"/>
  <c r="I496"/>
  <c r="P496" s="1"/>
  <c r="G496"/>
  <c r="O495"/>
  <c r="M495"/>
  <c r="K495"/>
  <c r="I495"/>
  <c r="P495" s="1"/>
  <c r="G495"/>
  <c r="O494"/>
  <c r="M494"/>
  <c r="K494"/>
  <c r="I494"/>
  <c r="P494" s="1"/>
  <c r="G494"/>
  <c r="O493"/>
  <c r="M493"/>
  <c r="K493"/>
  <c r="I493"/>
  <c r="P493" s="1"/>
  <c r="G493"/>
  <c r="O492"/>
  <c r="M492"/>
  <c r="K492"/>
  <c r="I492"/>
  <c r="P492" s="1"/>
  <c r="G492"/>
  <c r="O491"/>
  <c r="K491"/>
  <c r="I491"/>
  <c r="G491"/>
  <c r="P491" s="1"/>
  <c r="O490"/>
  <c r="M490"/>
  <c r="K490"/>
  <c r="I490"/>
  <c r="G490"/>
  <c r="P490" s="1"/>
  <c r="O489"/>
  <c r="M489"/>
  <c r="K489"/>
  <c r="I489"/>
  <c r="G489"/>
  <c r="P489" s="1"/>
  <c r="O488"/>
  <c r="M488"/>
  <c r="K488"/>
  <c r="I488"/>
  <c r="G488"/>
  <c r="P488" s="1"/>
  <c r="O487"/>
  <c r="G487"/>
  <c r="P487" s="1"/>
  <c r="O486"/>
  <c r="M486"/>
  <c r="K486"/>
  <c r="I486"/>
  <c r="P486" s="1"/>
  <c r="G486"/>
  <c r="O485"/>
  <c r="K485"/>
  <c r="I485"/>
  <c r="G485"/>
  <c r="P485" s="1"/>
  <c r="O484"/>
  <c r="M484"/>
  <c r="K484"/>
  <c r="I484"/>
  <c r="G484"/>
  <c r="P484" s="1"/>
  <c r="O483"/>
  <c r="M483"/>
  <c r="K483"/>
  <c r="I483"/>
  <c r="G483"/>
  <c r="P483" s="1"/>
  <c r="O482"/>
  <c r="M482"/>
  <c r="K482"/>
  <c r="I482"/>
  <c r="G482"/>
  <c r="P482" s="1"/>
  <c r="O481"/>
  <c r="M481"/>
  <c r="K481"/>
  <c r="I481"/>
  <c r="G481"/>
  <c r="P481" s="1"/>
  <c r="O480"/>
  <c r="M480"/>
  <c r="K480"/>
  <c r="K552" s="1"/>
  <c r="I480"/>
  <c r="G480"/>
  <c r="P480" s="1"/>
  <c r="O479"/>
  <c r="M479"/>
  <c r="K479"/>
  <c r="I479"/>
  <c r="G479"/>
  <c r="P479" s="1"/>
  <c r="O478"/>
  <c r="M478"/>
  <c r="K478"/>
  <c r="I478"/>
  <c r="G478"/>
  <c r="P478" s="1"/>
  <c r="O477"/>
  <c r="M477"/>
  <c r="K477"/>
  <c r="I477"/>
  <c r="G477"/>
  <c r="P477" s="1"/>
  <c r="O476"/>
  <c r="M476"/>
  <c r="K476"/>
  <c r="I476"/>
  <c r="G476"/>
  <c r="P476" s="1"/>
  <c r="O475"/>
  <c r="M475"/>
  <c r="K475"/>
  <c r="I475"/>
  <c r="G475"/>
  <c r="P475" s="1"/>
  <c r="O474"/>
  <c r="M474"/>
  <c r="K474"/>
  <c r="I474"/>
  <c r="G474"/>
  <c r="P474" s="1"/>
  <c r="O473"/>
  <c r="M473"/>
  <c r="K473"/>
  <c r="I473"/>
  <c r="G473"/>
  <c r="P473" s="1"/>
  <c r="O472"/>
  <c r="M472"/>
  <c r="K472"/>
  <c r="I472"/>
  <c r="G472"/>
  <c r="P472" s="1"/>
  <c r="O471"/>
  <c r="M471"/>
  <c r="K471"/>
  <c r="I471"/>
  <c r="G471"/>
  <c r="P471" s="1"/>
  <c r="O470"/>
  <c r="M470"/>
  <c r="K470"/>
  <c r="I470"/>
  <c r="G470"/>
  <c r="P470" s="1"/>
  <c r="O469"/>
  <c r="M469"/>
  <c r="M552" s="1"/>
  <c r="K469"/>
  <c r="I469"/>
  <c r="G469"/>
  <c r="P469" s="1"/>
  <c r="O468"/>
  <c r="M468"/>
  <c r="K468"/>
  <c r="I468"/>
  <c r="G468"/>
  <c r="P468" s="1"/>
  <c r="O467"/>
  <c r="M467"/>
  <c r="K467"/>
  <c r="I467"/>
  <c r="G467"/>
  <c r="P467" s="1"/>
  <c r="O466"/>
  <c r="M466"/>
  <c r="K466"/>
  <c r="I466"/>
  <c r="G466"/>
  <c r="P466" s="1"/>
  <c r="O465"/>
  <c r="M465"/>
  <c r="K465"/>
  <c r="I465"/>
  <c r="G465"/>
  <c r="P465" s="1"/>
  <c r="O464"/>
  <c r="O552" s="1"/>
  <c r="M464"/>
  <c r="K464"/>
  <c r="I464"/>
  <c r="I552" s="1"/>
  <c r="G464"/>
  <c r="G552" s="1"/>
  <c r="P464" l="1"/>
  <c r="P552" s="1"/>
  <c r="K451" l="1"/>
  <c r="K450"/>
  <c r="K445"/>
  <c r="K444"/>
  <c r="K446" s="1"/>
  <c r="K439"/>
  <c r="K438"/>
  <c r="K437"/>
  <c r="K436"/>
  <c r="K435"/>
  <c r="K434"/>
  <c r="K433"/>
  <c r="K432"/>
  <c r="K431"/>
  <c r="K430"/>
  <c r="K429"/>
  <c r="K428"/>
  <c r="E428"/>
  <c r="K427"/>
  <c r="K426"/>
  <c r="K425"/>
  <c r="K424"/>
  <c r="K423"/>
  <c r="K422"/>
  <c r="K421"/>
  <c r="K440" s="1"/>
  <c r="K408"/>
  <c r="K407"/>
  <c r="K406"/>
  <c r="K405"/>
  <c r="K404"/>
  <c r="K403"/>
  <c r="K402"/>
  <c r="K401"/>
  <c r="K400"/>
  <c r="K399"/>
  <c r="K398"/>
  <c r="K409" s="1"/>
  <c r="K396"/>
  <c r="K395"/>
  <c r="K394"/>
  <c r="K393"/>
  <c r="K392"/>
  <c r="K391"/>
  <c r="K390"/>
  <c r="K389"/>
  <c r="K388"/>
  <c r="K387"/>
  <c r="K386"/>
  <c r="K385"/>
  <c r="K384"/>
  <c r="K383"/>
  <c r="K382"/>
  <c r="K381"/>
  <c r="K380"/>
  <c r="K379"/>
  <c r="K378"/>
  <c r="K377"/>
  <c r="K376"/>
  <c r="K375"/>
  <c r="K374"/>
  <c r="K373"/>
  <c r="K372"/>
  <c r="K371"/>
  <c r="K370"/>
  <c r="K369"/>
  <c r="K368"/>
  <c r="K367"/>
  <c r="K397" s="1"/>
  <c r="K364"/>
  <c r="K363"/>
  <c r="K360"/>
  <c r="K359"/>
  <c r="K358"/>
  <c r="K357"/>
  <c r="K356"/>
  <c r="K355"/>
  <c r="K354"/>
  <c r="K353"/>
  <c r="K352"/>
  <c r="K351"/>
  <c r="K350"/>
  <c r="K349"/>
  <c r="K348"/>
  <c r="K347"/>
  <c r="K346"/>
  <c r="K345"/>
  <c r="K344"/>
  <c r="K343"/>
  <c r="K361" s="1"/>
  <c r="K340"/>
  <c r="K339"/>
  <c r="K338"/>
  <c r="K337"/>
  <c r="K336"/>
  <c r="K335"/>
  <c r="K334"/>
  <c r="K333"/>
  <c r="K332"/>
  <c r="K331"/>
  <c r="K330"/>
  <c r="K329"/>
  <c r="K328"/>
  <c r="K327"/>
  <c r="K326"/>
  <c r="K325"/>
  <c r="K324"/>
  <c r="K323"/>
  <c r="K322"/>
  <c r="K321"/>
  <c r="K320"/>
  <c r="K319"/>
  <c r="K318"/>
  <c r="K317"/>
  <c r="K316"/>
  <c r="K315"/>
  <c r="K314"/>
  <c r="K313"/>
  <c r="K312"/>
  <c r="K311"/>
  <c r="K310"/>
  <c r="K309"/>
  <c r="K341" s="1"/>
  <c r="K307"/>
  <c r="K306"/>
  <c r="K305"/>
  <c r="K304"/>
  <c r="K303"/>
  <c r="K308" s="1"/>
  <c r="K301"/>
  <c r="K300"/>
  <c r="K299"/>
  <c r="K298"/>
  <c r="K297"/>
  <c r="K296"/>
  <c r="K295"/>
  <c r="K294"/>
  <c r="K293"/>
  <c r="K292"/>
  <c r="K291"/>
  <c r="K290"/>
  <c r="K289"/>
  <c r="K288"/>
  <c r="K287"/>
  <c r="K286"/>
  <c r="K285"/>
  <c r="K284"/>
  <c r="K283"/>
  <c r="K282"/>
  <c r="K281"/>
  <c r="K280"/>
  <c r="K279"/>
  <c r="K278"/>
  <c r="K277"/>
  <c r="K276"/>
  <c r="K275"/>
  <c r="K274"/>
  <c r="K273"/>
  <c r="K272"/>
  <c r="K271"/>
  <c r="K270"/>
  <c r="K269"/>
  <c r="K268"/>
  <c r="K267"/>
  <c r="K266"/>
  <c r="K265"/>
  <c r="K264"/>
  <c r="K263"/>
  <c r="K262"/>
  <c r="K261"/>
  <c r="K260"/>
  <c r="K259"/>
  <c r="K258"/>
  <c r="K257"/>
  <c r="K256"/>
  <c r="K255"/>
  <c r="K254"/>
  <c r="K253"/>
  <c r="K252"/>
  <c r="K251"/>
  <c r="K250"/>
  <c r="K249"/>
  <c r="K248"/>
  <c r="K247"/>
  <c r="K246"/>
  <c r="K245"/>
  <c r="K244"/>
  <c r="K243"/>
  <c r="K242"/>
  <c r="K241"/>
  <c r="K240"/>
  <c r="K239"/>
  <c r="K238"/>
  <c r="K237"/>
  <c r="K236"/>
  <c r="K235"/>
  <c r="K234"/>
  <c r="K233"/>
  <c r="K232"/>
  <c r="K231"/>
  <c r="K230"/>
  <c r="K229"/>
  <c r="K228"/>
  <c r="K227"/>
  <c r="K226"/>
  <c r="K225"/>
  <c r="K224"/>
  <c r="K223"/>
  <c r="K222"/>
  <c r="K221"/>
  <c r="K220"/>
  <c r="K219"/>
  <c r="K218"/>
  <c r="K217"/>
  <c r="K216"/>
  <c r="K215"/>
  <c r="K214"/>
  <c r="K213"/>
  <c r="K212"/>
  <c r="K211"/>
  <c r="K210"/>
  <c r="K209"/>
  <c r="K208"/>
  <c r="K207"/>
  <c r="K206"/>
  <c r="K205"/>
  <c r="K204"/>
  <c r="K203"/>
  <c r="K202"/>
  <c r="K302" s="1"/>
  <c r="E191" l="1"/>
  <c r="K185"/>
  <c r="K184"/>
  <c r="K183"/>
  <c r="K182"/>
  <c r="K181"/>
  <c r="K180"/>
  <c r="K179"/>
  <c r="K178"/>
  <c r="K177"/>
  <c r="K176"/>
  <c r="K175"/>
  <c r="K174"/>
  <c r="K173"/>
  <c r="K172"/>
  <c r="K171"/>
  <c r="K170"/>
  <c r="K169"/>
  <c r="K168"/>
  <c r="K167"/>
  <c r="K166"/>
  <c r="K186" s="1"/>
  <c r="K159"/>
  <c r="K158"/>
  <c r="K157"/>
  <c r="K156"/>
  <c r="K155"/>
  <c r="K154"/>
  <c r="K153"/>
  <c r="K152"/>
  <c r="K151"/>
  <c r="K150"/>
  <c r="K149"/>
  <c r="K148"/>
  <c r="K147"/>
  <c r="K146"/>
  <c r="K145"/>
  <c r="K144"/>
  <c r="K143"/>
  <c r="K142"/>
  <c r="K141"/>
  <c r="K140"/>
  <c r="K139"/>
  <c r="K138"/>
  <c r="K137"/>
  <c r="K136"/>
  <c r="K160" s="1"/>
  <c r="O123" l="1"/>
  <c r="M123"/>
  <c r="K123"/>
  <c r="I123"/>
  <c r="G123"/>
  <c r="O124"/>
  <c r="M124"/>
  <c r="K124"/>
  <c r="I124"/>
  <c r="G124"/>
  <c r="O122"/>
  <c r="M122"/>
  <c r="K122"/>
  <c r="I122"/>
  <c r="G122"/>
  <c r="O121"/>
  <c r="M121"/>
  <c r="K121"/>
  <c r="I121"/>
  <c r="G121"/>
  <c r="O120"/>
  <c r="M120"/>
  <c r="K120"/>
  <c r="I120"/>
  <c r="G120"/>
  <c r="O119"/>
  <c r="M119"/>
  <c r="K119"/>
  <c r="I119"/>
  <c r="G119"/>
  <c r="O118"/>
  <c r="M118"/>
  <c r="K118"/>
  <c r="I118"/>
  <c r="G118"/>
  <c r="O117"/>
  <c r="M117"/>
  <c r="K117"/>
  <c r="I117"/>
  <c r="G117"/>
  <c r="O116"/>
  <c r="M116"/>
  <c r="K116"/>
  <c r="I116"/>
  <c r="G116"/>
  <c r="O115"/>
  <c r="M115"/>
  <c r="K115"/>
  <c r="I115"/>
  <c r="G115"/>
  <c r="O114"/>
  <c r="M114"/>
  <c r="K114"/>
  <c r="I114"/>
  <c r="G114"/>
  <c r="O113"/>
  <c r="M113"/>
  <c r="K113"/>
  <c r="I113"/>
  <c r="G113"/>
  <c r="O112"/>
  <c r="M112"/>
  <c r="K112"/>
  <c r="I112"/>
  <c r="G112"/>
  <c r="O111"/>
  <c r="M111"/>
  <c r="K111"/>
  <c r="I111"/>
  <c r="G111"/>
  <c r="O110"/>
  <c r="M110"/>
  <c r="K110"/>
  <c r="I110"/>
  <c r="G110"/>
  <c r="O109"/>
  <c r="M109"/>
  <c r="K109"/>
  <c r="I109"/>
  <c r="G109"/>
  <c r="O108"/>
  <c r="M108"/>
  <c r="K108"/>
  <c r="I108"/>
  <c r="G108"/>
  <c r="O107"/>
  <c r="M107"/>
  <c r="K107"/>
  <c r="I107"/>
  <c r="G107"/>
  <c r="O106"/>
  <c r="M106"/>
  <c r="K106"/>
  <c r="I106"/>
  <c r="G106"/>
  <c r="O105"/>
  <c r="M105"/>
  <c r="K105"/>
  <c r="I105"/>
  <c r="G105"/>
  <c r="O104"/>
  <c r="M104"/>
  <c r="K104"/>
  <c r="I104"/>
  <c r="G104"/>
  <c r="O103"/>
  <c r="M103"/>
  <c r="K103"/>
  <c r="I103"/>
  <c r="G103"/>
  <c r="O102"/>
  <c r="M102"/>
  <c r="K102"/>
  <c r="I102"/>
  <c r="G102"/>
  <c r="O101"/>
  <c r="M101"/>
  <c r="K101"/>
  <c r="I101"/>
  <c r="G101"/>
  <c r="O100"/>
  <c r="M100"/>
  <c r="K100"/>
  <c r="I100"/>
  <c r="G100"/>
  <c r="O99"/>
  <c r="M99"/>
  <c r="K99"/>
  <c r="I99"/>
  <c r="G99"/>
  <c r="O98"/>
  <c r="M98"/>
  <c r="K98"/>
  <c r="I98"/>
  <c r="G98"/>
  <c r="O97"/>
  <c r="M97"/>
  <c r="K97"/>
  <c r="I97"/>
  <c r="G97"/>
  <c r="O96"/>
  <c r="M96"/>
  <c r="K96"/>
  <c r="I96"/>
  <c r="G96"/>
  <c r="O95"/>
  <c r="M95"/>
  <c r="K95"/>
  <c r="I95"/>
  <c r="G95"/>
  <c r="O94"/>
  <c r="M94"/>
  <c r="K94"/>
  <c r="I94"/>
  <c r="G94"/>
  <c r="O93"/>
  <c r="M93"/>
  <c r="K93"/>
  <c r="I93"/>
  <c r="G93"/>
  <c r="O92"/>
  <c r="M92"/>
  <c r="K92"/>
  <c r="I92"/>
  <c r="G92"/>
  <c r="O91"/>
  <c r="M91"/>
  <c r="K91"/>
  <c r="I91"/>
  <c r="G91"/>
  <c r="O90"/>
  <c r="M90"/>
  <c r="K90"/>
  <c r="I90"/>
  <c r="G90"/>
  <c r="O89"/>
  <c r="M89"/>
  <c r="K89"/>
  <c r="I89"/>
  <c r="G89"/>
  <c r="O88"/>
  <c r="M88"/>
  <c r="K88"/>
  <c r="I88"/>
  <c r="G88"/>
  <c r="O87"/>
  <c r="M87"/>
  <c r="K87"/>
  <c r="I87"/>
  <c r="G87"/>
  <c r="O86"/>
  <c r="M86"/>
  <c r="K86"/>
  <c r="I86"/>
  <c r="G86"/>
  <c r="O85"/>
  <c r="M85"/>
  <c r="K85"/>
  <c r="I85"/>
  <c r="G85"/>
  <c r="O84"/>
  <c r="M84"/>
  <c r="K84"/>
  <c r="I84"/>
  <c r="G84"/>
  <c r="O83"/>
  <c r="M83"/>
  <c r="K83"/>
  <c r="I83"/>
  <c r="G83"/>
  <c r="O82"/>
  <c r="M82"/>
  <c r="K82"/>
  <c r="I82"/>
  <c r="G82"/>
  <c r="O81"/>
  <c r="M81"/>
  <c r="K81"/>
  <c r="I81"/>
  <c r="G81"/>
  <c r="O80"/>
  <c r="M80"/>
  <c r="K80"/>
  <c r="I80"/>
  <c r="G80"/>
  <c r="O79"/>
  <c r="M79"/>
  <c r="K79"/>
  <c r="I79"/>
  <c r="G79"/>
  <c r="O78"/>
  <c r="M78"/>
  <c r="K78"/>
  <c r="I78"/>
  <c r="G78"/>
  <c r="O77"/>
  <c r="M77"/>
  <c r="K77"/>
  <c r="I77"/>
  <c r="G77"/>
  <c r="O76"/>
  <c r="M76"/>
  <c r="K76"/>
  <c r="I76"/>
  <c r="G76"/>
  <c r="O75"/>
  <c r="M75"/>
  <c r="K75"/>
  <c r="I75"/>
  <c r="G75"/>
  <c r="O74"/>
  <c r="M74"/>
  <c r="K74"/>
  <c r="I74"/>
  <c r="G74"/>
  <c r="O73"/>
  <c r="M73"/>
  <c r="K73"/>
  <c r="I73"/>
  <c r="G73"/>
  <c r="O72"/>
  <c r="M72"/>
  <c r="K72"/>
  <c r="I72"/>
  <c r="G72"/>
  <c r="O71"/>
  <c r="M71"/>
  <c r="K71"/>
  <c r="I71"/>
  <c r="G71"/>
  <c r="O70"/>
  <c r="M70"/>
  <c r="K70"/>
  <c r="I70"/>
  <c r="G70"/>
  <c r="O69"/>
  <c r="M69"/>
  <c r="K69"/>
  <c r="I69"/>
  <c r="G69"/>
  <c r="O68"/>
  <c r="M68"/>
  <c r="K68"/>
  <c r="I68"/>
  <c r="G68"/>
  <c r="O67"/>
  <c r="M67"/>
  <c r="K67"/>
  <c r="I67"/>
  <c r="G67"/>
  <c r="O66"/>
  <c r="M66"/>
  <c r="K66"/>
  <c r="I66"/>
  <c r="G66"/>
  <c r="O65"/>
  <c r="M65"/>
  <c r="K65"/>
  <c r="I65"/>
  <c r="G65"/>
  <c r="O64"/>
  <c r="M64"/>
  <c r="K64"/>
  <c r="I64"/>
  <c r="G64"/>
  <c r="O63"/>
  <c r="M63"/>
  <c r="K63"/>
  <c r="I63"/>
  <c r="G63"/>
  <c r="O62"/>
  <c r="M62"/>
  <c r="K62"/>
  <c r="I62"/>
  <c r="G62"/>
  <c r="O61"/>
  <c r="M61"/>
  <c r="K61"/>
  <c r="I61"/>
  <c r="G61"/>
  <c r="O60"/>
  <c r="M60"/>
  <c r="K60"/>
  <c r="I60"/>
  <c r="G60"/>
  <c r="O59"/>
  <c r="M59"/>
  <c r="K59"/>
  <c r="I59"/>
  <c r="G59"/>
  <c r="O58"/>
  <c r="M58"/>
  <c r="K58"/>
  <c r="I58"/>
  <c r="G58"/>
  <c r="O57"/>
  <c r="M57"/>
  <c r="K57"/>
  <c r="I57"/>
  <c r="G57"/>
  <c r="O56"/>
  <c r="M56"/>
  <c r="K56"/>
  <c r="I56"/>
  <c r="G56"/>
  <c r="O55"/>
  <c r="M55"/>
  <c r="K55"/>
  <c r="I55"/>
  <c r="G55"/>
  <c r="O54"/>
  <c r="M54"/>
  <c r="K54"/>
  <c r="I54"/>
  <c r="G54"/>
  <c r="O53"/>
  <c r="M53"/>
  <c r="K53"/>
  <c r="I53"/>
  <c r="G53"/>
  <c r="O52"/>
  <c r="M52"/>
  <c r="K52"/>
  <c r="I52"/>
  <c r="G52"/>
  <c r="O51"/>
  <c r="M51"/>
  <c r="K51"/>
  <c r="I51"/>
  <c r="G51"/>
  <c r="O49"/>
  <c r="M49"/>
  <c r="K49"/>
  <c r="I49"/>
  <c r="G49"/>
  <c r="O48"/>
  <c r="M48"/>
  <c r="K48"/>
  <c r="I48"/>
  <c r="G48"/>
  <c r="O47"/>
  <c r="M47"/>
  <c r="K47"/>
  <c r="I47"/>
  <c r="G47"/>
  <c r="O46"/>
  <c r="M46"/>
  <c r="K46"/>
  <c r="I46"/>
  <c r="G46"/>
  <c r="O45"/>
  <c r="M45"/>
  <c r="K45"/>
  <c r="I45"/>
  <c r="G45"/>
  <c r="O44"/>
  <c r="M44"/>
  <c r="K44"/>
  <c r="I44"/>
  <c r="G44"/>
  <c r="O43"/>
  <c r="M43"/>
  <c r="K43"/>
  <c r="I43"/>
  <c r="G43"/>
  <c r="O42"/>
  <c r="M42"/>
  <c r="K42"/>
  <c r="I42"/>
  <c r="G42"/>
  <c r="O41"/>
  <c r="M41"/>
  <c r="K41"/>
  <c r="I41"/>
  <c r="G41"/>
  <c r="O40"/>
  <c r="M40"/>
  <c r="K40"/>
  <c r="I40"/>
  <c r="G40"/>
  <c r="O39"/>
  <c r="M39"/>
  <c r="K39"/>
  <c r="I39"/>
  <c r="G39"/>
  <c r="O38"/>
  <c r="M38"/>
  <c r="K38"/>
  <c r="I38"/>
  <c r="G38"/>
  <c r="O37"/>
  <c r="M37"/>
  <c r="K37"/>
  <c r="I37"/>
  <c r="G37"/>
  <c r="O36"/>
  <c r="M36"/>
  <c r="K36"/>
  <c r="I36"/>
  <c r="G36"/>
  <c r="O35"/>
  <c r="M35"/>
  <c r="K35"/>
  <c r="I35"/>
  <c r="G35"/>
  <c r="O34"/>
  <c r="M34"/>
  <c r="K34"/>
  <c r="I34"/>
  <c r="G34"/>
  <c r="O33"/>
  <c r="M33"/>
  <c r="K33"/>
  <c r="I33"/>
  <c r="G33"/>
  <c r="O32"/>
  <c r="M32"/>
  <c r="K32"/>
  <c r="I32"/>
  <c r="G32"/>
  <c r="O31"/>
  <c r="M31"/>
  <c r="K31"/>
  <c r="I31"/>
  <c r="G31"/>
  <c r="O30"/>
  <c r="M30"/>
  <c r="K30"/>
  <c r="I30"/>
  <c r="G30"/>
  <c r="O29"/>
  <c r="M29"/>
  <c r="K29"/>
  <c r="I29"/>
  <c r="G29"/>
  <c r="O28"/>
  <c r="M28"/>
  <c r="K28"/>
  <c r="I28"/>
  <c r="G28"/>
  <c r="O27"/>
  <c r="M27"/>
  <c r="K27"/>
  <c r="I27"/>
  <c r="G27"/>
  <c r="O26"/>
  <c r="M26"/>
  <c r="K26"/>
  <c r="I26"/>
  <c r="G26"/>
  <c r="O25"/>
  <c r="M25"/>
  <c r="K25"/>
  <c r="I25"/>
  <c r="G25"/>
  <c r="O24"/>
  <c r="M24"/>
  <c r="K24"/>
  <c r="I24"/>
  <c r="G24"/>
  <c r="O23"/>
  <c r="M23"/>
  <c r="K23"/>
  <c r="I23"/>
  <c r="G23"/>
  <c r="O22"/>
  <c r="M22"/>
  <c r="K22"/>
  <c r="I22"/>
  <c r="G22"/>
  <c r="O21"/>
  <c r="M21"/>
  <c r="K21"/>
  <c r="I21"/>
  <c r="G21"/>
  <c r="O20"/>
  <c r="M20"/>
  <c r="K20"/>
  <c r="I20"/>
  <c r="G20"/>
  <c r="O19"/>
  <c r="M19"/>
  <c r="K19"/>
  <c r="I19"/>
  <c r="G19"/>
  <c r="O18"/>
  <c r="M18"/>
  <c r="K18"/>
  <c r="I18"/>
  <c r="G18"/>
  <c r="O17"/>
  <c r="M17"/>
  <c r="K17"/>
  <c r="I17"/>
  <c r="G17"/>
  <c r="O16"/>
  <c r="M16"/>
  <c r="K16"/>
  <c r="I16"/>
  <c r="G16"/>
  <c r="O15"/>
  <c r="M15"/>
  <c r="K15"/>
  <c r="I15"/>
  <c r="G15"/>
  <c r="O14"/>
  <c r="M14"/>
  <c r="K14"/>
  <c r="I14"/>
  <c r="G14"/>
  <c r="O13"/>
  <c r="M13"/>
  <c r="K13"/>
  <c r="I13"/>
  <c r="G13"/>
  <c r="O12"/>
  <c r="M12"/>
  <c r="K12"/>
  <c r="I12"/>
  <c r="G12"/>
  <c r="O11"/>
  <c r="M11"/>
  <c r="K11"/>
  <c r="I11"/>
  <c r="G11"/>
  <c r="O10"/>
  <c r="M10"/>
  <c r="K10"/>
  <c r="I10"/>
  <c r="G10"/>
  <c r="O9"/>
  <c r="M9"/>
  <c r="K9"/>
  <c r="I9"/>
  <c r="G9"/>
  <c r="O8"/>
  <c r="M8"/>
  <c r="K8"/>
  <c r="I8"/>
  <c r="G8"/>
  <c r="P55" l="1"/>
  <c r="P59"/>
  <c r="P123"/>
  <c r="P53"/>
  <c r="P61"/>
  <c r="P65"/>
  <c r="P94"/>
  <c r="P73"/>
  <c r="P77"/>
  <c r="P81"/>
  <c r="P97"/>
  <c r="P101"/>
  <c r="P86"/>
  <c r="P90"/>
  <c r="P8"/>
  <c r="P12"/>
  <c r="P14"/>
  <c r="P18"/>
  <c r="P26"/>
  <c r="P30"/>
  <c r="P34"/>
  <c r="P38"/>
  <c r="P42"/>
  <c r="P54"/>
  <c r="P57"/>
  <c r="P68"/>
  <c r="P71"/>
  <c r="P75"/>
  <c r="P79"/>
  <c r="P89"/>
  <c r="P96"/>
  <c r="P100"/>
  <c r="P104"/>
  <c r="P16"/>
  <c r="P20"/>
  <c r="P24"/>
  <c r="P28"/>
  <c r="P32"/>
  <c r="P36"/>
  <c r="P40"/>
  <c r="P44"/>
  <c r="P48"/>
  <c r="P56"/>
  <c r="P60"/>
  <c r="P66"/>
  <c r="P70"/>
  <c r="P74"/>
  <c r="P78"/>
  <c r="P87"/>
  <c r="P95"/>
  <c r="P98"/>
  <c r="P102"/>
  <c r="P106"/>
  <c r="P9"/>
  <c r="P13"/>
  <c r="P17"/>
  <c r="P21"/>
  <c r="P25"/>
  <c r="P29"/>
  <c r="P33"/>
  <c r="P37"/>
  <c r="P41"/>
  <c r="P45"/>
  <c r="P49"/>
  <c r="P63"/>
  <c r="P64"/>
  <c r="P82"/>
  <c r="P84"/>
  <c r="P92"/>
  <c r="P93"/>
  <c r="P110"/>
  <c r="P111"/>
  <c r="P114"/>
  <c r="P115"/>
  <c r="P118"/>
  <c r="P119"/>
  <c r="P122"/>
  <c r="P10"/>
  <c r="P22"/>
  <c r="P46"/>
  <c r="P58"/>
  <c r="P67"/>
  <c r="P72"/>
  <c r="P76"/>
  <c r="P80"/>
  <c r="P88"/>
  <c r="P99"/>
  <c r="P103"/>
  <c r="P11"/>
  <c r="P15"/>
  <c r="P19"/>
  <c r="P23"/>
  <c r="P27"/>
  <c r="P31"/>
  <c r="P35"/>
  <c r="P39"/>
  <c r="P43"/>
  <c r="P47"/>
  <c r="P51"/>
  <c r="P52"/>
  <c r="P62"/>
  <c r="P69"/>
  <c r="P83"/>
  <c r="P91"/>
  <c r="P109"/>
  <c r="P112"/>
  <c r="P113"/>
  <c r="P116"/>
  <c r="P117"/>
  <c r="P120"/>
  <c r="P121"/>
  <c r="P107"/>
  <c r="P105"/>
  <c r="P108"/>
  <c r="P124"/>
  <c r="P85"/>
  <c r="P125" l="1"/>
  <c r="P50"/>
  <c r="P126" l="1"/>
</calcChain>
</file>

<file path=xl/sharedStrings.xml><?xml version="1.0" encoding="utf-8"?>
<sst xmlns="http://schemas.openxmlformats.org/spreadsheetml/2006/main" count="6700" uniqueCount="3044">
  <si>
    <t>Scrap</t>
  </si>
  <si>
    <t>Obsolete</t>
  </si>
  <si>
    <t>FF4F402128</t>
  </si>
  <si>
    <t>M.S Rod  40 mm2</t>
  </si>
  <si>
    <t>MT</t>
  </si>
  <si>
    <t xml:space="preserve">No. </t>
  </si>
  <si>
    <t xml:space="preserve">Fencing Angle </t>
  </si>
  <si>
    <t>Kg.</t>
  </si>
  <si>
    <t>HH7H704001</t>
  </si>
  <si>
    <t>33 KV Post Insulator for Cap Bank</t>
  </si>
  <si>
    <t>33 KV Flange Collar for 'BHEL' MOCB</t>
  </si>
  <si>
    <t xml:space="preserve">33 KV Flange Collar(Damaged)   </t>
  </si>
  <si>
    <t>FF4F402160</t>
  </si>
  <si>
    <t xml:space="preserve">Steel Tubular Pole </t>
  </si>
  <si>
    <t xml:space="preserve">Fabricated Support for fencing </t>
  </si>
  <si>
    <t>JJ1J103007</t>
  </si>
  <si>
    <t>HH7H702003</t>
  </si>
  <si>
    <t>Empty Gas Cylinder</t>
  </si>
  <si>
    <t>VV7V713001 C</t>
  </si>
  <si>
    <t>33 KV Post Insulator</t>
  </si>
  <si>
    <t>FF3F301028</t>
  </si>
  <si>
    <t xml:space="preserve">PN Structure </t>
  </si>
  <si>
    <t>FF3F301016</t>
  </si>
  <si>
    <t>SF-6 Gas Cylinder (Empty)</t>
  </si>
  <si>
    <t>(Old and used)Battery Set (48 Volt)</t>
  </si>
  <si>
    <t xml:space="preserve">(Old )48 V D/C DB Charger </t>
  </si>
  <si>
    <t xml:space="preserve">Blade for 132 KV Isolator 800X SMC </t>
  </si>
  <si>
    <t>II5I501003</t>
  </si>
  <si>
    <t>Mid Spam Joint for Zebra</t>
  </si>
  <si>
    <t>Hanger for 'A' type Tower</t>
  </si>
  <si>
    <t>Bottom &amp; Top (Metallic) of old LA</t>
  </si>
  <si>
    <t>145 KV CT 100/1A</t>
  </si>
  <si>
    <t>JJ0J003004</t>
  </si>
  <si>
    <t>P T Jn, box for 33 KV PT</t>
  </si>
  <si>
    <t xml:space="preserve">BCT Structure </t>
  </si>
  <si>
    <t>FF3F301013</t>
  </si>
  <si>
    <t>BBL Structure</t>
  </si>
  <si>
    <t>No</t>
  </si>
  <si>
    <t>MM0M009002</t>
  </si>
  <si>
    <t>110 Volt DC Relay For Breaker</t>
  </si>
  <si>
    <t>No.</t>
  </si>
  <si>
    <t>3.56,36 KVAR,7.3 KV,50A,22 micro farad single phase 50 Hz internal fuse ,APP type HV capacitor unit "MAGNEWIN" make</t>
  </si>
  <si>
    <t>KK0K005001</t>
  </si>
  <si>
    <t>33 KV lightning arrester complete with connector</t>
  </si>
  <si>
    <t>AA0A004001</t>
  </si>
  <si>
    <t>ACSR Zebra conductor in Pecs. (old &amp; used)</t>
  </si>
  <si>
    <t>Mtr</t>
  </si>
  <si>
    <t>132 KV CT400/200/1A (burnt)</t>
  </si>
  <si>
    <t>110 Volt DC charger along with DB (old &amp; used)</t>
  </si>
  <si>
    <t>Hot dip Galvanized structure column and beam</t>
  </si>
  <si>
    <t>JJ1J103050</t>
  </si>
  <si>
    <t>Anti pumping devices suitable for CGL make breakers as per sample</t>
  </si>
  <si>
    <t>HH0H005001</t>
  </si>
  <si>
    <t>33 KV heavy duty isolator complet jaw,and blade&amp; connector(Panther) along with earth switch</t>
  </si>
  <si>
    <t>MM3M304013</t>
  </si>
  <si>
    <t>Digital MW meter Type 3 Phase 4 wire 50-0-50 MW CTR 200/1A PTR132KV /110 V. Aux Supply 110 V DC</t>
  </si>
  <si>
    <t>YY0Y002003</t>
  </si>
  <si>
    <t>110 Volt Battery set (old and used)</t>
  </si>
  <si>
    <t>LL6L601002</t>
  </si>
  <si>
    <t>Flexible PVC coated copper wire 16 sq mm</t>
  </si>
  <si>
    <t>MM3M303006</t>
  </si>
  <si>
    <t>Digital  A C Ammeter  range 0-500 A (programmable) Aux Supply 110 V DC</t>
  </si>
  <si>
    <t>Nos</t>
  </si>
  <si>
    <t xml:space="preserve"> RTCC panel (Dismenteled)</t>
  </si>
  <si>
    <t>Pale Fencing damaged</t>
  </si>
  <si>
    <t xml:space="preserve"> YY3Y303001</t>
  </si>
  <si>
    <t>Battery charger 48 volt(dismantle)</t>
  </si>
  <si>
    <t>Km</t>
  </si>
  <si>
    <t>132 KV MOCB Dismanteled</t>
  </si>
  <si>
    <t>132 KV CT400/200/1A (burnt Scrap)</t>
  </si>
  <si>
    <t>VV3V301001</t>
  </si>
  <si>
    <t>CC2C201009</t>
  </si>
  <si>
    <t>4X2.5 mm2 control cable(armoured)</t>
  </si>
  <si>
    <t>VV5V503009</t>
  </si>
  <si>
    <t xml:space="preserve">132 KV CT 800/400/1A Damaged &amp; burnt </t>
  </si>
  <si>
    <t>EHV GradeTransformer oil, (COLUMBIA- OIL)</t>
  </si>
  <si>
    <t>Liter</t>
  </si>
  <si>
    <t>145 KV CVT Defective</t>
  </si>
  <si>
    <t>145  KV  Current  Transformers 140 / 1 A, (0.2S Class) ,1 core.</t>
  </si>
  <si>
    <t>145  KV  Current  Transformers 300 / 1 A, (0.2S Class) ,3 core.</t>
  </si>
  <si>
    <t>Total</t>
  </si>
  <si>
    <t>33 KV CT Burnt and damaged</t>
  </si>
  <si>
    <t>VV5V505009</t>
  </si>
  <si>
    <t>VV5V503011</t>
  </si>
  <si>
    <t>132 KV CVT damaged</t>
  </si>
  <si>
    <t>145 KV CVT old and used</t>
  </si>
  <si>
    <t>C-wedge clamps Moose-Moose</t>
  </si>
  <si>
    <t>C-wedge clamps Moose-Panther</t>
  </si>
  <si>
    <t>II2I202001</t>
  </si>
  <si>
    <t>36 KV CT 800/400/1A defective</t>
  </si>
  <si>
    <t>145 KV CVT (1-Phase) accuracy class 0.2</t>
  </si>
  <si>
    <t>36 KV CT (3 core,1 Phase) 400/200/1A Accuracy class 0.2S</t>
  </si>
  <si>
    <t xml:space="preserve">Isolator Blade 145 KV Isolator center operated, double break ,1600 Amp make G. Nandi </t>
  </si>
  <si>
    <t xml:space="preserve">Isolator Blade 36 KV Isolator center operated, double break ,800 Amp make G. Nandi </t>
  </si>
  <si>
    <t>145 KV CT of rating 800/400/200/1A,5core 0.2 accuracy class</t>
  </si>
  <si>
    <t>145 KV CT of rating 800/400/1A,3core 1.0 accuracy class, old and used</t>
  </si>
  <si>
    <t>VV5V503001</t>
  </si>
  <si>
    <t>VV7V713002</t>
  </si>
  <si>
    <t>VV5V505008</t>
  </si>
  <si>
    <t>HH5H502001</t>
  </si>
  <si>
    <t>YY3Y302002</t>
  </si>
  <si>
    <t>FF3F301042&amp;43</t>
  </si>
  <si>
    <t>Isolator clamp for ACSR panther conductor</t>
  </si>
  <si>
    <t>Breaker clamp for ACSR Moose conductor</t>
  </si>
  <si>
    <t xml:space="preserve">Name of Zone: </t>
  </si>
  <si>
    <t>For the Month</t>
  </si>
  <si>
    <t xml:space="preserve">Name of Circle : </t>
  </si>
  <si>
    <t xml:space="preserve">Name of Division : </t>
  </si>
  <si>
    <t xml:space="preserve">Name of Substation : </t>
  </si>
  <si>
    <t>S. No.</t>
  </si>
  <si>
    <t>Item code</t>
  </si>
  <si>
    <t>Name of Item</t>
  </si>
  <si>
    <t>Unit</t>
  </si>
  <si>
    <t>Unit rate in Rs.</t>
  </si>
  <si>
    <t>Useable</t>
  </si>
  <si>
    <t>Unserviceable</t>
  </si>
  <si>
    <t>Non-Moving</t>
  </si>
  <si>
    <t xml:space="preserve">Total Inventory Amt. </t>
  </si>
  <si>
    <t>Qty.</t>
  </si>
  <si>
    <t>Total Amount in Rs.</t>
  </si>
  <si>
    <t>CT 33 KV damaged and burnt</t>
  </si>
  <si>
    <t>M S srape (Wire fencing)</t>
  </si>
  <si>
    <t>132 KV Kashipur</t>
  </si>
  <si>
    <t>400 KV Kashipur</t>
  </si>
  <si>
    <t>Kumaun</t>
  </si>
  <si>
    <t>132 KV CT Old and Used</t>
  </si>
  <si>
    <t>145 KV CVT (old&amp; used) ASIA make</t>
  </si>
  <si>
    <t>145 KV CVT (old&amp; used) CGL make Accuracy 0.5</t>
  </si>
  <si>
    <t>145 KV CVT (old&amp; used) ABB make Accuracy 0.5</t>
  </si>
  <si>
    <t>145 KV CVT (old&amp; used)WS Insulation make Accuracy 0.5</t>
  </si>
  <si>
    <t>145 KV PT (old&amp; used)BHEL make Accuracy 0.5</t>
  </si>
  <si>
    <t>145 KV PT (old&amp; used)SCT make Accuracy 0.5</t>
  </si>
  <si>
    <t>145 KV CT 400/200/1A(old&amp; used) Brown Broveri Accuracy 1.0</t>
  </si>
  <si>
    <t>33 KV PT (1-Phase),Savio Transformermake, Accuracy class 0.5</t>
  </si>
  <si>
    <t xml:space="preserve">33 KV PT (1-Phase),Perfect rmake, </t>
  </si>
  <si>
    <t>33 KV CT burnt and Damage (in Pieces}</t>
  </si>
  <si>
    <t>Sulphur Hexa Flouride  (SF-6) gas</t>
  </si>
  <si>
    <t xml:space="preserve">JJ8J801001 </t>
  </si>
  <si>
    <t>Closing coil for 145 KV SF-6 Circuit Breaker, CGL Make,Type 70- SFM-32 B</t>
  </si>
  <si>
    <t>Tripping coil for 145 KV SF-6 Circuit Breaker, CGL Make,Type 70- SFM-32 B</t>
  </si>
  <si>
    <t>Closing coil for 145 KV SF-6 Circuit Breaker, ABB Make,1600 Amp, Type LTB 145D1/B,Mfd2005,Sr 17000525</t>
  </si>
  <si>
    <t>Tripping coil for 145 KV SF-6 Circuit Breaker, ABB Make,1600 Amp, Type LTB 145D1/B,Mfd2005,Sr 17000525</t>
  </si>
  <si>
    <t>JJ1J103006</t>
  </si>
  <si>
    <t>CC2C201006</t>
  </si>
  <si>
    <t>33 KV CT 400/1A Defective( old and used)</t>
  </si>
  <si>
    <t>2.5 sqmm 10 core armoured copper control cable</t>
  </si>
  <si>
    <t>2.5 sqmm 06 core armoured copper control cable</t>
  </si>
  <si>
    <t>2.5 sqmm 04 core armoured copper control cable</t>
  </si>
  <si>
    <t>Disc Insulator 120 KN</t>
  </si>
  <si>
    <t>C - Wedge clamp suitable for ACSR Moose to Moose conductor</t>
  </si>
  <si>
    <t>11 KV Power cable ( 3 X 185 Sqmm )</t>
  </si>
  <si>
    <t>Cable mid joint kit ( 3 X 185 sqmm ) 11KV XLPE Cable</t>
  </si>
  <si>
    <t>CT Clamp suitable for AL Pipe tube 4"</t>
  </si>
  <si>
    <t>Distance Protection Relay</t>
  </si>
  <si>
    <t>Directional Over current Relay</t>
  </si>
  <si>
    <t>160KN Disc Insulator</t>
  </si>
  <si>
    <t>Suspension Double fitting for panther</t>
  </si>
  <si>
    <t>Tension clamp for Earth wire</t>
  </si>
  <si>
    <t>Dead End clamp complete for ACSR panther conductor</t>
  </si>
  <si>
    <t>CC2C201007</t>
  </si>
  <si>
    <t>II0I001001</t>
  </si>
  <si>
    <t>CC3C306006</t>
  </si>
  <si>
    <t>CC5C506005</t>
  </si>
  <si>
    <t>II8I805005</t>
  </si>
  <si>
    <t>I4I402001</t>
  </si>
  <si>
    <t>Silica Gel blue in colour(In sealed container)</t>
  </si>
  <si>
    <t>Isolator clamp for ACSR Moose conductor</t>
  </si>
  <si>
    <t>C T terminal connector different type</t>
  </si>
  <si>
    <t xml:space="preserve">CT rod </t>
  </si>
  <si>
    <t>33 KV PT(Completely Damaged)</t>
  </si>
  <si>
    <t>33 KV XLPE cable size3x400mm2 Aluminium Power Cable</t>
  </si>
  <si>
    <t>33 KV outdoor termination kit  size3x400mm2 standared</t>
  </si>
  <si>
    <t>CC3C306002</t>
  </si>
  <si>
    <t xml:space="preserve"> CC8C801003</t>
  </si>
  <si>
    <t xml:space="preserve"> II2I202001</t>
  </si>
  <si>
    <t xml:space="preserve"> II2I202004</t>
  </si>
  <si>
    <t xml:space="preserve"> HH8H801057</t>
  </si>
  <si>
    <t>HH8H801065</t>
  </si>
  <si>
    <t xml:space="preserve"> VV2V203001</t>
  </si>
  <si>
    <t xml:space="preserve"> VV8V801012 </t>
  </si>
  <si>
    <t>36 KV CT 200/1A (Old and used)</t>
  </si>
  <si>
    <t>36 KV CT 400/1A (Old and used)</t>
  </si>
  <si>
    <t>36 KV CT 800/400/1A,(Old and used)</t>
  </si>
  <si>
    <t xml:space="preserve">36 KV CT 400/200/1A </t>
  </si>
  <si>
    <t>3-Phase 33Kv Isolator without earthswitch 800Amp, With Clamp Suitable for Panther conductor</t>
  </si>
  <si>
    <r>
      <t>Armoured control cable 10Cx2.5mm</t>
    </r>
    <r>
      <rPr>
        <vertAlign val="superscript"/>
        <sz val="11"/>
        <color theme="1"/>
        <rFont val="Calibri"/>
        <family val="2"/>
        <scheme val="minor"/>
      </rPr>
      <t>2</t>
    </r>
  </si>
  <si>
    <r>
      <t>Armoured control cable 4Cx2.5mm</t>
    </r>
    <r>
      <rPr>
        <vertAlign val="superscript"/>
        <sz val="11"/>
        <color theme="1"/>
        <rFont val="Calibri"/>
        <family val="2"/>
        <scheme val="minor"/>
      </rPr>
      <t>3</t>
    </r>
    <r>
      <rPr>
        <sz val="11"/>
        <color theme="1"/>
        <rFont val="Calibri"/>
        <family val="2"/>
        <scheme val="minor"/>
      </rPr>
      <t/>
    </r>
  </si>
  <si>
    <r>
      <t>Armoured control cable 2Cx2.5mm</t>
    </r>
    <r>
      <rPr>
        <vertAlign val="superscript"/>
        <sz val="11"/>
        <color theme="1"/>
        <rFont val="Calibri"/>
        <family val="2"/>
        <scheme val="minor"/>
      </rPr>
      <t>4</t>
    </r>
    <r>
      <rPr>
        <sz val="11"/>
        <color theme="1"/>
        <rFont val="Calibri"/>
        <family val="2"/>
        <scheme val="minor"/>
      </rPr>
      <t/>
    </r>
  </si>
  <si>
    <t>ACSR Panther conductor</t>
  </si>
  <si>
    <t>Digital  A C Ammeter  range 0-1000 A (programmable) Aux Supply 110 V DC</t>
  </si>
  <si>
    <t>Digital  A C Volt meter  range 0-150 KV .(programmable) Aux Supply 110 V DC</t>
  </si>
  <si>
    <t>Electronic semaphore indication having Red &amp; Green LED 110 volt DC as per sample</t>
  </si>
  <si>
    <t>Auxiliary conractor with NO/NC operating Voltage 110 Volt DC</t>
  </si>
  <si>
    <t>Nos.</t>
  </si>
  <si>
    <t>MS scrap of fire extinguishers</t>
  </si>
  <si>
    <t>Kg</t>
  </si>
  <si>
    <t>Old and used 30 KV LA</t>
  </si>
  <si>
    <t>Old and used 120 KV LA</t>
  </si>
  <si>
    <t>Aug</t>
  </si>
  <si>
    <t>145 KV CT 300/1A;3Core 0.2 Class (used)</t>
  </si>
  <si>
    <t>Format of Monthly Inventory for Uploading on PTCUL Website</t>
  </si>
  <si>
    <t xml:space="preserve">Umesh Kumar Junior Engineer (Line) 132KV S/S Kashipur </t>
  </si>
  <si>
    <t>Name of Circle/ Zone:-</t>
  </si>
  <si>
    <t>400KV(O&amp;M)Kashipur</t>
  </si>
  <si>
    <t>Name of Substation</t>
  </si>
  <si>
    <t>132KV S/SKashipur</t>
  </si>
  <si>
    <t xml:space="preserve">Name of Division </t>
  </si>
  <si>
    <t>132KV(O&amp;M)Div Kashipur</t>
  </si>
  <si>
    <t>Month of</t>
  </si>
  <si>
    <t xml:space="preserve">SR.
No. </t>
  </si>
  <si>
    <t>Item Code</t>
  </si>
  <si>
    <t>item Description</t>
  </si>
  <si>
    <t xml:space="preserve">Quantity </t>
  </si>
  <si>
    <t xml:space="preserve">Book Value per unit </t>
  </si>
  <si>
    <t>Total Cost</t>
  </si>
  <si>
    <t xml:space="preserve">Unserviceable </t>
  </si>
  <si>
    <t xml:space="preserve">Non-Moving </t>
  </si>
  <si>
    <t xml:space="preserve">Scrap </t>
  </si>
  <si>
    <t>FF0F015002</t>
  </si>
  <si>
    <t>Tower part banded (Old and Used)</t>
  </si>
  <si>
    <t xml:space="preserve">MT. </t>
  </si>
  <si>
    <t>FF2F207036</t>
  </si>
  <si>
    <t>Template for 'A' Type Tower  (Incomplete)</t>
  </si>
  <si>
    <t>Scrap  of rusted Tower Part</t>
  </si>
  <si>
    <t>II51504005</t>
  </si>
  <si>
    <t>Suspension single fitting for Panther</t>
  </si>
  <si>
    <t>II0I001007</t>
  </si>
  <si>
    <t xml:space="preserve">70 KN Disc insulator (B&amp;S) </t>
  </si>
  <si>
    <t>FF0F043010</t>
  </si>
  <si>
    <t>Template for B Type Tower</t>
  </si>
  <si>
    <t>M.T</t>
  </si>
  <si>
    <t>FF0F043012</t>
  </si>
  <si>
    <t>Template for C Type Tower</t>
  </si>
  <si>
    <t>II3I302004</t>
  </si>
  <si>
    <t xml:space="preserve">Repair Sleeve for panther </t>
  </si>
  <si>
    <t>II3I301004</t>
  </si>
  <si>
    <t xml:space="preserve">Mid Span Joint for Panther </t>
  </si>
  <si>
    <t>II5I501005</t>
  </si>
  <si>
    <t>Single Tension Fitting for panther</t>
  </si>
  <si>
    <t>Sets</t>
  </si>
  <si>
    <t>II3I303004</t>
  </si>
  <si>
    <t>Vibration Damper</t>
  </si>
  <si>
    <t>II3I301009</t>
  </si>
  <si>
    <t>(B)Mid Span Joint for 7/10SWG Earth Wire</t>
  </si>
  <si>
    <t>II5I501010</t>
  </si>
  <si>
    <t>(A) Tension fitting for GS earth wire 7/10SWG or 7/3.15mm.</t>
  </si>
  <si>
    <t>set</t>
  </si>
  <si>
    <t>(B) Tension fitting for GS earth wire 7/10SWG or 7/3.15mm.</t>
  </si>
  <si>
    <t>II5I504010</t>
  </si>
  <si>
    <t>(A)Suspension fitting for GS earth wire 7/10SWG or 7/3.15mm.</t>
  </si>
  <si>
    <t>(B)Suspension fitting for GS earth wire 7/10SWG or 7/3.15mm.</t>
  </si>
  <si>
    <t>II3I302009</t>
  </si>
  <si>
    <t xml:space="preserve">Repair Sleeve for earth wire 7/10SWG or 7/3.15mm </t>
  </si>
  <si>
    <t xml:space="preserve">Nos </t>
  </si>
  <si>
    <t>PP0P016004</t>
  </si>
  <si>
    <t>Steel pilot wire</t>
  </si>
  <si>
    <t xml:space="preserve">Mtr. </t>
  </si>
  <si>
    <t>AA1A101002</t>
  </si>
  <si>
    <t>7/10SWG damage /rusted broken earth wire</t>
  </si>
  <si>
    <t>7/10SWG earth wire</t>
  </si>
  <si>
    <t>II1I105001</t>
  </si>
  <si>
    <t>C-Wedge clamp (Panther to Panther)</t>
  </si>
  <si>
    <t>FF1F101025</t>
  </si>
  <si>
    <t>Tower GI nut&amp;bolt(3/4X5/8)</t>
  </si>
  <si>
    <t>II5I502005</t>
  </si>
  <si>
    <t>Double tension fitting for ACSR panther(Incomplete)</t>
  </si>
  <si>
    <t>Set</t>
  </si>
  <si>
    <t>ACSR Panther Conductor</t>
  </si>
  <si>
    <t>KM</t>
  </si>
  <si>
    <t>Total(Useable+Scrap)</t>
  </si>
  <si>
    <t>T&amp;P Items</t>
  </si>
  <si>
    <t xml:space="preserve">Sr.
No. </t>
  </si>
  <si>
    <t>Useable/Qty</t>
  </si>
  <si>
    <t>PP0P004002</t>
  </si>
  <si>
    <t>Hydraulic compressor of 100 Ton,portable,hand operated completed with accessories/tools.</t>
  </si>
  <si>
    <t>PP0P006007</t>
  </si>
  <si>
    <t>Compressor die sets suitable for jointing ACSR panther Conductor(Aluminium portion)</t>
  </si>
  <si>
    <t>PP0P006008</t>
  </si>
  <si>
    <t>Compressor die sets suitable for jointing ACSR panther Conductor(Steel portion)</t>
  </si>
  <si>
    <t>PP0P006005</t>
  </si>
  <si>
    <t>Compressor die sets suitable for jointing ACSR ZebraConductor(Aluminium portion)</t>
  </si>
  <si>
    <t>PP0P006001</t>
  </si>
  <si>
    <t>Compressor die sets suitable for jointing ACSR MooseConductor(Aluminium portion)</t>
  </si>
  <si>
    <t>12mm steelrope drum of 200mtr long</t>
  </si>
  <si>
    <t>PP0P021011</t>
  </si>
  <si>
    <t>Single sheave pulley open type of 5 ton capacity.</t>
  </si>
  <si>
    <t>PP0P021007</t>
  </si>
  <si>
    <t>Double sheave pulley 5 ton capacity</t>
  </si>
  <si>
    <t>Hydraulic conductor cutter</t>
  </si>
  <si>
    <t>PP0P001003</t>
  </si>
  <si>
    <t>Bolted type come along clamp, 7 bolts for ACSR Zebra Conductor</t>
  </si>
  <si>
    <t>PP0P001004</t>
  </si>
  <si>
    <t>Bolted type come along clamp, 7 bolts for ACSR Panther Conductor</t>
  </si>
  <si>
    <t>PP0P001013</t>
  </si>
  <si>
    <t>Come along clamp 3 bolted type suitable for 7/10 SWG earth wire.</t>
  </si>
  <si>
    <t>PP0P021001</t>
  </si>
  <si>
    <t>Four Sheave sagging pulley 10 Ton Capacity.</t>
  </si>
  <si>
    <t>Sling 18mm 10MTR</t>
  </si>
  <si>
    <t>Sling 18mm 5 MTR</t>
  </si>
  <si>
    <t>PP0P018009</t>
  </si>
  <si>
    <t>D-Shackle 4.75 Ton</t>
  </si>
  <si>
    <t>PP3P301005</t>
  </si>
  <si>
    <t>Safety belt full body safety harness PN42(01 reputed make like karam etc.)</t>
  </si>
  <si>
    <t>PP0P015014</t>
  </si>
  <si>
    <t>Poly amide or Braided white nylon rope 14mm</t>
  </si>
  <si>
    <t>Chain Shackle 10Ton Chain pulley block 3 MTR</t>
  </si>
  <si>
    <t>PP0P021037</t>
  </si>
  <si>
    <t>Chain Shackle 2 Ton Chain pulley block 3 MTR</t>
  </si>
  <si>
    <t>Opening Stock</t>
  </si>
  <si>
    <t>Received</t>
  </si>
  <si>
    <t>Issued</t>
  </si>
  <si>
    <t>Final</t>
  </si>
  <si>
    <t>Name of Circle/ Zone:- Kuman Zone</t>
  </si>
  <si>
    <t>132 Kv Bazpur</t>
  </si>
  <si>
    <t>Name of Division:- 132 Kv Kashipur</t>
  </si>
  <si>
    <t>Name of Sub-Division:-</t>
  </si>
  <si>
    <t xml:space="preserve"> Bazpur</t>
  </si>
  <si>
    <t xml:space="preserve">Book Value per Unit </t>
  </si>
  <si>
    <t>CC3C316008</t>
  </si>
  <si>
    <t>Turfer gatted tray 6"</t>
  </si>
  <si>
    <t>CC3C316009</t>
  </si>
  <si>
    <t>Turfer gatted tray 5"</t>
  </si>
  <si>
    <t>AA0A002011</t>
  </si>
  <si>
    <t xml:space="preserve">ACSR weasel conductor </t>
  </si>
  <si>
    <t>Mtr.</t>
  </si>
  <si>
    <t>Round pol</t>
  </si>
  <si>
    <t>Oil tray</t>
  </si>
  <si>
    <t>PP0P015004</t>
  </si>
  <si>
    <t>Rop garbay Nylon 25 mm</t>
  </si>
  <si>
    <t>CC1C113006</t>
  </si>
  <si>
    <t xml:space="preserve">33 Kv XLPE Cable 70 mm² </t>
  </si>
  <si>
    <t>FF0F050041</t>
  </si>
  <si>
    <t>Beam &amp; Column Tower Parts</t>
  </si>
  <si>
    <t>kg.</t>
  </si>
  <si>
    <t xml:space="preserve">Heat Shink cable termination kit for 33 Kv XLPE cable 3*120 mm² (Indoor) </t>
  </si>
  <si>
    <t xml:space="preserve">Heat Shink cable termination kit for 33 Kv XLPE cable 3*120 mm² (Outdoor) </t>
  </si>
  <si>
    <t xml:space="preserve">Nut &amp; Bolts with washer </t>
  </si>
  <si>
    <t>MT.</t>
  </si>
  <si>
    <t>MM3M306008</t>
  </si>
  <si>
    <t xml:space="preserve">Power fector meter 400/1A with S/ switch </t>
  </si>
  <si>
    <t>II0I005001</t>
  </si>
  <si>
    <t>P.G. clamps for Zebra to Zebra</t>
  </si>
  <si>
    <t>II0I005002</t>
  </si>
  <si>
    <t>P.G. clamps for Zebra to Panther</t>
  </si>
  <si>
    <t>70 KN Disc Insulator</t>
  </si>
  <si>
    <t>MM3M302005</t>
  </si>
  <si>
    <t>Digital Voltmeter (Rating 132000/110Volt) Auxiliary Supply 110V DC</t>
  </si>
  <si>
    <t>MM3M303009</t>
  </si>
  <si>
    <t>Digital Ammeters (Rating 200/1A) Auxiliary Supply 110V DC</t>
  </si>
  <si>
    <t>Digital Voltmeter (Rating 33000/110Volt) Auxiliary Supply 110V DC</t>
  </si>
  <si>
    <t>II1I103003</t>
  </si>
  <si>
    <t>Fired C - Wedge connectors suitable for Deer to panther ACSR conductor</t>
  </si>
  <si>
    <t>JJ5J501008</t>
  </si>
  <si>
    <t>Tripping/ Closing coil 110VDC Suitable for 33KV CGL Make Breakers.</t>
  </si>
  <si>
    <t>Tripping/ Closing coil 110VDC Suitable for 33KV Alstom Make Breakers.</t>
  </si>
  <si>
    <t>JJ5J501007</t>
  </si>
  <si>
    <t>Tripping/ Closing coil 110VDC Suitable for 33KV ABB Make Breakers.</t>
  </si>
  <si>
    <t>Tripping/ Closing coil 110VDC Suitable for 33KV BHEL Make Breakers.</t>
  </si>
  <si>
    <t>JJ7J701002</t>
  </si>
  <si>
    <t>TNC Switch suitable for 33KV Control and relay panel.</t>
  </si>
  <si>
    <t>JJ7J701007</t>
  </si>
  <si>
    <t xml:space="preserve">Local / Remote Switch  suitable for 33KV circuit breakers </t>
  </si>
  <si>
    <t>33 KV LA</t>
  </si>
  <si>
    <t>AA0A002003</t>
  </si>
  <si>
    <t>ACSR Zebra Conductor</t>
  </si>
  <si>
    <t>Km.</t>
  </si>
  <si>
    <t>FF4F403003</t>
  </si>
  <si>
    <t>Flexible copper bond</t>
  </si>
  <si>
    <t>FF2F202001</t>
  </si>
  <si>
    <t>M S Earth Flat (FL-75X10)</t>
  </si>
  <si>
    <t>FF2F202006</t>
  </si>
  <si>
    <t>M S Earth Flat (FL-25X6)</t>
  </si>
  <si>
    <t>JJ8J801005</t>
  </si>
  <si>
    <t>33 KV CB connector suitable for Twin ACSR Zebra conductor as per sample</t>
  </si>
  <si>
    <t>II1I103002</t>
  </si>
  <si>
    <t>Fired C - wedge connectors suitable for Deer to Zebra ACSR connector</t>
  </si>
  <si>
    <t>II1I104001</t>
  </si>
  <si>
    <t>Fired C - wedge connectors suitable for Zebra to Zebra ACSR connector</t>
  </si>
  <si>
    <t>CC0C001009</t>
  </si>
  <si>
    <t>Control Cable, Armoured 2.5 Sq. mm. X 10 Core</t>
  </si>
  <si>
    <t>PG clamps suitable for ACSR Zebra to Zebra conductor</t>
  </si>
  <si>
    <t>VV5V407018</t>
  </si>
  <si>
    <t>33KV CT connector suitable for ACSR Zebra conductor</t>
  </si>
  <si>
    <t>FF0F050003</t>
  </si>
  <si>
    <t>GI lattice structure for 33KV isolator (ABL)</t>
  </si>
  <si>
    <t>G I wire mesh</t>
  </si>
  <si>
    <t>Sqmt.</t>
  </si>
  <si>
    <t>CC0C001013</t>
  </si>
  <si>
    <t>6 X 2.5 mm2 Control Cable (armoured)</t>
  </si>
  <si>
    <t>10 X 2.5 mm2 Control Cable (armoured)</t>
  </si>
  <si>
    <t>II0I001003</t>
  </si>
  <si>
    <t>Supply of ACSR Zebra Conductor</t>
  </si>
  <si>
    <t>Round pol old and used</t>
  </si>
  <si>
    <t>CC0C001020</t>
  </si>
  <si>
    <t>2 x 2.5mm control cable armourd</t>
  </si>
  <si>
    <t>CC0C001018</t>
  </si>
  <si>
    <t>4 x 2.5mm control cable armourd</t>
  </si>
  <si>
    <t>6 x 2.5mm control cable armourd</t>
  </si>
  <si>
    <t>10 x 2.5mm control cable armourd</t>
  </si>
  <si>
    <t xml:space="preserve">C-wedge clamps suitable for Zebra to Zebra conductor </t>
  </si>
  <si>
    <t>II5I507004</t>
  </si>
  <si>
    <t>Gun fitting suitable for ACSR Zebra conductor</t>
  </si>
  <si>
    <t>Control and relay panel 132KV /33Kv old and used</t>
  </si>
  <si>
    <t>Tripping /closing coils, 110 V DC , suitable for 33 kv ABB make breakers as par sample</t>
  </si>
  <si>
    <t>Tripping /closing coils, 110 V DC , suitable for 33 kv CGL make breakers as par sample</t>
  </si>
  <si>
    <t>JJ3J301005</t>
  </si>
  <si>
    <t>Tripping /closing coils, 110 V DC , suitable for 132 kv CGL make breakers as par sample</t>
  </si>
  <si>
    <t>JJ0J301007</t>
  </si>
  <si>
    <t>Tripping /closing coils, 110 V DC , suitable for 132 kv Areva  make breakers as par sample</t>
  </si>
  <si>
    <t>AA0A002001</t>
  </si>
  <si>
    <t xml:space="preserve">ACSR Moose Conductor </t>
  </si>
  <si>
    <t>AA0A002004</t>
  </si>
  <si>
    <t xml:space="preserve">ACSR Panther Conductor </t>
  </si>
  <si>
    <t>2X2.5mm Control cable (Armoured)</t>
  </si>
  <si>
    <t>4X2.5mm Control cable (Armoured)</t>
  </si>
  <si>
    <t>6X2.5mm Control cable (Armoured)</t>
  </si>
  <si>
    <t>10X2.5mm Control cable (Armoured)</t>
  </si>
  <si>
    <t>II1I104002</t>
  </si>
  <si>
    <t xml:space="preserve">C - Wedge clamps suitable for Zebra to panther conductor </t>
  </si>
  <si>
    <t>NN0N001008</t>
  </si>
  <si>
    <t>33 KV Tripper Feeder Control &amp; Rellay panel</t>
  </si>
  <si>
    <t>KK0K003001</t>
  </si>
  <si>
    <t>132Kv Lighting arrester</t>
  </si>
  <si>
    <t>SS3S301007</t>
  </si>
  <si>
    <t xml:space="preserve">145 KV Isolator  male arm complete with contact assembly  </t>
  </si>
  <si>
    <t>SS3S301001</t>
  </si>
  <si>
    <t xml:space="preserve">145 KV Isolator  female arm complete with contact assembly  </t>
  </si>
  <si>
    <t>SS3S301005</t>
  </si>
  <si>
    <t xml:space="preserve">145 KV Isolator  male  contact assembly  </t>
  </si>
  <si>
    <t>SS3S301006</t>
  </si>
  <si>
    <t xml:space="preserve">145 KV Isolator  Female  contact assembly  </t>
  </si>
  <si>
    <t>FF0F050010</t>
  </si>
  <si>
    <t xml:space="preserve">132 KV Isolator Structure old and used </t>
  </si>
  <si>
    <t>132 KV  Isolator Jaw &amp; blade complete old and used</t>
  </si>
  <si>
    <t>Limit Switch for PRV,2NO,2NC suitable for 40MVA T/F</t>
  </si>
  <si>
    <t>II1I102001</t>
  </si>
  <si>
    <t>C - wedge clamps suitable for ACSR Moose to Moose</t>
  </si>
  <si>
    <t>II1I102003</t>
  </si>
  <si>
    <t>C - wedge clamps suitable for ACSR Moose to Zebra</t>
  </si>
  <si>
    <t>II1I102004</t>
  </si>
  <si>
    <t>C - wedge clamps suitable for ACSR Moose to Panther</t>
  </si>
  <si>
    <t>II1I103001</t>
  </si>
  <si>
    <t>C - wedge clamps suitable for ACSR Deer to Deer</t>
  </si>
  <si>
    <t>33 KV CB connector suitable for twin ACSR Zebra conductor</t>
  </si>
  <si>
    <t>SS5S501014</t>
  </si>
  <si>
    <t>33 KV Isolator clamps suitable for twin ACSR Zebra conductor</t>
  </si>
  <si>
    <t>33 Kv Isolator blades, 1600 capacity complete as per sample</t>
  </si>
  <si>
    <t>33 Kv Isolator Jaws, 1600 capacity with heavy duty aluminium pad for termination 7 G.I. frame as per sample</t>
  </si>
  <si>
    <t>EHV Grade Transformer oil (COLUMBIA-OIL)</t>
  </si>
  <si>
    <t>Ltr</t>
  </si>
  <si>
    <t>SF - 6 Gas</t>
  </si>
  <si>
    <t>Silica gel of best quality</t>
  </si>
  <si>
    <t xml:space="preserve">33 KV Isolator Blades, 1600A </t>
  </si>
  <si>
    <t xml:space="preserve">33 KV Isolator Jows, 1600A </t>
  </si>
  <si>
    <t xml:space="preserve">33 KV Isolator Blades, 800A </t>
  </si>
  <si>
    <t xml:space="preserve">33 KV Isolator Jows, 800A </t>
  </si>
  <si>
    <t>132 KV LA old and used</t>
  </si>
  <si>
    <t>LED Tube light 20 watt</t>
  </si>
  <si>
    <t>CRC  Standard size</t>
  </si>
  <si>
    <t>132 KV Isolator clamp suitable for ACSR panther conductor</t>
  </si>
  <si>
    <t>33 KV Isolator clamp suitable for ACSR panther conductor</t>
  </si>
  <si>
    <t>33 KV Isolator clamp suitable for ACSR Zebra conductor</t>
  </si>
  <si>
    <t>33 KV CT clamp suitable for Single ACSR Zebra conductor</t>
  </si>
  <si>
    <t>33 KV CT clamp suitable for Single ACSR Panther conductor</t>
  </si>
  <si>
    <t>33 KV Isolator clamp suitable for Twin ACSR Zebra conductor</t>
  </si>
  <si>
    <t>33 KV CT clamp suitable for Twin ACSR Zebra conductor</t>
  </si>
  <si>
    <t>132 KV Isolator clamp for Zebra conductor</t>
  </si>
  <si>
    <t>33 KV CT Clamp  for zebra conductor</t>
  </si>
  <si>
    <t>132kv post insuator old and used</t>
  </si>
  <si>
    <t>80 MVA T/F (IMP) Bushing HV line,145 KV, 1200A</t>
  </si>
  <si>
    <t>132 Kv PT Old &amp; Used</t>
  </si>
  <si>
    <t>145KV CT 800/400/200/1A, Accuracy class 1 (old and used)</t>
  </si>
  <si>
    <t>VV6V507003</t>
  </si>
  <si>
    <t>132KV CVT Accuracy class 0.5  (old and used)</t>
  </si>
  <si>
    <t>33 KV Circuit breaker old and used</t>
  </si>
  <si>
    <t>SS4S402013</t>
  </si>
  <si>
    <t>33 Kv Isolator Blade (damaged)</t>
  </si>
  <si>
    <t>48 volt Battery set damaged</t>
  </si>
  <si>
    <t>YY1Y103001</t>
  </si>
  <si>
    <t xml:space="preserve">48 volt Battery charger damaged </t>
  </si>
  <si>
    <t>JJ0J005007</t>
  </si>
  <si>
    <t>33 Kv SF-6 Circuit breaker old &amp; used and totally damaged</t>
  </si>
  <si>
    <t>VV3V305006</t>
  </si>
  <si>
    <t>33 KV CT 800/400/1A (old &amp; Dismantled)</t>
  </si>
  <si>
    <t>VV3V305009</t>
  </si>
  <si>
    <t>33 Kv CT 400/200/1A Damaged</t>
  </si>
  <si>
    <t>Aluminum scrap (Clamp &amp; jumper)</t>
  </si>
  <si>
    <t>33 KV CT 400/200/1A (old &amp; Used )</t>
  </si>
  <si>
    <t>33 KV CT 400/200/1A Totally Damaged</t>
  </si>
  <si>
    <t>33 KV CT 400/200/1A Old and totally Damaged</t>
  </si>
  <si>
    <t>Nuts &amp; bolts and earth flate screap</t>
  </si>
  <si>
    <t>CT JN. Box old damaged &amp; rusted</t>
  </si>
  <si>
    <t>36 Kv SF-6 Circuit Breaker damaged (old &amp; Used)</t>
  </si>
  <si>
    <t>36 KV CT 400/200/1 A damaged (old &amp; used)</t>
  </si>
  <si>
    <t>36 KV CT 800/400/1A old &amp; Used Totally damaged</t>
  </si>
  <si>
    <t>132 KV CT old and damaged ,Ratio 50/1A</t>
  </si>
  <si>
    <t>33 KV CT Old &amp; used and damaged</t>
  </si>
  <si>
    <t>realy old &amp; used and defected</t>
  </si>
  <si>
    <t>33 KV PT Old and Damaged</t>
  </si>
  <si>
    <t>33 KV CT 1600/800/400/1A old &amp; Damaged</t>
  </si>
  <si>
    <t>33 Kv PT Old and Used totally damaged</t>
  </si>
  <si>
    <t>120 KN Disc Insulator old and used</t>
  </si>
  <si>
    <t xml:space="preserve">Deer conductor in pics Old and used </t>
  </si>
  <si>
    <t>mtr.</t>
  </si>
  <si>
    <t>C - wedge clamps Deer to panther Old &amp; used deteriorated</t>
  </si>
  <si>
    <t>33 KV CT Old and Used  (oil leakage)</t>
  </si>
  <si>
    <t>33 KV LA Old &amp; used and Defective</t>
  </si>
  <si>
    <t>Structure of 145KV PI, 120 KV LA, 33 Kv LA etc. old and used</t>
  </si>
  <si>
    <t>33 KV Isolator 1600A Old and used</t>
  </si>
  <si>
    <t>Structure of 145kv PI. old and used</t>
  </si>
  <si>
    <t>132 KV CT difected, old and used</t>
  </si>
  <si>
    <t>33 Kv SF-6 Circuit breaker old &amp; used and damaged (capital)</t>
  </si>
  <si>
    <t>36 KV CT (3 core (1 Phase) 400/200/1A A/C  0.2S</t>
  </si>
  <si>
    <t>36 KV CT (3 core (1 Phase) 800/400/200/1A.  A/C  0.2S</t>
  </si>
  <si>
    <t>120KV LA</t>
  </si>
  <si>
    <t>145KV Isolator Blade  1250Amp.</t>
  </si>
  <si>
    <t>145KV Isolator Jaw with clamp  1250Amp.</t>
  </si>
  <si>
    <t>33KV Isolator Blade  1600Amp.</t>
  </si>
  <si>
    <t>33KV Isolator Jaws  1600Amp.</t>
  </si>
  <si>
    <t>145 KV CVT, 1-Ph. 0.2S/0.2 Accuracy class without Junction box.</t>
  </si>
  <si>
    <t>Power cable Aluminium (PVC),3.5 core,70 sqmm (rmoured)</t>
  </si>
  <si>
    <t>145 KV CT 50/1A A/c 0.2S</t>
  </si>
  <si>
    <t>36 Kv CT( 4 coe) 1600/800/400/1A A/c 0.2S</t>
  </si>
  <si>
    <t>Control Cable 10 X 2.5mm</t>
  </si>
  <si>
    <t>Control Cable 2 X 2.5mm</t>
  </si>
  <si>
    <t>Control Cable 4 X 2.5mm</t>
  </si>
  <si>
    <t>Control Cable 6 X 2.5mm</t>
  </si>
  <si>
    <t>33 KV PT (1 Ph) 3 Core 0.2/0.2S A/C Without JN Box</t>
  </si>
  <si>
    <t>Transformer oil</t>
  </si>
  <si>
    <t>PSDF Stock  Inventory</t>
  </si>
  <si>
    <t>132 KV Current Transformer 1 Ph (1600/800/400/1A)</t>
  </si>
  <si>
    <t>T&amp;P Inventory</t>
  </si>
  <si>
    <t>Alumminum leaders 20' long</t>
  </si>
  <si>
    <t>PP3P301001</t>
  </si>
  <si>
    <t xml:space="preserve">Sefety Helmet </t>
  </si>
  <si>
    <t>PP3P301006</t>
  </si>
  <si>
    <t>Sefety Belt Half Body</t>
  </si>
  <si>
    <t>PP3P301012</t>
  </si>
  <si>
    <t>Hand gloves</t>
  </si>
  <si>
    <t>Pair</t>
  </si>
  <si>
    <t>PP1P144008</t>
  </si>
  <si>
    <t>Earth discharge rod</t>
  </si>
  <si>
    <t xml:space="preserve">Rain coats </t>
  </si>
  <si>
    <t>Centor Table</t>
  </si>
  <si>
    <t>PP4P403003</t>
  </si>
  <si>
    <t xml:space="preserve">Double Bed </t>
  </si>
  <si>
    <t>Matress</t>
  </si>
  <si>
    <t>PP3P301008</t>
  </si>
  <si>
    <t>Gum Boot</t>
  </si>
  <si>
    <t>Table With both side drawer of size 5X3 feet</t>
  </si>
  <si>
    <t>PP4P431005</t>
  </si>
  <si>
    <t>Computer Table with one side drawer on steel frame</t>
  </si>
  <si>
    <t>PP4P401018</t>
  </si>
  <si>
    <t>Steel Almihra with 5 shelves (20-22 gauge)</t>
  </si>
  <si>
    <t>Steel Bench with 3 seats</t>
  </si>
  <si>
    <t>PP4P408020</t>
  </si>
  <si>
    <t>High back Executive chair</t>
  </si>
  <si>
    <t>PP4P408021</t>
  </si>
  <si>
    <t>Low back Executive chair</t>
  </si>
  <si>
    <t>PP4P410012</t>
  </si>
  <si>
    <t>Visitor chair with arm and cushion (Revolving)</t>
  </si>
  <si>
    <t>Biometric Attendance Machine</t>
  </si>
  <si>
    <t>Magger 5KV motorized</t>
  </si>
  <si>
    <t xml:space="preserve">Digitel multi meter </t>
  </si>
  <si>
    <t>Spliced ladders 10 mtr</t>
  </si>
  <si>
    <t xml:space="preserve">Rain coat and Gum boot each </t>
  </si>
  <si>
    <t>Earth resistance tester</t>
  </si>
  <si>
    <t>D - Spaner set (insulated), Ring spaner set (insulated) &amp; Torque wrench set complete with all standard size</t>
  </si>
  <si>
    <t>Leakage tester (tong type)</t>
  </si>
  <si>
    <t>SF - 6 gas refilling device</t>
  </si>
  <si>
    <t>Insulating Gloves</t>
  </si>
  <si>
    <t>Helmet</t>
  </si>
  <si>
    <t>Oil sampling Bottel stainless steel 02 Liter Capacity</t>
  </si>
  <si>
    <t>PP1P123005</t>
  </si>
  <si>
    <t>Oil testing set</t>
  </si>
  <si>
    <t>PP2P211002</t>
  </si>
  <si>
    <t xml:space="preserve">Vaccum cleaner </t>
  </si>
  <si>
    <t xml:space="preserve">Assessorice of Vaccum cleaner </t>
  </si>
  <si>
    <t>PP2P204008</t>
  </si>
  <si>
    <t>Magger 2.5Kv u/s</t>
  </si>
  <si>
    <t>PP1P142002</t>
  </si>
  <si>
    <t>Torch 3 cells u/s</t>
  </si>
  <si>
    <t>PP1P142003</t>
  </si>
  <si>
    <t>Torch 2 cells u/s</t>
  </si>
  <si>
    <t>Bomboo leaders long u/s</t>
  </si>
  <si>
    <t>Bomboo leaders  20' long u/s</t>
  </si>
  <si>
    <t>Name of Circle/ Zone:-400kv o&amp;m circle Kashipur</t>
  </si>
  <si>
    <t>132kv s/s Bazpur</t>
  </si>
  <si>
    <t>Name of Division  132 KV O&amp;M Div. PTCUL KASHIPUR</t>
  </si>
  <si>
    <t>Stock Inventory for the Month of  August.2026</t>
  </si>
  <si>
    <t xml:space="preserve">Book Value </t>
  </si>
  <si>
    <t>Unit Rate</t>
  </si>
  <si>
    <t>Double Tention fitting for panther conductor.</t>
  </si>
  <si>
    <t>II3I305004</t>
  </si>
  <si>
    <t>Armour rod for panther conductor.</t>
  </si>
  <si>
    <t>II3I308001</t>
  </si>
  <si>
    <t>Bird Guard.</t>
  </si>
  <si>
    <t>Mid span joint for panther conductor.</t>
  </si>
  <si>
    <t>Ropier slave for panther conductor.</t>
  </si>
  <si>
    <t>FF0F013001</t>
  </si>
  <si>
    <t>A' Normal Tower.</t>
  </si>
  <si>
    <t>KG</t>
  </si>
  <si>
    <t>120 KN Disc Insulator.</t>
  </si>
  <si>
    <t>ACSR Panther conductor old &amp; used.</t>
  </si>
  <si>
    <t>Single tension fitting suitable for panther conductor.</t>
  </si>
  <si>
    <t>Repair sleeve.</t>
  </si>
  <si>
    <t>II5I504005</t>
  </si>
  <si>
    <t>single Suspension fitting suitable for panther conductor.</t>
  </si>
  <si>
    <t>Repair sleeve suitable for ACSR panther conductor.</t>
  </si>
  <si>
    <t>Repair sleeve suitable for GS earth wire 7/10 SWG.</t>
  </si>
  <si>
    <t>II3I304001</t>
  </si>
  <si>
    <t>GI hanger as per sample.</t>
  </si>
  <si>
    <t>Vibration damper suitable for ACSR Panther conductor.</t>
  </si>
  <si>
    <t>II3I303009</t>
  </si>
  <si>
    <t>vibration damper suitable for GS earth wire 7/10 SWG.</t>
  </si>
  <si>
    <t>Tension fitting suitable for GS Earth 7/10 SWG.</t>
  </si>
  <si>
    <t>Suspension fitting suitable for GS earth wire 7/10SWG.</t>
  </si>
  <si>
    <t xml:space="preserve"> Scrap</t>
  </si>
  <si>
    <t>Earth wire old &amp; used,rusted and deteriorated</t>
  </si>
  <si>
    <t>70KN Disc insulator ( Damaged , old &amp; used)</t>
  </si>
  <si>
    <t xml:space="preserve"> T&amp;P</t>
  </si>
  <si>
    <t>PP0P012005</t>
  </si>
  <si>
    <t>Binacular camera</t>
  </si>
  <si>
    <t>JE Name</t>
  </si>
  <si>
    <t xml:space="preserve">AE Name </t>
  </si>
  <si>
    <t>EE Name</t>
  </si>
  <si>
    <t xml:space="preserve">Name of Zone -Kumoun Zone </t>
  </si>
  <si>
    <t xml:space="preserve">                             stock</t>
  </si>
  <si>
    <t>STOCK</t>
  </si>
  <si>
    <t>For the Month   of  August- 2026</t>
  </si>
  <si>
    <t xml:space="preserve">Name of Circule -Kashipur Circle </t>
  </si>
  <si>
    <t>Stock</t>
  </si>
  <si>
    <t>M/O -August-26</t>
  </si>
  <si>
    <t>Name of Division -132 KV O&amp;M Division Kashipur</t>
  </si>
  <si>
    <t>Name of Sub- Station -132 KV S/S Ramnagar</t>
  </si>
  <si>
    <t>FF2F201004</t>
  </si>
  <si>
    <t>36 mm MS Round</t>
  </si>
  <si>
    <t>FF0F050008</t>
  </si>
  <si>
    <t>Gal. S/S strecture ATM</t>
  </si>
  <si>
    <t>FF0F050009</t>
  </si>
  <si>
    <t>Gal. S/S strecture AXM</t>
  </si>
  <si>
    <t>FF0F050014</t>
  </si>
  <si>
    <t>Gal. S/S strecture BTM</t>
  </si>
  <si>
    <t>FF0F050019</t>
  </si>
  <si>
    <t>Gal. S/S strecture CCM</t>
  </si>
  <si>
    <t>CC1C103009</t>
  </si>
  <si>
    <t>95mm2 ,3 1/2 Al. Cable</t>
  </si>
  <si>
    <t>Control Cable 6x2.5mm2</t>
  </si>
  <si>
    <t>MM0M007004</t>
  </si>
  <si>
    <t xml:space="preserve">OSR relay suitable for NGEF make 20 MVA T/f </t>
  </si>
  <si>
    <t>Fired C-Wedge clamp suitable for Panther to Panther</t>
  </si>
  <si>
    <t>VV4V305013</t>
  </si>
  <si>
    <t>33 KV CT(200/ 100/1A) old and used</t>
  </si>
  <si>
    <t>Trip coil 110 Vsuitable for CGL make 132 KV Circuit Breader</t>
  </si>
  <si>
    <t>PG Clamp Zebra  to Zebra</t>
  </si>
  <si>
    <t>JJ5J501023</t>
  </si>
  <si>
    <t>Eye bolt suitable for 33 KV BHEL make VCB Circuit breaker.</t>
  </si>
  <si>
    <t>2.5mm2x2 core control cable</t>
  </si>
  <si>
    <t>2.5mm2x4 Core Control Cable</t>
  </si>
  <si>
    <t>VV3V303001</t>
  </si>
  <si>
    <t>132KV CT  1 Phase Heptacare Power (PSDF)</t>
  </si>
  <si>
    <t>SS4S402011</t>
  </si>
  <si>
    <t>Blades for 33 KV isolator</t>
  </si>
  <si>
    <t xml:space="preserve">Tension fitting </t>
  </si>
  <si>
    <t>VV3V305008</t>
  </si>
  <si>
    <t>Old used and defective 33 KV CT 3Core 400/200/1A Hepta Care</t>
  </si>
  <si>
    <t>FF1F107002</t>
  </si>
  <si>
    <t>GI foundation Anchor bolt (size 28 mm)</t>
  </si>
  <si>
    <t>FF1F107001</t>
  </si>
  <si>
    <t>GI foundation Anchor bolt (size32 mm)</t>
  </si>
  <si>
    <t>33 KV Lightning arrestor with all accessories and surge counter</t>
  </si>
  <si>
    <t>Complete damage  145 KV CT</t>
  </si>
  <si>
    <t>Old &amp; Used  damaged  of 3 core 33 KV CT</t>
  </si>
  <si>
    <t>YY0Y002005</t>
  </si>
  <si>
    <t>Old used and damaged battery bak of  110 Volt</t>
  </si>
  <si>
    <t>PP2P221002</t>
  </si>
  <si>
    <t>Old  used  &amp; damaged exghaust fan of 18" size</t>
  </si>
  <si>
    <t>YY0Y003010</t>
  </si>
  <si>
    <t>Old used and damaged battery   Cell of 2 Volt 300 Ah</t>
  </si>
  <si>
    <t>SS6S604001</t>
  </si>
  <si>
    <t>Auxllary contractor operating 110 Volt DC</t>
  </si>
  <si>
    <t>Zebra to Panther Clamp</t>
  </si>
  <si>
    <t>Control Cable 2.5 Sqmmx6 Core</t>
  </si>
  <si>
    <t>CC0C003010</t>
  </si>
  <si>
    <t>Control Cable armoed  2.5 Sqmmx10 Core</t>
  </si>
  <si>
    <t xml:space="preserve">36 KV CT (3 Core) (1 Phase) 400/200/1 A, 0.2s accuracy </t>
  </si>
  <si>
    <t>2.5 mm2* 4core control cable in piesces</t>
  </si>
  <si>
    <t>CC0C002008</t>
  </si>
  <si>
    <t>2.5 mm2*10 core control cable inpisces</t>
  </si>
  <si>
    <t>VV3V303005</t>
  </si>
  <si>
    <t>132 Kv CT 200/100/1 A. Old &amp;Used</t>
  </si>
  <si>
    <t>132 KV LA Old &amp; Used</t>
  </si>
  <si>
    <t>33 KV  CT 800/400/200/1A . Old &amp; Used</t>
  </si>
  <si>
    <t>33 Kv LA Old &amp; Used</t>
  </si>
  <si>
    <t>33 KV LA Damaged</t>
  </si>
  <si>
    <t>NO.</t>
  </si>
  <si>
    <t>VV6V507004</t>
  </si>
  <si>
    <t>Old used and defective 132 KV CVT</t>
  </si>
  <si>
    <t>JJ7J707001</t>
  </si>
  <si>
    <t xml:space="preserve">New SF-6 Gas cylinder </t>
  </si>
  <si>
    <t>VV1V103016</t>
  </si>
  <si>
    <t>40 MVA T/F LV SideBushing Terminal  ConnectorFor ACSR Panthor Conductor</t>
  </si>
  <si>
    <t>VV1V103019</t>
  </si>
  <si>
    <t>20 MVA T/F HV SideBushing Terminal  ConnectorFor ACSR Panthor Conductor</t>
  </si>
  <si>
    <t>VV1V103020</t>
  </si>
  <si>
    <t>20 MVA T/F LV SideBushing Terminal  ConnectorFor ACSR Panthor Conductor</t>
  </si>
  <si>
    <t>33 KV Circuit Breaker Terminal   Connector For ACSR Panthor  conductor</t>
  </si>
  <si>
    <t>33 KV Circuit Breaker Terminal   Connector For ACSR  Zebra  conductor</t>
  </si>
  <si>
    <t>II0I002005</t>
  </si>
  <si>
    <t>33 KV main bus clamp For ACSR Taramtulla to Panthor  conductor</t>
  </si>
  <si>
    <t>II0I002004</t>
  </si>
  <si>
    <t>33 KV main bus clamp For ACSR Taramtulla to zebra conductor</t>
  </si>
  <si>
    <t>SS5S501006</t>
  </si>
  <si>
    <t>33 KV  Main bus Isolator Connector For ACSR taramtula  conductor</t>
  </si>
  <si>
    <t>JJ8J801011</t>
  </si>
  <si>
    <t>Terminal connector  for 132 KV CGL  make C.B</t>
  </si>
  <si>
    <t>Terminal connector  for 132 KV  C.B</t>
  </si>
  <si>
    <t>VV7V701010</t>
  </si>
  <si>
    <t xml:space="preserve">Terminal connector  for 132 KV  CVT </t>
  </si>
  <si>
    <t>Terminal connector   required for HV  Bushing of 20 MVA T/F</t>
  </si>
  <si>
    <t>Terminal connector   required for LV  Bushing of 20 MVA T/F</t>
  </si>
  <si>
    <t>Terminal connector   required for HV  Bushing of 40 MVA T/F</t>
  </si>
  <si>
    <t>VV1V103015</t>
  </si>
  <si>
    <t>Terminal connector   required for LV Bushing of 40 MVA T/F</t>
  </si>
  <si>
    <t>JJ8J801010</t>
  </si>
  <si>
    <t xml:space="preserve">Terminal connector  for 33  KV Circuit Breaker   </t>
  </si>
  <si>
    <t>JJ3J301019</t>
  </si>
  <si>
    <t xml:space="preserve">Contactor 110 V DC for 132 KV  Circuit Breaker </t>
  </si>
  <si>
    <t xml:space="preserve">Contactor 110 V DC for 33 KV  Circuit Breaker </t>
  </si>
  <si>
    <t>SS6S606003</t>
  </si>
  <si>
    <t>Contractor for fan control of 40 MVA T/F</t>
  </si>
  <si>
    <t>SS7S704001</t>
  </si>
  <si>
    <t>MCB Three Pole 32 Amp</t>
  </si>
  <si>
    <t xml:space="preserve">Coil 110 V DC for 132 KV  Circuit Breaker </t>
  </si>
  <si>
    <t>LL6L601006</t>
  </si>
  <si>
    <t>Multi Stand 2.5 mm Sqr Copper wire of different colour</t>
  </si>
  <si>
    <t>33KV LA(OLD &amp; USED)</t>
  </si>
  <si>
    <t>ACSR Zebra conductor</t>
  </si>
  <si>
    <t>VV2V203001</t>
  </si>
  <si>
    <t>Silika Gel</t>
  </si>
  <si>
    <t>VV3V303003</t>
  </si>
  <si>
    <t>145 KV CT400/ 200/ 100/1A Damaged (Received back)</t>
  </si>
  <si>
    <t>VV5V407023</t>
  </si>
  <si>
    <t>CT Clamp (Old &amp; Used) Receive back</t>
  </si>
  <si>
    <t>VV6V505002</t>
  </si>
  <si>
    <t xml:space="preserve">33KV PT Damaged Receive Back </t>
  </si>
  <si>
    <t>II0I006001</t>
  </si>
  <si>
    <t>PG CLAMP P TO P</t>
  </si>
  <si>
    <t>YY0Y003005</t>
  </si>
  <si>
    <t xml:space="preserve">2V 300AH Low maintinance (VRLA) Dri Cell  Old &amp; Used </t>
  </si>
  <si>
    <t>145 KV CVT Receive Back ( Make- CGL) Old &amp; Used</t>
  </si>
  <si>
    <t xml:space="preserve">132 KV CT 1600/800/400/1A Old &amp; Used </t>
  </si>
  <si>
    <t>JJ3J301006</t>
  </si>
  <si>
    <t xml:space="preserve">Tripping &amp; Closing coil Complete with assembly </t>
  </si>
  <si>
    <t>Limit switch 1 No + 1Nc  for 132 KV CB</t>
  </si>
  <si>
    <t>Numerical T/F Diffrential  protection Relay ( E Scrap)</t>
  </si>
  <si>
    <t>36 KV CT3 Core 400/200/1A (Old &amp; Used)</t>
  </si>
  <si>
    <t>Nut &amp; Bolts with washer</t>
  </si>
  <si>
    <t>Received33 KV CT 3Core 800/400/1A(Old&amp; Used)</t>
  </si>
  <si>
    <t>PVC Cable Various Cores In Pieces (Old &amp; Used )</t>
  </si>
  <si>
    <t>MTr</t>
  </si>
  <si>
    <t>Received Back PG Clamp (Z To P ) Old &amp; Used</t>
  </si>
  <si>
    <t>ACSR Panthor Conductor in pieces (Old &amp; Used)</t>
  </si>
  <si>
    <t>145 KV CT 400/200/1 A (Damaged)</t>
  </si>
  <si>
    <t>145 KV CT 400/200/1 A Heptacare Accuracy 0.2</t>
  </si>
  <si>
    <t>33 KV CT 400/200/1 A (old &amp; Used)</t>
  </si>
  <si>
    <t>ACSR zebra conductor</t>
  </si>
  <si>
    <t xml:space="preserve">630 KVA ,33 /.4  KV T/F bournt out  </t>
  </si>
  <si>
    <t>145 KV ,800 Amp lightening ,impluse 650 Kvp Creepersdistance 3625 mmHV line OIP bushing of 40 MVA 132/33KV T/F</t>
  </si>
  <si>
    <t xml:space="preserve">Total Amt. of Useable </t>
  </si>
  <si>
    <t xml:space="preserve">Total Amt. of Unserviceable </t>
  </si>
  <si>
    <t>Total Amt. of Non. Moving</t>
  </si>
  <si>
    <t xml:space="preserve">Total Amt. of obsolete </t>
  </si>
  <si>
    <t>Total Amt. of Scrap</t>
  </si>
  <si>
    <t>Name of Zone: Kumoun Zone</t>
  </si>
  <si>
    <t>Month</t>
  </si>
  <si>
    <t>Name of Circle: Kashipur</t>
  </si>
  <si>
    <t>Name of Division:- 220 KV O&amp;M Division Mahuakheraganj</t>
  </si>
  <si>
    <t>Name of Substation:- 220 KV Substation Mahuakheraganj</t>
  </si>
  <si>
    <t>ACSR Conductor Zebra</t>
  </si>
  <si>
    <t>ACSR Conductor Panther</t>
  </si>
  <si>
    <t>GI Earth Wire 7/10 SWG</t>
  </si>
  <si>
    <t xml:space="preserve"> IPS Aluminium Tube 4"</t>
  </si>
  <si>
    <t xml:space="preserve">PVC Control Cable  - W/o Armoured- 6x2.5mm </t>
  </si>
  <si>
    <t>HF Cable -Longest optical cable -</t>
  </si>
  <si>
    <t>Tower Parts- GI</t>
  </si>
  <si>
    <t>kg</t>
  </si>
  <si>
    <t xml:space="preserve">Line Isolator 220 KV Motorized with Earth Switch </t>
  </si>
  <si>
    <t>no</t>
  </si>
  <si>
    <t xml:space="preserve">Line Isolator 132 KV Motorized with Earth Switch </t>
  </si>
  <si>
    <t xml:space="preserve">220 KV Isolater Spare Support Insulator </t>
  </si>
  <si>
    <t>220 KV Isolater Spare Switch  220V Limit Switch for Motorized Isolators</t>
  </si>
  <si>
    <t>132 KV Isolater Spare Blade Male contact</t>
  </si>
  <si>
    <t xml:space="preserve">220 KV Isolater Spare Switch  Control switch </t>
  </si>
  <si>
    <t xml:space="preserve">33 KV Isolater Spare Isolator Rotating Assembly Motorized operating mechanism for Isolator </t>
  </si>
  <si>
    <t xml:space="preserve"> Disc Insulator  160 KN   Porceline</t>
  </si>
  <si>
    <t xml:space="preserve"> Disc Insulator  120 KN   Porceline</t>
  </si>
  <si>
    <t xml:space="preserve"> Disc Insulator   90 KN   </t>
  </si>
  <si>
    <t xml:space="preserve"> Disc Insulator  11 KV     (11500 kg X pin</t>
  </si>
  <si>
    <t>PG Clamp   Moose -   Moose</t>
  </si>
  <si>
    <t>PG Clamp  Moose-  Panther</t>
  </si>
  <si>
    <t>PG Clamp  Zebra-  Zebra</t>
  </si>
  <si>
    <t>PG Clamp  Panther-  Panther</t>
  </si>
  <si>
    <t xml:space="preserve"> C-wedge Clamp  Moose-  Moose</t>
  </si>
  <si>
    <t xml:space="preserve"> C-wedge Clamp  Zebra-  Zebra</t>
  </si>
  <si>
    <t xml:space="preserve"> C-wedge Clamp  Panther-  Panther</t>
  </si>
  <si>
    <t xml:space="preserve">  Cleat type Clamp   7/10 SWG</t>
  </si>
  <si>
    <t xml:space="preserve">  Mid Span Joint   Zebra</t>
  </si>
  <si>
    <t xml:space="preserve">  Mid Span Joint   Panther</t>
  </si>
  <si>
    <t xml:space="preserve">  Mid Span Joint   7/10 SWG</t>
  </si>
  <si>
    <t xml:space="preserve">  Repair Sleeve   Zebra</t>
  </si>
  <si>
    <t xml:space="preserve">  Repair Sleeve   Panther</t>
  </si>
  <si>
    <t xml:space="preserve">  Repair Sleeve   7/10 SWG</t>
  </si>
  <si>
    <t xml:space="preserve">  Bird Guard  </t>
  </si>
  <si>
    <t xml:space="preserve">  Spacers  Quard Moose</t>
  </si>
  <si>
    <t xml:space="preserve">  Spacers  Twin Moose</t>
  </si>
  <si>
    <t xml:space="preserve">  Single Tension Fitting   7/10 SWG</t>
  </si>
  <si>
    <t xml:space="preserve">  Double Tension Fitting   Panther</t>
  </si>
  <si>
    <t xml:space="preserve">  Single Suspension Fitting   Zebra</t>
  </si>
  <si>
    <t xml:space="preserve">  Single Suspension Fitting   Panther</t>
  </si>
  <si>
    <t xml:space="preserve">  Double Suspension Fitting   Panther</t>
  </si>
  <si>
    <t>No/set</t>
  </si>
  <si>
    <t>Circuit Breaker Sapres   220KV   Trip Coil Assembly</t>
  </si>
  <si>
    <t>Circuit Breaker Sapres   220KV   Closing Coil Assembly</t>
  </si>
  <si>
    <t>Circuit Breaker Sapres   220KV   Poles</t>
  </si>
  <si>
    <t>Circuit Breaker Sapres   132KV   Poles</t>
  </si>
  <si>
    <t>Circuit Breaker Sapres   220KV   Pressure Switch</t>
  </si>
  <si>
    <t>Circuit Breaker Sapres   132KV   220V DC Trip Coil Assembly</t>
  </si>
  <si>
    <t>Circuit Breaker Sapres   132KV   220V DC Closing Coil Assembly</t>
  </si>
  <si>
    <t>Circuit Breaker Sapres   132KV   Pressure Switch</t>
  </si>
  <si>
    <t>Circuit Breaker Auxiliary switch   Limit switch 220V DC</t>
  </si>
  <si>
    <t xml:space="preserve">   Circuit Breaker Auxiliary switch   Density moniter switch</t>
  </si>
  <si>
    <t xml:space="preserve">   Circuit Breaker Auxiliary Contact    13No+13NC</t>
  </si>
  <si>
    <t xml:space="preserve">   Spring oprating Mechanism   Triping spring</t>
  </si>
  <si>
    <t xml:space="preserve">Circuit Breaker    Accessories   Molecular filter </t>
  </si>
  <si>
    <t>Circuit Breaker    Accessories   Opening Latch gear</t>
  </si>
  <si>
    <t>Circuit Breaker    Accessories   Opening dash pot</t>
  </si>
  <si>
    <t>Circuit Breaker    Accessories   Closing dash pot</t>
  </si>
  <si>
    <t>Circuit Breaker    Accessories   Closing Latch gear</t>
  </si>
  <si>
    <t>Circuit Breaker    Accessories   Operating counter</t>
  </si>
  <si>
    <t>Circuit Breaker    Accessories   Operation counter</t>
  </si>
  <si>
    <t xml:space="preserve">Miscellaneous Panel Spare - Switch - Control switch for breaker </t>
  </si>
  <si>
    <t>Lighting Arrestor 220 KV</t>
  </si>
  <si>
    <t>Lighting Arrestor 33 KV</t>
  </si>
  <si>
    <t xml:space="preserve"> Bus Post Insulator  (without corona ring) with creepage distance of 6125 mm. - 245 kV</t>
  </si>
  <si>
    <t xml:space="preserve"> Bus Post Insulator  (without corona ring) with creepage distance of 3625 mm. - 145 kV</t>
  </si>
  <si>
    <t>Relay - Trip circuit supervision relay - Trip ckt supervision relay</t>
  </si>
  <si>
    <t>Relay - Auxiliary relay - Auxiliary relay  220V</t>
  </si>
  <si>
    <t>Relay - Phase failure relay - Phase failure relay with UV/OV Relay (Minilec) auto reset, system voltage 415V AC</t>
  </si>
  <si>
    <t>Relay - Diffrential Relay - Transformer differential protection relay with assesiores</t>
  </si>
  <si>
    <t>Relay - Diffrential Relay - Reactor differential protection relayincluding all aux. CT and associated software</t>
  </si>
  <si>
    <t>Relay - Disturbance Recorder - Disturbance recorder acquisition unitswith Software</t>
  </si>
  <si>
    <t>Relay - Distance to fault locator - including mutual compasation units</t>
  </si>
  <si>
    <t>Relay - Over load relay - with timer</t>
  </si>
  <si>
    <t>Relay - Back up for protection relay - Back up for protection relay with 3O/C and 1 E/F element</t>
  </si>
  <si>
    <t>Relay - Back up impedance relay - Back up impedance relay</t>
  </si>
  <si>
    <t>Relay - Back up impedance relay - Back up imp relay</t>
  </si>
  <si>
    <t>Relay - Restricted earth fault protection relay - with Non-linear resistor Type- SR350 relay</t>
  </si>
  <si>
    <t>Relay - Over Fluxing Relay  - Over fluxing relay</t>
  </si>
  <si>
    <t>Relay - DC supervision relay - 220 KV &amp; 132KV</t>
  </si>
  <si>
    <t>Relay - Self reset trip relay - self reset trip relay for 220 Kv &amp; 132 KV</t>
  </si>
  <si>
    <t>Relay - Hand reset trip relay - Hand reset trip relay for 220 KV &amp; 132 KV</t>
  </si>
  <si>
    <t>Relay - Auto Reclose Relay - with Check Synchronising Relay and Dead Line Charging Relay(RAAAM) for 400, 220 &amp;132 KV</t>
  </si>
  <si>
    <t>Relay - Breaker failure relay - for 220 KV</t>
  </si>
  <si>
    <t>Relay - Breaker failure relay - for 132 KV@240</t>
  </si>
  <si>
    <t>Relay - Flag relay - Flag relay 220 KV &amp; 132 KV</t>
  </si>
  <si>
    <t>Relay - Definite time relay - Definite time relay</t>
  </si>
  <si>
    <t>Relay - Timer Relay - for 220 KV &amp; 132 KV</t>
  </si>
  <si>
    <t>Relay - Over Voltage Protection Relay - over voltage protection relay with timers</t>
  </si>
  <si>
    <t xml:space="preserve">Relay - TP Deffental Proction Relay Setting 10-40% Ctr-1a Supply 220VDC - </t>
  </si>
  <si>
    <t xml:space="preserve">Relay - TP O/C Relay 50-200%(Valtage Operated O CTR 1A, 90.3SEC) 220VDC  - </t>
  </si>
  <si>
    <t xml:space="preserve">Relay - 220VDC Earth Leakage Relay,Satting 3.7MA AUX Supply 230VAC  - </t>
  </si>
  <si>
    <t xml:space="preserve">Relay - TP Istant O/C Relay With Adj Defl Mani Time CTR-1A,200-800%  - </t>
  </si>
  <si>
    <t xml:space="preserve">Relay - Master Trip Relay Aux. Supply 220VDC 4NO+1 No.  - </t>
  </si>
  <si>
    <t xml:space="preserve">Relay - Insant E/F Relay With Adj Deft Mini Time,Ctr-1a,10-40%  220VDC  - </t>
  </si>
  <si>
    <t xml:space="preserve">Miscellaneous Panel Spare - Switch - AIR BREAKER SWITCH ,250A,220VDC,  DP SWITCH </t>
  </si>
  <si>
    <t>Miscellaneous Panel Spare - Switch - BREAKER CONTROL SWITCH DP 25A</t>
  </si>
  <si>
    <t>Miscellaneous Panel Spare - Selector Switch - Volt meter-220 KV   &amp; 132 kV</t>
  </si>
  <si>
    <t>Miscellaneous Panel Spare - Selector Switch - DP,16A,ON-OFF</t>
  </si>
  <si>
    <t>Miscellaneous Panel Spare - Selector Switch - AMMTER-10A</t>
  </si>
  <si>
    <t>Miscellaneous Panel Spare - Selector Switch - AMMTER-6A</t>
  </si>
  <si>
    <t>Miscellaneous Panel Spare - Selector Switch - A/M -1P,2W,W/O OFF,6A</t>
  </si>
  <si>
    <t>Miscellaneous Panel Spare - Selector Switch - A/M -3P,2W,W/O OFF,6A</t>
  </si>
  <si>
    <t>Miscellaneous Panel Spare - Selector Switch - Synchornizing Selector Switch 220 KV &amp; 132 KV</t>
  </si>
  <si>
    <t>Miscellaneous Panel Spare - Synchornizing socket - 220 KV &amp; 132 KV</t>
  </si>
  <si>
    <t xml:space="preserve">Analog Meter - Frequency Meter - Frequency meter </t>
  </si>
  <si>
    <t>Analog Meter - Voltmeter - with Transducer for 132 KV</t>
  </si>
  <si>
    <t>Analog Meter - Voltmeter -  0-500V 415VAC</t>
  </si>
  <si>
    <t>Analog Meter - Voltmeter -  0-500V,PTR-415VAC</t>
  </si>
  <si>
    <t>Analog Meter - Voltmeter -  DC-75-0-75V WITH DC SHUNT CL-0 75MV</t>
  </si>
  <si>
    <t>Analog Meter - Ampere Meter - 0-1000A CTR CL-1.5</t>
  </si>
  <si>
    <t>Analog Meter - Ampere Meter -  0-400 CTR CL-1.5</t>
  </si>
  <si>
    <t>Analog Meter - Ampere Meter - Amp meter DC -WITH DC SHUNT 0-75MV 90-0-200A</t>
  </si>
  <si>
    <t>Analog Meter - Ampere Meter - Amp meter with transducer for 220 KV &amp; 132KV</t>
  </si>
  <si>
    <t>Digital Meter - KWH (Energy meter) - KWH METER 3P,4W,LEAST COUNT-1KWH</t>
  </si>
  <si>
    <t>Digital Meter - KW METER - KW METER 3P,4W,CTR-1A,90-800KWO</t>
  </si>
  <si>
    <t>Miscellaneous- - Card  - Carrier Equipment of Each type</t>
  </si>
  <si>
    <t>Miscellaneous- - Power supply  - module of Bus- bar protection</t>
  </si>
  <si>
    <t>Miscellaneous- - merosil - (Non linear resistor )</t>
  </si>
  <si>
    <t xml:space="preserve">Miscellaneous- - CT &amp; PTs - Inter-posing CT &amp; PTs each type </t>
  </si>
  <si>
    <t>plcc(carrier) Miscellaneous-items------ - Telephone 4 wire with necessary connecting cable - Telephone 4 wire with necessary connecting cable</t>
  </si>
  <si>
    <t>plcc(carrier) Miscellaneous-items------ - Co-axial connector - Co-axial connector</t>
  </si>
  <si>
    <t>plcc(carrier) Miscellaneous-items------ - Straight through joint - Straight through joint</t>
  </si>
  <si>
    <t>plcc(carrier) Miscellaneous-items------ - Switch - Switch of each type (01 No. 8 LAN port Ethenet switch)</t>
  </si>
  <si>
    <t xml:space="preserve">Contactor  Air Break    30 Amp </t>
  </si>
  <si>
    <t xml:space="preserve">MCB  50 V DC  32 A  </t>
  </si>
  <si>
    <t>MCCB  415 Volt AC    Four pole 400A, Thermal Mag 80-100% setting</t>
  </si>
  <si>
    <t>MCCB  415 Volt AC   Four pole 63A,  10ka Thermal Mag 80-100% setting</t>
  </si>
  <si>
    <t>MCCB  415 Volt AC    Four pole 32A, Thermal Mag 80-100% setting</t>
  </si>
  <si>
    <t>MCCB  220V DC  Double Pole  250A, 4ka Thermal Mag 80-100% setting</t>
  </si>
  <si>
    <t>MCCB  48V DC   Double Pole 250A, 4ka Thermal Mag 80-100% setting</t>
  </si>
  <si>
    <t xml:space="preserve">Annunciations Annunciations windows with necessary Annunciation relay for 220 KV &amp; 132 KV </t>
  </si>
  <si>
    <t xml:space="preserve">  Terminal connector for bushing.  HV-100 MVA</t>
  </si>
  <si>
    <t xml:space="preserve">  Terminal connector for bushing.  LV-100 MVA</t>
  </si>
  <si>
    <t xml:space="preserve">  Terminal connector for bushing.  HV-80 MVA</t>
  </si>
  <si>
    <t xml:space="preserve"> Oil  Transformer Oil</t>
  </si>
  <si>
    <t>LTR</t>
  </si>
  <si>
    <t>Current Transformer   145KV  800/400/1 A  5 core Accuracy 0.2</t>
  </si>
  <si>
    <t>Current Transformer   145KV 400/200/1A  5 core Accuracy 0.2</t>
  </si>
  <si>
    <t xml:space="preserve"> PT (Potential Transformer) PT 1-phase, 33KV/110 Volt -</t>
  </si>
  <si>
    <t xml:space="preserve"> Grading capacitors  220KV </t>
  </si>
  <si>
    <t xml:space="preserve"> Grading capacitors  132KV </t>
  </si>
  <si>
    <t xml:space="preserve">Battery Charger Relay  220V DC  DC Instant U/V Relay With Contineous Setting 40-48%AUX </t>
  </si>
  <si>
    <t>Battery Charger Relay  220V DC  Instant ,O/V Relay Setting 110% Aux 230VAC</t>
  </si>
  <si>
    <t xml:space="preserve">Battery Charger Relay  220V DC  Instant  ,O/V Relay Setting 95% Aux 230VAC </t>
  </si>
  <si>
    <t xml:space="preserve">Battery Charger Relay  220V DC  Set of Rely </t>
  </si>
  <si>
    <t xml:space="preserve">Battery Charger Relay 48V DC  Instant  ,U/V Relay Setting 95% Aux 230VAC </t>
  </si>
  <si>
    <t xml:space="preserve">Battery Charger Relay 48V DC  Instant  ,O/V Relay Setting 110% Aux 230VAC </t>
  </si>
  <si>
    <t>Battery Charger Spares 220V DC Thyristor/diode</t>
  </si>
  <si>
    <t xml:space="preserve">Battery Charger Spares 220V DC Set of conntractor </t>
  </si>
  <si>
    <t xml:space="preserve">Battery Charger Spares 220V DC Set of woun resistor </t>
  </si>
  <si>
    <t xml:space="preserve">Battery Charger Spares 220V DC Set of Switches </t>
  </si>
  <si>
    <t xml:space="preserve">Battery Charger Spares 220V DC Potentiometer </t>
  </si>
  <si>
    <t xml:space="preserve">Battery Charger Spares 48V DC Fuse of thyristor with indicator </t>
  </si>
  <si>
    <t xml:space="preserve">Battery Charger Spares 48V DC Set of wound resistor </t>
  </si>
  <si>
    <t xml:space="preserve">Battery Charger Spares 48V DC Set of Switches </t>
  </si>
  <si>
    <t xml:space="preserve">Battery Charger Spares 48V DC Potentiometer </t>
  </si>
  <si>
    <t>Battery  Spares Inter cell connector with bolts and nuts for 300 AH</t>
  </si>
  <si>
    <t>Rubber Gaskets rings and seals for SF6 gas (complete replacement for one breaker)</t>
  </si>
  <si>
    <t>Closing coils with resistors.</t>
  </si>
  <si>
    <t>fixed, moving and arcing contacts including insulating nozzles for one pole of CB.</t>
  </si>
  <si>
    <t>Pressure gauges &amp; coupling devices of each type.</t>
  </si>
  <si>
    <t>All types of coupling for SF6 gas.</t>
  </si>
  <si>
    <t>Terminal pads and connectors.</t>
  </si>
  <si>
    <t>Corona rings.</t>
  </si>
  <si>
    <t>Control Relay.</t>
  </si>
  <si>
    <t>Control Valves.</t>
  </si>
  <si>
    <t>Copper contact fingers for female and male contacts.</t>
  </si>
  <si>
    <t>Terminals Connectors.</t>
  </si>
  <si>
    <t xml:space="preserve"> No.</t>
  </si>
  <si>
    <t>Terminal Pads.</t>
  </si>
  <si>
    <t>Rotor housing bearing assembly.</t>
  </si>
  <si>
    <t>Corona shielding ring of each type.</t>
  </si>
  <si>
    <t>Bearings .</t>
  </si>
  <si>
    <t>Interlocking coils with resistor.</t>
  </si>
  <si>
    <t>Rubber gaskets rings and seals for SF6 gas (complete replacement for one breaker).</t>
  </si>
  <si>
    <t>Trip coils with resistor.</t>
  </si>
  <si>
    <t>Closing coils with resistorss.</t>
  </si>
  <si>
    <t>Fixed, moving and arcing contacts including insulating nozzles for one pole of CB.</t>
  </si>
  <si>
    <t>Pressor gage and coupling device of each type</t>
  </si>
  <si>
    <t>Terminals pads and connectors.</t>
  </si>
  <si>
    <t>Resister.</t>
  </si>
  <si>
    <t>Wattmeter with Transducer for 220 KV &amp; 132 KV.</t>
  </si>
  <si>
    <t>VAR meter with Transducer for 220 Kv &amp; 132 KV.</t>
  </si>
  <si>
    <t>Semaphore Indicator for Earth Switch 220 KV &amp; 132 KV.</t>
  </si>
  <si>
    <t>Trip Transfer Switch 220 KV &amp; 132 KV.</t>
  </si>
  <si>
    <t>Set of prints for EPAX(24/8).</t>
  </si>
  <si>
    <t>Set of Prints for Protection coupler.</t>
  </si>
  <si>
    <t>Shaft sleeves for HVW spray pumps.</t>
  </si>
  <si>
    <t>Self starter.</t>
  </si>
  <si>
    <t>Shaft sleeves for hydrant pumps and jockey pump.</t>
  </si>
  <si>
    <t>Quartzoid Bulb Detector.</t>
  </si>
  <si>
    <t>Projector(merxles).</t>
  </si>
  <si>
    <t>Deluge Valve.</t>
  </si>
  <si>
    <t>Isolation Valve(each size).</t>
  </si>
  <si>
    <t>electrical Control panel Annunciation printed circuit board in the control panel.</t>
  </si>
  <si>
    <t>strainer.</t>
  </si>
  <si>
    <t>level Switch.</t>
  </si>
  <si>
    <t>safety valve for hydro pneumatic system.</t>
  </si>
  <si>
    <t xml:space="preserve"> Pressure switch .</t>
  </si>
  <si>
    <t>Bronze pipe fited with nozzle &amp; guide coupling.</t>
  </si>
  <si>
    <t>Hydrant Valve.</t>
  </si>
  <si>
    <t>Pressure Gauge.</t>
  </si>
  <si>
    <t>Self starter assembly for DG set.</t>
  </si>
  <si>
    <t>Soleniod coil assembly for DG Set.</t>
  </si>
  <si>
    <t>Switches for DG Set.</t>
  </si>
  <si>
    <t>Timer for DG.</t>
  </si>
  <si>
    <t>D.C Starter assembly with clutch engaging and disengaging arrngement complet with motor for DG.</t>
  </si>
  <si>
    <t>High water temperature safety control for DG.</t>
  </si>
  <si>
    <t>AVR Card type For DG.</t>
  </si>
  <si>
    <t>Inter cell connector with bolts and nuts for 500 AH.</t>
  </si>
  <si>
    <t>Fuse of thyristor with indicator for 220 V.</t>
  </si>
  <si>
    <t>AUX RELAY WITH 2NO SELF RESET CONTACT 220VDC.</t>
  </si>
  <si>
    <t>Restrited earth fault protection relay</t>
  </si>
  <si>
    <t>CURRENT TRANSFORMER 1000/1A,15VA,CL-1.</t>
  </si>
  <si>
    <t>CURRENT TRANSFORMER 400/1A,15VA,CL-1.</t>
  </si>
  <si>
    <t>CURRENT TRANSFORMER 400/1A,15VA,CL-5PS.</t>
  </si>
  <si>
    <t>VOLTAGE TRANSFORMER SINGLE PHASE 415/3,110/3.50VA,CL-0.5.</t>
  </si>
  <si>
    <t>Terminal connector on 216 kv kv LA to suit single moose ACSR.</t>
  </si>
  <si>
    <t>Terminal connector (through)on 216 kv kv LA to suit single moose ACSR.</t>
  </si>
  <si>
    <t>Terminal Connector on 132 Kv Wave trap to suit single moose ACSR (Top Terminal).</t>
  </si>
  <si>
    <t>Expension type terminal connector on 245 kv CB to suit 4" EH IPS AL Tube.</t>
  </si>
  <si>
    <t>Expension type terminal connector on 245 kv centre break isolator to suit 4" EH IPS AL Tube.</t>
  </si>
  <si>
    <t xml:space="preserve">Terminal connector suitable for 4"EH IPS AL Tube on main way &amp; single moose ACSR on branch way </t>
  </si>
  <si>
    <t>Expension type terminal connector suitable for 4"EH IPS AL Tube for tandem isolator.</t>
  </si>
  <si>
    <t>Terminal connector on 245 kv tandem isolator to suit single moose ACSR with 250 mm sub conductor spacing.</t>
  </si>
  <si>
    <t>Sliding(through) type terminal connector on 220 kv BPI to suit 4" Eh IPS AL Tube.@1620.0</t>
  </si>
  <si>
    <t>Expension type terminal connector on 220 kv BPI to suit 4" Eh IPS AL Tube.@6480.0</t>
  </si>
  <si>
    <t>T connector to suit single moose ACSR on both main &amp; branch way .</t>
  </si>
  <si>
    <t>Corona bell suitable for 4"EH IPS AL Tube.</t>
  </si>
  <si>
    <t>Connector for 220 kV Circuit Breaker.</t>
  </si>
  <si>
    <t xml:space="preserve">Twin Moose Turn buckle tension assambly 220 KV </t>
  </si>
  <si>
    <t>without turn buckle tension assambly.</t>
  </si>
  <si>
    <t>twin Moose Suspension assambly.</t>
  </si>
  <si>
    <t>Single moose tension assambly.</t>
  </si>
  <si>
    <t>single moose droping assambly.</t>
  </si>
  <si>
    <t>Clamp for 220 KV Isolator suit for single Moose ACSR.</t>
  </si>
  <si>
    <t>Interconnector between single moose ACSR to 4"AL Tube.</t>
  </si>
  <si>
    <t>Single moose Through Clamp assambly.</t>
  </si>
  <si>
    <t>Expension type Terminal connector on 145 kv CB to suit 3" EH IPS AL Tube.</t>
  </si>
  <si>
    <t>Rigid type terminal connector on 145 kv isolator to suit 3" IPS AL Tube.</t>
  </si>
  <si>
    <t>Corona Bell suitable for 3" EH IPS AL Tube.</t>
  </si>
  <si>
    <t>Interconnector between 3"EH IPS AL tube &amp; Single moose ACSR.</t>
  </si>
  <si>
    <t>Extension type terminal connector suitable for 3"EH IPS AL Tube for tandem isolator.</t>
  </si>
  <si>
    <t>Sliding (through) type terminal connector suitable for 3"EH IPS AL Tube for tandem isolator.</t>
  </si>
  <si>
    <t>Terminal Connector on 245 kv tandem isolator to suit single moose ACSR.</t>
  </si>
  <si>
    <t>Sliding (through) type terminal connector on 132 kv BPI to suit  3"EH IPS AL Tube.</t>
  </si>
  <si>
    <t>T connector to suit single moose ACSR on both and branch way.</t>
  </si>
  <si>
    <t>Clamp for 132 KV CVT.</t>
  </si>
  <si>
    <t>Single moose tension assambly 132 KV.</t>
  </si>
  <si>
    <t>Single moose Through Clamp assambly132 KV.</t>
  </si>
  <si>
    <t>Terminal connector for 132 KV Isolator suitable for single moose ACSR .</t>
  </si>
  <si>
    <t>Clamp for 132 KV Isolator.</t>
  </si>
  <si>
    <t>Terminal Connector on 33Kv LA suit twin moose ACSR.</t>
  </si>
  <si>
    <t>Terminal Connector (Through) on 33Kv LA twin moose ACSR.</t>
  </si>
  <si>
    <t xml:space="preserve">Terminal Connector on horn Gap fuse to suit twin moose ACSR with 250mm sub conductor spacing </t>
  </si>
  <si>
    <t>Terminal Connector to suit Quard Moose ACSR on main and twin moose ACSR on branch way .</t>
  </si>
  <si>
    <t>Terminal Connector on 33Kv bushing of 132/33Kv &amp;33/.44Kv Transformer to suit moose ACSR.</t>
  </si>
  <si>
    <t>Twin Moose tension assambly.</t>
  </si>
  <si>
    <t>Twin moose droping assambly.</t>
  </si>
  <si>
    <t>Twin moose Through Clamp assambly.</t>
  </si>
  <si>
    <t>Quad moose tension assambly with turn buckle .</t>
  </si>
  <si>
    <t>Quad moose tension assambly without turn buckle.</t>
  </si>
  <si>
    <t>single ACSR panther Tension assambly.</t>
  </si>
  <si>
    <t xml:space="preserve">Single through clamp assemble for ACSR panther </t>
  </si>
  <si>
    <t>Motorized operating Mechanism for Isolator</t>
  </si>
  <si>
    <t>Twine moose 250 mm sub conductor spacing to single ACSR panther clamp.</t>
  </si>
  <si>
    <t>Cell of Standard qualilty suitable for 33 KV 5 MVAR Capacitor bank.</t>
  </si>
  <si>
    <t>Job/no</t>
  </si>
  <si>
    <t>Terminal Clamp for 33 KV PT to suit twine moose ACSR with 250 mm sub conductor spacing.</t>
  </si>
  <si>
    <t>pilot fitting (90 KN Disc insulator.</t>
  </si>
  <si>
    <t>pilot fitting for ACSR Zebra conductor.</t>
  </si>
  <si>
    <t>Pipe type earthing</t>
  </si>
  <si>
    <t>come along clamp automatic type suitable for 7/10 SWG earth wire upto intial sag tension made up to dia casted galvenized steel.</t>
  </si>
  <si>
    <t>Come along clamps bolted type with four number G.I. nut/bolts 7/10 SWG earth wire.</t>
  </si>
  <si>
    <t>Air Break contactor (siemens make)</t>
  </si>
  <si>
    <t>no.</t>
  </si>
  <si>
    <t>Anti pumping relay</t>
  </si>
  <si>
    <t xml:space="preserve">Timer  </t>
  </si>
  <si>
    <t>MCB 16 Amp. 4 pole .</t>
  </si>
  <si>
    <t>Clamp for 220 KV Isolator</t>
  </si>
  <si>
    <t>Terminal connector on 245 kv central break  Isolator to suit 4 EH IPS AL TUBE</t>
  </si>
  <si>
    <t>Over load relay (siemence make) range 5 to 8 Aamp. For marshlling box.</t>
  </si>
  <si>
    <t>Copper contact fingers for female and male contact 245 KV 1600 Amp@ 15938.2</t>
  </si>
  <si>
    <t>Terminal connector on 245 KV suit 4" EH IPS AL Tube @3085.7</t>
  </si>
  <si>
    <t>Copper contact fingers for female and male contact 245 KV 800 Amp@ 14726.4</t>
  </si>
  <si>
    <t>Bimetal relay range .9 to 1.5 Amp.</t>
  </si>
  <si>
    <t>Terminal connector on 245 KV Wave Trap to suit single moose ACSR(as per sample)</t>
  </si>
  <si>
    <t>Terminal connector on 245 KV CVT to suit single moose ACSR(as per sample)</t>
  </si>
  <si>
    <t>245 KV  800/400/1A CT Clamp to suit single moose ACSR (as per sample)</t>
  </si>
  <si>
    <t>Rigid type terminal connector ON 245 KV  Isolator to suit 4" EH IPS AL Tube (as per sample)</t>
  </si>
  <si>
    <t>Terminal connector on 245 KV  Cente break isolator to suit single moose ACSR with 250 mm sub conductor spacing(as per sample)</t>
  </si>
  <si>
    <t>Terminal connector suitable for 4" EH IPS AL Tube on main way &amp; single  moose ACSR on branch way(as per sample)</t>
  </si>
  <si>
    <t xml:space="preserve">Receive back old repairable D-60 Line 1 Distance Protection relay </t>
  </si>
  <si>
    <t>Copper flexible bond</t>
  </si>
  <si>
    <t>245 KV outdoor Capacitive Voltage Transformer 1 ph 4400 PF  with accurecy class0.2</t>
  </si>
  <si>
    <t>120 kv KV Surge aarestor</t>
  </si>
  <si>
    <t>MCB 63 Amp. 4 pole</t>
  </si>
  <si>
    <t>Receive Back old D400 firware version 2.75</t>
  </si>
  <si>
    <t>MCB 6 Amp double pole DC</t>
  </si>
  <si>
    <t>132 KV Tripping/Closing Coil 220 Volt DC</t>
  </si>
  <si>
    <t>132 KV Dismental Tower Materials old &amp; used</t>
  </si>
  <si>
    <t xml:space="preserve">Disc Insulator Old &amp; Used 70 KN </t>
  </si>
  <si>
    <t>ACSR Panther Conductor/Earthwire old &amp; used  in pices</t>
  </si>
  <si>
    <t>meter</t>
  </si>
  <si>
    <t>132 KV Suspension H/F Set old &amp; used</t>
  </si>
  <si>
    <t>SET</t>
  </si>
  <si>
    <t>220 KV Dismental Tower Materials old &amp; used</t>
  </si>
  <si>
    <t>Disc Insulator Old &amp; Used 90 KN</t>
  </si>
  <si>
    <t>ACSR Zebra Conductor/Earthwire old &amp; used in pises</t>
  </si>
  <si>
    <t>220 KV Suspension H/F Set old &amp; used</t>
  </si>
  <si>
    <t xml:space="preserve">Phase Failure Relay </t>
  </si>
  <si>
    <t>N S Type Fuse different 20/16/10/6/2A</t>
  </si>
  <si>
    <t>Old &amp; used ACSR Zebra Conductor</t>
  </si>
  <si>
    <t>Old and used Disc insulator 160 KN</t>
  </si>
  <si>
    <t>Old and used Vibration Damper Zebra</t>
  </si>
  <si>
    <t>Old and used single tension fitting Zebra</t>
  </si>
  <si>
    <t>Old and used single suspension fitting Zebra</t>
  </si>
  <si>
    <t>Old and used Double tension fitting Zebra</t>
  </si>
  <si>
    <t>Old and used single suspension pilot fitting Zebra</t>
  </si>
  <si>
    <t>Old and used Disc insulator 90 KN</t>
  </si>
  <si>
    <t>L.E.D. Tube Light 36 Watt</t>
  </si>
  <si>
    <t>2 Core 4 mm PVC Copper armed Cable</t>
  </si>
  <si>
    <t>Meter</t>
  </si>
  <si>
    <t>Old and uses ACSR Zebra Conductor in Pices</t>
  </si>
  <si>
    <t>Old and used vibrating damper Zebra</t>
  </si>
  <si>
    <t>Copper JAW 1600 Amp 33 KV</t>
  </si>
  <si>
    <t>Blade 1600 Amp 33 KV</t>
  </si>
  <si>
    <t>Terminal connector to twine moose ACSR on branch way</t>
  </si>
  <si>
    <t>T CLAMP SUITABLE FOR 220 KV CVT</t>
  </si>
  <si>
    <t>Closing coil 220 volt DC suitable for 220 KV (Areva make) Circuit Breaker</t>
  </si>
  <si>
    <t>Tripping coil 220 volt DC suitable for 220 KV (Areva make) Circuit Breaker</t>
  </si>
  <si>
    <t>Closing coil 220 volt DC suitable for 33 KV (ABB make) Circuit Breaker</t>
  </si>
  <si>
    <t>Tripping coil 220 volt DC suitable for 33 KV (ABB make) Circuit Breaker</t>
  </si>
  <si>
    <t>ACSR Moose Conductor</t>
  </si>
  <si>
    <t>KMeter</t>
  </si>
  <si>
    <t>Dry Battery Cell 50 AH, 2 Volt</t>
  </si>
  <si>
    <t>Terminal Connector cell</t>
  </si>
  <si>
    <t>220 KV, 1600 Amp, Aluminium alloy made Expension type terminal connector suitable for 4" AL IPS Tube as per sample</t>
  </si>
  <si>
    <t>220 KV, 1600 Amp, Aluminium alloy made Sliding (through) type terminal connector suitable for 4" AL IPS Tube as per sample</t>
  </si>
  <si>
    <t>220 KV, 1600 Amp, Aluminium alloy made terminal connector suitable for 4" AL IPS Tube to center break isolator as per sample</t>
  </si>
  <si>
    <t>220 KV, 1600 Amp, Aluminium alloy made terminal connector suitable  twine moose ACSR (on main) and single moose ACSR (on branch ways)  as per sample</t>
  </si>
  <si>
    <t>132 KV, 1600 Amp, Aluminium alloy made CT Clamp suitable for 3" AL IPS Tube as per sample</t>
  </si>
  <si>
    <t>HTLS Conductor equivalent to ACSR Zebra conductor (including 2.55 sag +wastages+S/S end conductor) CCC Type</t>
  </si>
  <si>
    <t>km</t>
  </si>
  <si>
    <t>Single suspansion assembly hardware</t>
  </si>
  <si>
    <t>Single suspansion pilot assembly hardware</t>
  </si>
  <si>
    <t>Single Tension assembly</t>
  </si>
  <si>
    <t>Double suspansion assembly hardware</t>
  </si>
  <si>
    <t>Double Tension assembly</t>
  </si>
  <si>
    <t>Vibration Dampers</t>
  </si>
  <si>
    <t>Mid span joint</t>
  </si>
  <si>
    <t>Repair Sleeves</t>
  </si>
  <si>
    <t>T Clamp for both end</t>
  </si>
  <si>
    <t>Terminal pads without holes</t>
  </si>
  <si>
    <t>Terminal pads with holes</t>
  </si>
  <si>
    <t>160 KN Polymer Long Rod Insulator</t>
  </si>
  <si>
    <t>90 KN Polymer Long Rod Insulator</t>
  </si>
  <si>
    <t>145 KV Outdoor CVT of Standard quality 5 core (04 Protection of PS Accuracy class and 1 Metering core of 0.2 Accuracy class)1 Ph.</t>
  </si>
  <si>
    <t>SF-6 Gas</t>
  </si>
  <si>
    <t>Silica Gel</t>
  </si>
  <si>
    <t>Supply of special type 33 KV Isolator Jaw rating of 800 Amp with heavy duty copper fingur and tension spring and provided heavy duty aluminium pad for termination 7 G.I. frame as per sample</t>
  </si>
  <si>
    <t>Supply of 220 KV, 1600 Amp CT Clamps suitable for CT to single moose conductor connection as per sample</t>
  </si>
  <si>
    <t>132 KV, 800 Amp, CT Clamps suitable for 4" IPS Tube to single moose conductor connection</t>
  </si>
  <si>
    <t xml:space="preserve"> single Tension fitting (120 KN) for ACSR Panther Conductor</t>
  </si>
  <si>
    <t>C-Wedge Clamp suitable for moose connection</t>
  </si>
  <si>
    <t>245 KV Outdoor Current Transformer 1 P Ratio 1600/800/400/1A 5 core Having accuracy class 0.2S</t>
  </si>
  <si>
    <t>33 KV CT  1 P Ratio (400/200/1A 3 core Having accuracy class 0.2S</t>
  </si>
  <si>
    <t xml:space="preserve">Receive back old and used Nitrojen FEC Panel </t>
  </si>
  <si>
    <t xml:space="preserve">Closing coil CGL Make SF-6 Gas Circuit Breaker </t>
  </si>
  <si>
    <t xml:space="preserve">Tripping coil CGL Make SF-6 Gas Circuit Breaker </t>
  </si>
  <si>
    <t xml:space="preserve">Closing coil CGL Make Vacuum  Circuit Breaker </t>
  </si>
  <si>
    <t xml:space="preserve">Tripping coil CGL Make Vacuum  Circuit Breaker </t>
  </si>
  <si>
    <t>RCCB 100A, 4 Pole, 440 Volts</t>
  </si>
  <si>
    <t>RCCB 63A, 4 Pole, 440 Volts</t>
  </si>
  <si>
    <t>MCB 40/32A, 3 Pole, 440 Volts</t>
  </si>
  <si>
    <t>MCB 6/3A, 2 Pole, 240 Volts</t>
  </si>
  <si>
    <t>MCB 32/16A, 2 Pole, 240 Volts</t>
  </si>
  <si>
    <t>MCB 10A, 1 Pole,DC 220 Volts</t>
  </si>
  <si>
    <t>Supply of good quality reputed company make Power cable aluminium (PVC) Armoured 3.5 core 35 sqmm as per TS of PTCUL</t>
  </si>
  <si>
    <t>33 kv, 1600 amp aluminium alloy isolator clamps suitable for isolator to double moose conductor connection</t>
  </si>
  <si>
    <t>Special type 33 kv isolator Jaw rating of 800 amp with heavy duty copper fingur and tension spring and provide heavy duty aluminium pad for termination &amp; G.I. Frame</t>
  </si>
  <si>
    <t xml:space="preserve">Special type 33 kv isolator Blade rating of 800 amp with heavy duty copper materials with stands for fixing of 800 Amp special type clamp for fixing of Blade at post and water caps/shielding plates for jaw </t>
  </si>
  <si>
    <t xml:space="preserve">C wedge clamps suitable for moose to moose ACSR conductor </t>
  </si>
  <si>
    <t>Special type  isolator Jaw with capacity 800 amp with heavy duty copper fingur and tension spring and provide heavy duty aluminium pad for termination &amp; G.I. Frame</t>
  </si>
  <si>
    <t xml:space="preserve">Special type isolator Blade with capacity  of 800 amp with heavy duty copper materials with stands for fixing of 800 Amp special type clamp for fixing of Blade at post and water caps/shielding plates for jaw </t>
  </si>
  <si>
    <t>Good quality, reputed make 33 KV CT 1phase, ratio(1600/800/1A) 3 core having accuracy class 0.2S, without juction box as per technical specification of PTCUL</t>
  </si>
  <si>
    <t>Good quality, reputed make 33 KV CT 1phase, ratio(800/400/1A) 3 core having accuracy class 0.2S, without juction box as per technical specification of PTCUL</t>
  </si>
  <si>
    <t xml:space="preserve">Good quality Aluminium alloy C wedge clamps suitable for moose to moose ACSR conductor </t>
  </si>
  <si>
    <t>Templates non G.I.(old and used)</t>
  </si>
  <si>
    <t>Templates  G.I.(old and used)</t>
  </si>
  <si>
    <t>Old used and burnt clamps Connector @40.0</t>
  </si>
  <si>
    <t>Old and Burnt and melted  clamps20</t>
  </si>
  <si>
    <t xml:space="preserve">Damaged /faulty Charging motor suitable for 33 KV ABB Make circuit breaker. </t>
  </si>
  <si>
    <t>Faulty Main-2 Distance relay P442 (AREVA make)</t>
  </si>
  <si>
    <t>Damaged old battery cell 12 V 65 AH</t>
  </si>
  <si>
    <t>Faulty Bay Control Unit.@2500</t>
  </si>
  <si>
    <t>Faulty and burnt RXMD2 Relay(CVT Selection Relay)</t>
  </si>
  <si>
    <t>Damaged 2 Volt 500 AH (VRLA type )Battery cells</t>
  </si>
  <si>
    <t>Burne &amp; damage CT 220 KV 1600/800/1A</t>
  </si>
  <si>
    <t>Damaged 2 Volt 300 AH (VRLA type )Battery cells</t>
  </si>
  <si>
    <t>Faulti Magnetic Pickup</t>
  </si>
  <si>
    <t>Unused brunt melted Clamps connector and aliminium conductor Scrap</t>
  </si>
  <si>
    <t>Receive back Repaired 220 kv breaker (areva make) spring operating mechanism</t>
  </si>
  <si>
    <t>Receive Back faulty 132 KV spring operaing mechnism</t>
  </si>
  <si>
    <t>Receive back Old and Burnt and melted  clamps</t>
  </si>
  <si>
    <t>Receive back Old and burnt Terminal connector</t>
  </si>
  <si>
    <t>ACSR moose Conductor (old &amp; used)</t>
  </si>
  <si>
    <t>Receive back Old crack/damage 120 KV Surge arrester</t>
  </si>
  <si>
    <t>Receive back Old and damaged 220 KV CT 1600 Amp.</t>
  </si>
  <si>
    <t>Receive back old and brunt clamp &amp;connector and aluminium conductor</t>
  </si>
  <si>
    <t xml:space="preserve">Receive Back damaged/incomplete CB. ABB Make </t>
  </si>
  <si>
    <t>Receive Back old and damaged clamp and connectors</t>
  </si>
  <si>
    <t>Receive Back old and damaged aluminium conductor</t>
  </si>
  <si>
    <t>Receive Bacl old 33 KV Circuit Breaker ABB Make</t>
  </si>
  <si>
    <t>Receive Back old Current Transformer 220 KV, 1600 Amp</t>
  </si>
  <si>
    <t>Receive Back old and damaged 33 KV Outdoor Vacuum circuit breaker alongwith structure</t>
  </si>
  <si>
    <t>Receive back old and dammaged 800/400/1A CT</t>
  </si>
  <si>
    <t>Receive Back Old &amp; used 216 KV Surge arrester complete</t>
  </si>
  <si>
    <t>Receive back damaged 90 KN Polymer Long Rod Insulator</t>
  </si>
  <si>
    <t xml:space="preserve">Receive Back damaged 33 KV Circuit Breaker </t>
  </si>
  <si>
    <t>Damaged 132 KV IsolatorJaw</t>
  </si>
  <si>
    <t>Burn Aluminium Conductor</t>
  </si>
  <si>
    <t>G.Total</t>
  </si>
  <si>
    <t>Singnature of J.E.</t>
  </si>
  <si>
    <t>Date:-</t>
  </si>
  <si>
    <t>Singnature of A.E.</t>
  </si>
  <si>
    <t>Singnature of E.E.</t>
  </si>
  <si>
    <t>T&amp;P 220 KV S/S Mahuakheraganj</t>
  </si>
  <si>
    <t>Computer Chair</t>
  </si>
  <si>
    <t>Table T-8</t>
  </si>
  <si>
    <t>Godrej Table T-9</t>
  </si>
  <si>
    <t>Computer Table</t>
  </si>
  <si>
    <t>Single Sleeve Pulley Block</t>
  </si>
  <si>
    <t>Raincoat with cap</t>
  </si>
  <si>
    <t>Safety Belt</t>
  </si>
  <si>
    <t>Rubber Gum Boots</t>
  </si>
  <si>
    <t>D.F.Hammer</t>
  </si>
  <si>
    <t xml:space="preserve">Fire Fightng Equipment  Fire Bucket </t>
  </si>
  <si>
    <t>Unitezed Table T-104</t>
  </si>
  <si>
    <t>Unitezed Table T-102</t>
  </si>
  <si>
    <t>Easy Table-CPRZE</t>
  </si>
  <si>
    <t>Conference Table (10 seater) Encarta</t>
  </si>
  <si>
    <t>Executive Chair EARL72OR</t>
  </si>
  <si>
    <t>Executive Chair 7001D</t>
  </si>
  <si>
    <t>Executive Chair 7002D</t>
  </si>
  <si>
    <t>Executive Chair 7003</t>
  </si>
  <si>
    <t>Task Chair- 1007</t>
  </si>
  <si>
    <t>Multipurpase Stool</t>
  </si>
  <si>
    <t>Waiting Chair (Metal perforated)- VIA3STRWI Arm</t>
  </si>
  <si>
    <t>Lounge Sofa- Premium Lounge 2STR</t>
  </si>
  <si>
    <t>Conventional Storage-KD Plain (4 Shelves)</t>
  </si>
  <si>
    <t>Back Storage-Vertcal Fitting Cavinet (4 Sheleves)</t>
  </si>
  <si>
    <t>Display-Storage-Book Case @ 17976.20</t>
  </si>
  <si>
    <t>Cupboards-slim line with Locker</t>
  </si>
  <si>
    <t>Beds-Vienna King bed</t>
  </si>
  <si>
    <t>Digital Multimeter along with accessories Make- Megger</t>
  </si>
  <si>
    <t>Digital Earth Leakage Clamp Meter (Tong Tester) along with accessories make Megger</t>
  </si>
  <si>
    <t>SF-6 Gas Evecuation and Refilling device (SF-6 Gas Trolley with Gas evacuation and Refilling facility) Model PICCOLO series alonge with accessories. Make- DILO (Germany)</t>
  </si>
  <si>
    <t>(B) RS 485 Cable</t>
  </si>
  <si>
    <t>© 2.5 sq. mm. 25 mtr.</t>
  </si>
  <si>
    <t>(D) RS 485 TO 232 Conerter</t>
  </si>
  <si>
    <t>€  Cable 120 mm (10mtr) for PCITS 2000/2</t>
  </si>
  <si>
    <t>(F) PVC Pipe/Conduit</t>
  </si>
  <si>
    <t>Oil BDV Testing Kit 0-80KV (Transformer Oil Dielectric Strength Measuring Instrument) along with accessories. Make- DILI (Germany)</t>
  </si>
  <si>
    <t>No./set</t>
  </si>
  <si>
    <t>SF-6 Gas Leakage Detector/Sensor along with accessories. Make DILO</t>
  </si>
  <si>
    <t>Gapless Zinc Oxide LA Tester along with accessories as testing unit,laptop lenova,(Make-Beacon)</t>
  </si>
  <si>
    <t>Megger 5 KV ,Analouge Motorized Insulation Tester along with accessories</t>
  </si>
  <si>
    <t>Megger 1 KV ,Analouge Motorized Insulation Tester along with accessories</t>
  </si>
  <si>
    <t>D-Spanner Set</t>
  </si>
  <si>
    <t>Ring-Spanner Set</t>
  </si>
  <si>
    <t>Torqe Wrench Set</t>
  </si>
  <si>
    <t>Helmets</t>
  </si>
  <si>
    <t>Spliced Extension ladders with step 25.4 mm Dia Aluminium Cprragated pipe and Complete with filly safety lick and Rope etc. Make- Sopan</t>
  </si>
  <si>
    <t>(A) 5 Meter</t>
  </si>
  <si>
    <t>(B) 10 Meter</t>
  </si>
  <si>
    <t>(C) 20 Meter</t>
  </si>
  <si>
    <t>Polymide or Braided White Nylon Rope Make- Rachem</t>
  </si>
  <si>
    <t>(A) 12 MM</t>
  </si>
  <si>
    <t>(B) 14 MM</t>
  </si>
  <si>
    <t>© 20 MM</t>
  </si>
  <si>
    <t>UPS APC 600 VA @ 2800</t>
  </si>
  <si>
    <t>Printer HP 11008 @ 5250</t>
  </si>
  <si>
    <t>ADSL Modem (Broad band modem with IPSEC) @ 3784.20</t>
  </si>
  <si>
    <t>Dining Table along with 06 no. chair</t>
  </si>
  <si>
    <t>Earh Discharge rod suitable for EHV Line</t>
  </si>
  <si>
    <t>Pipe Wrench 18"</t>
  </si>
  <si>
    <t>Pipe Wrench 22"</t>
  </si>
  <si>
    <t>Rachet Spanner (goti) set</t>
  </si>
  <si>
    <t>Vaccum Cleaner with Blower and sunction</t>
  </si>
  <si>
    <t>Drill Machine with bits</t>
  </si>
  <si>
    <t>Tool box of Standard size</t>
  </si>
  <si>
    <t>First Aid box with standard medicine and shoock chart.</t>
  </si>
  <si>
    <t>Pick Axe 1.5 kg.</t>
  </si>
  <si>
    <t>Torch Standard Quality</t>
  </si>
  <si>
    <t xml:space="preserve">Nose plier Standard quaility </t>
  </si>
  <si>
    <t>Cutting plier Standard quality</t>
  </si>
  <si>
    <t>Screw Driver set standard quality</t>
  </si>
  <si>
    <t>Non aadhar based biometric attendence system with software @ 11764.20</t>
  </si>
  <si>
    <t>Tullu pump</t>
  </si>
  <si>
    <t>LED Smart TV</t>
  </si>
  <si>
    <t>Common meter reading Instrument</t>
  </si>
  <si>
    <t>Desktop Computer make HCL</t>
  </si>
  <si>
    <t>12 MM Steel rope drum of 400 MTR Long</t>
  </si>
  <si>
    <t xml:space="preserve">Single dheave pulley open of 5 Ton capacity </t>
  </si>
  <si>
    <t>Double sheave pulley 5 Ton capacity</t>
  </si>
  <si>
    <t>Hydraulic Conductor cutter</t>
  </si>
  <si>
    <t>Bolted type come along clamp, 7 bolts, for ACSR Zebra Conductor</t>
  </si>
  <si>
    <t>Come along clamp 3 bolts type suitable for 7/10 SWG Earth wire</t>
  </si>
  <si>
    <t xml:space="preserve">Four sheave sagging pulley 10 Ton capacity </t>
  </si>
  <si>
    <t>Sling 18 MM 10 MTR</t>
  </si>
  <si>
    <t>Sling 18 MM 5 MTR</t>
  </si>
  <si>
    <t>Sefetey Belt full body Sefetey Harness PN 42 (01) (REPUTED MAKE LIKE Karam etc.)</t>
  </si>
  <si>
    <t>PP Rope 12 MM 220 MTR</t>
  </si>
  <si>
    <t>PP Rope 20 MM 220 MTR</t>
  </si>
  <si>
    <t>PP Rope 24 MM 220 MTR</t>
  </si>
  <si>
    <t>Chain Shackle 10 Ton Chain pulley block 3 MTR</t>
  </si>
  <si>
    <t>25 Inch 2700 W Petrol Chain Saw of reputed make</t>
  </si>
  <si>
    <t>Name of Circle/Zone: - Kumaun Zone                                                                                                                 Name of Sub Station- 132 Kv Sub station Jaspur</t>
  </si>
  <si>
    <t xml:space="preserve">Name of Division: - Mahuakheraganj                                                                                                                                    Month of-Aug 2026                                                                                      </t>
  </si>
  <si>
    <t xml:space="preserve">                                                                                                                                                                                                                                                                                           Month of:- Aug 2020</t>
  </si>
  <si>
    <t>S.No.</t>
  </si>
  <si>
    <t>Item Description</t>
  </si>
  <si>
    <t xml:space="preserve">Useable  </t>
  </si>
  <si>
    <t>UnserviceableDismantle/Incomplete/ Damage</t>
  </si>
  <si>
    <t>Non Moving</t>
  </si>
  <si>
    <t>Book Value</t>
  </si>
  <si>
    <t>CC1C103002</t>
  </si>
  <si>
    <t>Power Cable -440V LT - - 3.5x400 Sq. mm</t>
  </si>
  <si>
    <t>CC4C401001</t>
  </si>
  <si>
    <t>HF Cable -75 Ohm HP CABLE-</t>
  </si>
  <si>
    <t>FF7F702005</t>
  </si>
  <si>
    <t>MS Flat- 32x6mm</t>
  </si>
  <si>
    <t>II0I00I003</t>
  </si>
  <si>
    <t>1101001007</t>
  </si>
  <si>
    <t xml:space="preserve"> Disc Insulator   70 KN   </t>
  </si>
  <si>
    <t>1101006001</t>
  </si>
  <si>
    <t>II5I502004</t>
  </si>
  <si>
    <t>II5I501004</t>
  </si>
  <si>
    <t xml:space="preserve">  Single Tension Fitting   Zebra</t>
  </si>
  <si>
    <t>Circuit Breaker Sapres   132KV   110V DC Trip Coil</t>
  </si>
  <si>
    <t>33 Kv Lightening Arrester. @7930</t>
  </si>
  <si>
    <t>SS4S402020</t>
  </si>
  <si>
    <t xml:space="preserve"> Post Insulator 33KV</t>
  </si>
  <si>
    <t xml:space="preserve">  Terminal connector for bushing.  HV-40 MVA</t>
  </si>
  <si>
    <t>VV2V204015</t>
  </si>
  <si>
    <t>VV3V305005</t>
  </si>
  <si>
    <t xml:space="preserve">Current Transformer   33 KV   800-400/1A 3 core </t>
  </si>
  <si>
    <t>VV3V305010</t>
  </si>
  <si>
    <t xml:space="preserve">Current Transformer   33 KV   400/200/1A 3 core </t>
  </si>
  <si>
    <t xml:space="preserve"> CVT CVT - CVT 132 KV/110 Volt - 145kv </t>
  </si>
  <si>
    <t>VV1V103045</t>
  </si>
  <si>
    <t>Clamps and connector scrap</t>
  </si>
  <si>
    <t>FF4F402068</t>
  </si>
  <si>
    <t>Old &amp; used Bended tower Parts</t>
  </si>
  <si>
    <t>KG.</t>
  </si>
  <si>
    <t>QQ1Q104001</t>
  </si>
  <si>
    <t xml:space="preserve">Wire Mesh </t>
  </si>
  <si>
    <t>Old ,used &amp; rusted wire mesh</t>
  </si>
  <si>
    <t>II5I503003</t>
  </si>
  <si>
    <t>G.I. Hanger Suitable for 132 Kv Line (ACSR Panther).</t>
  </si>
  <si>
    <t xml:space="preserve">Come along clamps automatic type suitable for7/10 SWG earth wire upto initial sag tansion made upto die casted galvenized steel. </t>
  </si>
  <si>
    <t>Come along clamps bolted type with 5 No. G.I. bolted Provision suitable for7/10 SWG earth wire upto initial sag tansion made upto die casted galvenized steel.</t>
  </si>
  <si>
    <t>Tension Fitting For ACSR. Panther</t>
  </si>
  <si>
    <t>Suspension Fitting suitable for line.</t>
  </si>
  <si>
    <t>Dead End clamps Complete ACSR Panther.</t>
  </si>
  <si>
    <t>JJ5J501005</t>
  </si>
  <si>
    <t>Old Used &amp; diffective spring charge Motor for CB.</t>
  </si>
  <si>
    <t>33 Kv Current Transformer 1Ph 400/200/1Awith junction box ).2S</t>
  </si>
  <si>
    <t>Potential Transformer 1 Ph (0.2 Class) 33 Kv</t>
  </si>
  <si>
    <t>132 Kv Old &amp; used dismental Bended tower material.</t>
  </si>
  <si>
    <t xml:space="preserve"> Disc Insulator old &amp; used 70 KN   </t>
  </si>
  <si>
    <t>VV3V03003</t>
  </si>
  <si>
    <t xml:space="preserve">145KV (5 Core)Current Transformer (1-Phase) 400/200/1A </t>
  </si>
  <si>
    <t>VV6V503002</t>
  </si>
  <si>
    <t xml:space="preserve">145KV (5 Core)Capacitive Voltage Transformer 1-Ph. </t>
  </si>
  <si>
    <t>FF1F107004</t>
  </si>
  <si>
    <t xml:space="preserve">Anchor bolts. </t>
  </si>
  <si>
    <t xml:space="preserve">C-wedge Clamps for Zebra/Panther conductor. </t>
  </si>
  <si>
    <t xml:space="preserve">ACSR Zebra conductor (in 30 mtr. &amp; above Pcs.). </t>
  </si>
  <si>
    <t>mtr</t>
  </si>
  <si>
    <t>CC3C307003</t>
  </si>
  <si>
    <t>33 KV Outdoor cable termination Kit suitable for 3 x 400 Sqmm. @17486.273</t>
  </si>
  <si>
    <t>N0.</t>
  </si>
  <si>
    <t>CC3C315006</t>
  </si>
  <si>
    <t>Lugs for 33 Kv cable size 3 x 400 Sqmm. @567.58</t>
  </si>
  <si>
    <t>SS4S402009</t>
  </si>
  <si>
    <t>Male contact armfoer 33 Kv centre break isolator (Elpro make). @ 20388.70</t>
  </si>
  <si>
    <t>SS4S402008</t>
  </si>
  <si>
    <t>Female contact armfoer 33 Kv centre break isolator (Elpro make). @ 20388.70</t>
  </si>
  <si>
    <t>SS4S402004</t>
  </si>
  <si>
    <t>Jaw for 33 Kv 800 Amp, isolator. @ 6844.94</t>
  </si>
  <si>
    <t>Blade for 33 Kv 800 Amp, isolator. @ 4887.62</t>
  </si>
  <si>
    <t>120 KV Surge Arrester/Lightening Arrester (Polymeric) @58705</t>
  </si>
  <si>
    <t>CC0C002013</t>
  </si>
  <si>
    <t>Control Cable Copper Aromoured (PVC) 2C x 2.5Sqmm. @143552.90</t>
  </si>
  <si>
    <t>CC0C002011</t>
  </si>
  <si>
    <t>Control Cable Copper Aromoured (PVC) 4C x 2.5Sqmm. @230182.60</t>
  </si>
  <si>
    <t>CC0C002018</t>
  </si>
  <si>
    <t>Control Cable Copper Aromoured (PVC) 6C x 2.5Sqmm. @322995.50</t>
  </si>
  <si>
    <t>Control Cable Copper Aromoured (PVC) 10C x 2.5Sqmm. @494726.80</t>
  </si>
  <si>
    <t>VV3V305004</t>
  </si>
  <si>
    <r>
      <t xml:space="preserve">33 KV CT Old &amp; used 400/200/1 (3 core). </t>
    </r>
    <r>
      <rPr>
        <b/>
        <sz val="12"/>
        <color indexed="8"/>
        <rFont val="Calibri"/>
        <family val="2"/>
      </rPr>
      <t>@ 7000</t>
    </r>
  </si>
  <si>
    <r>
      <t xml:space="preserve">Old used &amp; defective 33 KV CB. (Burst). </t>
    </r>
    <r>
      <rPr>
        <b/>
        <sz val="12"/>
        <color indexed="8"/>
        <rFont val="Calibri"/>
        <family val="2"/>
      </rPr>
      <t>@2500</t>
    </r>
    <r>
      <rPr>
        <sz val="12"/>
        <color indexed="8"/>
        <rFont val="Calibri"/>
        <family val="2"/>
      </rPr>
      <t>.</t>
    </r>
  </si>
  <si>
    <t>VV8V805002</t>
  </si>
  <si>
    <r>
      <t xml:space="preserve">PT 1-Ph. 33 KV/110Volt. (Burst). </t>
    </r>
    <r>
      <rPr>
        <b/>
        <sz val="12"/>
        <color indexed="8"/>
        <rFont val="Calibri"/>
        <family val="2"/>
      </rPr>
      <t>@ 1500</t>
    </r>
  </si>
  <si>
    <t>VV7V701006</t>
  </si>
  <si>
    <r>
      <t xml:space="preserve">132 KV CVT clamps suitable for zebra conductor </t>
    </r>
    <r>
      <rPr>
        <b/>
        <sz val="12"/>
        <rFont val="Calibri"/>
        <family val="2"/>
      </rPr>
      <t>@2849.70</t>
    </r>
  </si>
  <si>
    <r>
      <t xml:space="preserve">C wedge clamps for zebra/Panther conductor </t>
    </r>
    <r>
      <rPr>
        <b/>
        <sz val="12"/>
        <rFont val="Calibri"/>
        <family val="2"/>
      </rPr>
      <t>@2855.60</t>
    </r>
  </si>
  <si>
    <t>FF4F403001</t>
  </si>
  <si>
    <t>Copper Scrap</t>
  </si>
  <si>
    <t>FF4F402001</t>
  </si>
  <si>
    <t>Aluminium Scrap</t>
  </si>
  <si>
    <t>JJ7J707005</t>
  </si>
  <si>
    <t>SF-6 Gas cylinder (3 Kg. Empty)</t>
  </si>
  <si>
    <t>KK2K103001</t>
  </si>
  <si>
    <t xml:space="preserve">LA Counter (burst &amp; burnt) </t>
  </si>
  <si>
    <r>
      <t>145 KV CVT 1-ph (Accuracy class 0.5)</t>
    </r>
    <r>
      <rPr>
        <b/>
        <sz val="12"/>
        <rFont val="Calibri"/>
        <family val="2"/>
      </rPr>
      <t>@5000</t>
    </r>
  </si>
  <si>
    <r>
      <t xml:space="preserve">Good quality, reputed make 33 KV CT 1 Phase, ratio 800/400/1A, 3 core having accuracy class 0.2s. </t>
    </r>
    <r>
      <rPr>
        <b/>
        <sz val="12"/>
        <color indexed="8"/>
        <rFont val="Calibri"/>
        <family val="2"/>
      </rPr>
      <t>@92021.36</t>
    </r>
  </si>
  <si>
    <t>VV1V101035</t>
  </si>
  <si>
    <t>LV bushing set of rated Voltage-52KV, Rated Current-1250Amp having Standard- Is:2099/IEC 137 Mounting Angle-&lt;30⁰From I Having Weight-60 Kg. Approx set. @315101</t>
  </si>
  <si>
    <t>132 KV CT (burst and burnt)</t>
  </si>
  <si>
    <t>VV2V204003</t>
  </si>
  <si>
    <r>
      <t xml:space="preserve">Oil Sampling Bottle Stainless Steel 02 Ltrs. Capacity. </t>
    </r>
    <r>
      <rPr>
        <b/>
        <sz val="12"/>
        <color indexed="8"/>
        <rFont val="Calibri"/>
        <family val="2"/>
      </rPr>
      <t>@23541</t>
    </r>
  </si>
  <si>
    <t>SS5S501015</t>
  </si>
  <si>
    <r>
      <t xml:space="preserve">132 KV Isolator Clamp. </t>
    </r>
    <r>
      <rPr>
        <b/>
        <sz val="12"/>
        <color indexed="8"/>
        <rFont val="Calibri"/>
        <family val="2"/>
      </rPr>
      <t>@2846.16</t>
    </r>
  </si>
  <si>
    <r>
      <t xml:space="preserve">132 KV CT/CVT Clamp. </t>
    </r>
    <r>
      <rPr>
        <b/>
        <sz val="12"/>
        <color indexed="8"/>
        <rFont val="Calibri"/>
        <family val="2"/>
      </rPr>
      <t>@2947.64</t>
    </r>
  </si>
  <si>
    <r>
      <t xml:space="preserve">132 KV CB clamp suitable for Zebra conductors. </t>
    </r>
    <r>
      <rPr>
        <b/>
        <sz val="12"/>
        <rFont val="Calibri"/>
        <family val="2"/>
      </rPr>
      <t>@2637.30</t>
    </r>
  </si>
  <si>
    <t>VV5V407031</t>
  </si>
  <si>
    <r>
      <t xml:space="preserve">132 KV Horizontal clamp suitable for Zebra conductors. </t>
    </r>
    <r>
      <rPr>
        <b/>
        <sz val="12"/>
        <rFont val="Calibri"/>
        <family val="2"/>
      </rPr>
      <t>@2715.18</t>
    </r>
  </si>
  <si>
    <r>
      <t xml:space="preserve">33 KV Isolator Clamp. </t>
    </r>
    <r>
      <rPr>
        <b/>
        <sz val="12"/>
        <color indexed="8"/>
        <rFont val="Calibri"/>
        <family val="2"/>
      </rPr>
      <t>@2566.50</t>
    </r>
  </si>
  <si>
    <r>
      <t xml:space="preserve">33 KV CB Clamp. </t>
    </r>
    <r>
      <rPr>
        <b/>
        <sz val="12"/>
        <color indexed="8"/>
        <rFont val="Calibri"/>
        <family val="2"/>
      </rPr>
      <t>@2849.70</t>
    </r>
  </si>
  <si>
    <r>
      <t xml:space="preserve">33 KV CT/CVT Clamp. </t>
    </r>
    <r>
      <rPr>
        <b/>
        <sz val="12"/>
        <color indexed="8"/>
        <rFont val="Calibri"/>
        <family val="2"/>
      </rPr>
      <t>@2537</t>
    </r>
  </si>
  <si>
    <r>
      <t xml:space="preserve">33 KV Horizontal clamp suitable for Zebra conductors. </t>
    </r>
    <r>
      <rPr>
        <b/>
        <sz val="12"/>
        <rFont val="Calibri"/>
        <family val="2"/>
      </rPr>
      <t>@2433.16</t>
    </r>
  </si>
  <si>
    <t>ZZ2Z005001</t>
  </si>
  <si>
    <r>
      <t xml:space="preserve">Vibration Damphor for Panthor Conductor. </t>
    </r>
    <r>
      <rPr>
        <b/>
        <sz val="12"/>
        <rFont val="Calibri"/>
        <family val="2"/>
      </rPr>
      <t>@ 1917.50</t>
    </r>
  </si>
  <si>
    <t>MM3M303007</t>
  </si>
  <si>
    <r>
      <t xml:space="preserve">Digital Ammeter. </t>
    </r>
    <r>
      <rPr>
        <b/>
        <sz val="12"/>
        <rFont val="Calibri"/>
        <family val="2"/>
      </rPr>
      <t>@8821.68</t>
    </r>
  </si>
  <si>
    <t>MM2M205007</t>
  </si>
  <si>
    <r>
      <t xml:space="preserve">Digital Volt meter. </t>
    </r>
    <r>
      <rPr>
        <b/>
        <sz val="12"/>
        <rFont val="Calibri"/>
        <family val="2"/>
      </rPr>
      <t>@8821.68</t>
    </r>
  </si>
  <si>
    <t>MM2M206001</t>
  </si>
  <si>
    <r>
      <t xml:space="preserve">Digital P.F. meter. </t>
    </r>
    <r>
      <rPr>
        <b/>
        <sz val="12"/>
        <rFont val="Calibri"/>
        <family val="2"/>
      </rPr>
      <t>@8991.60</t>
    </r>
  </si>
  <si>
    <t>MM3M304012</t>
  </si>
  <si>
    <r>
      <t xml:space="preserve">Digital MW. meter. </t>
    </r>
    <r>
      <rPr>
        <b/>
        <sz val="12"/>
        <rFont val="Calibri"/>
        <family val="2"/>
      </rPr>
      <t>@8991.60</t>
    </r>
  </si>
  <si>
    <t>MM2M205021</t>
  </si>
  <si>
    <r>
      <t xml:space="preserve">Digital MVAR meter. </t>
    </r>
    <r>
      <rPr>
        <b/>
        <sz val="12"/>
        <rFont val="Calibri"/>
        <family val="2"/>
      </rPr>
      <t>@9121.40</t>
    </r>
  </si>
  <si>
    <t>VV2V203008</t>
  </si>
  <si>
    <t>Slica Gel</t>
  </si>
  <si>
    <t xml:space="preserve"> Stock Inventory for the month of Aug. 2026</t>
  </si>
  <si>
    <t>Name of Zone</t>
  </si>
  <si>
    <t>Kumaon Zone</t>
  </si>
  <si>
    <t>132 KV Sub Station Almora (Mr. Madhur Kumar Rathi)</t>
  </si>
  <si>
    <t>Name of  circle</t>
  </si>
  <si>
    <t>Haldwani</t>
  </si>
  <si>
    <t>Code</t>
  </si>
  <si>
    <t>Name Of Material</t>
  </si>
  <si>
    <t xml:space="preserve">Unit </t>
  </si>
  <si>
    <t>CABLE</t>
  </si>
  <si>
    <t>CC0C002010</t>
  </si>
  <si>
    <t>6X2.5 sq mm  Control cable (in pieces)</t>
  </si>
  <si>
    <t>765</t>
  </si>
  <si>
    <t>10X2.5  sq mm Control cable (in pieces)</t>
  </si>
  <si>
    <t xml:space="preserve">H.F.  Cable </t>
  </si>
  <si>
    <t>PVC Multi stand Copper wire size 1.0 Sqmm</t>
  </si>
  <si>
    <t>METER</t>
  </si>
  <si>
    <t>MM3M302006</t>
  </si>
  <si>
    <t>Digital Ampere Meter size 150x150mm,CTR 400/1A</t>
  </si>
  <si>
    <t>3</t>
  </si>
  <si>
    <t>MM3M302010</t>
  </si>
  <si>
    <t>Digital Ampere Meter size 95x95mm,CTR 400/1A</t>
  </si>
  <si>
    <t>MM3M302012</t>
  </si>
  <si>
    <t>Digital Ampere Meter size 150x150mm,CTR 300/1A</t>
  </si>
  <si>
    <t>MM3M302013</t>
  </si>
  <si>
    <t>Digital Ampere Meter size 150x150mm,CTR 200/1A</t>
  </si>
  <si>
    <t>Digital Ampere Meter size 150x150mm,CTR 100/1A</t>
  </si>
  <si>
    <t>MM3M301005</t>
  </si>
  <si>
    <t>Digital KV Meter size 150x150 mm,PTR 132KV/110 Volt</t>
  </si>
  <si>
    <t>MM3M301010</t>
  </si>
  <si>
    <t>Digital KV Meter size 150x150 mm,PTR 33KV/110 Volt</t>
  </si>
  <si>
    <t>MM3M303011</t>
  </si>
  <si>
    <t>Digital MW Meter size 150x150 mm,CTR 400/1A,PTR 33KV/110 V.</t>
  </si>
  <si>
    <t>Digital MW Meter size 150x150 mm,CTR 400/1A,PTR 33KV/110 V(Faulty)</t>
  </si>
  <si>
    <t>MM3M304007</t>
  </si>
  <si>
    <t>Digital MVAR Meter size 150x150 mm,CTR 400/1A,PTR 33KV/110 V.</t>
  </si>
  <si>
    <t>1</t>
  </si>
  <si>
    <t>Digital Ampere Meter size 95x95mm,CTR 50/1A</t>
  </si>
  <si>
    <t>Digital control panel Ampere Meter AE Make size150x150mm CTR 200/1A</t>
  </si>
  <si>
    <t>JAW/Clamp/Cannector</t>
  </si>
  <si>
    <t>HH8H801001</t>
  </si>
  <si>
    <t xml:space="preserve">33 KV Jow </t>
  </si>
  <si>
    <t>HH8H801003</t>
  </si>
  <si>
    <t>132 KV Jow</t>
  </si>
  <si>
    <t xml:space="preserve">132 KV Isolator Jow of Bimco </t>
  </si>
  <si>
    <t xml:space="preserve">best quality heavy duty 33 KV Isolator clamp suitable for panther conductor  </t>
  </si>
  <si>
    <t>5</t>
  </si>
  <si>
    <t>II1I104003</t>
  </si>
  <si>
    <t>PG Clamp Z/Z</t>
  </si>
  <si>
    <t>14</t>
  </si>
  <si>
    <t>3 Bolted PG Clamp Z/P</t>
  </si>
  <si>
    <t>13</t>
  </si>
  <si>
    <t>C-Wedge Clamp Suitable for ACSR Z/P Conductor</t>
  </si>
  <si>
    <t>Bimetallic Connector for STEM and ACSR Panther Conductor</t>
  </si>
  <si>
    <t>10</t>
  </si>
  <si>
    <t xml:space="preserve">6 Bolted Terminal Connector  for ACSR Dog Conductorof 33KV Isolator </t>
  </si>
  <si>
    <t>6</t>
  </si>
  <si>
    <t>PG Clamp for Panther Conductor P/P</t>
  </si>
  <si>
    <t>CT</t>
  </si>
  <si>
    <t>145KV Current Transformer Single Phase Ration 200/100/1A</t>
  </si>
  <si>
    <t>132 KV CT ratio 800/400/1-1A</t>
  </si>
  <si>
    <t>132 KV CT ratio 400/200/1-1A</t>
  </si>
  <si>
    <t xml:space="preserve">C.T 33 KV </t>
  </si>
  <si>
    <t>33 KV C.T. 200 /100/1A (Old &amp; used)</t>
  </si>
  <si>
    <t>33KV CT Junction Boxes</t>
  </si>
  <si>
    <t>4</t>
  </si>
  <si>
    <t>Hot dip Galv. Nuts Bolts 16X90mm</t>
  </si>
  <si>
    <t>COPPR /ISOLATOR</t>
  </si>
  <si>
    <t xml:space="preserve">HDE Copper Tube for 33KV Isolator    800 Amp. </t>
  </si>
  <si>
    <t xml:space="preserve">HDE Copper Tube for E/S of 33KV Isolator 800 Amp. </t>
  </si>
  <si>
    <t xml:space="preserve">HDE Copper Flat for E/S of 33KV   Isolator 800 Amp. </t>
  </si>
  <si>
    <t xml:space="preserve">HDE Copper Tube for 33KV Isolator  1200 Amp. </t>
  </si>
  <si>
    <t xml:space="preserve">HDE Copper Jaw for 33KV Isolator  1200 Amp. </t>
  </si>
  <si>
    <t>12</t>
  </si>
  <si>
    <t xml:space="preserve">Copper Blade for 33KV Isolator  1200 Amp. </t>
  </si>
  <si>
    <t xml:space="preserve">Copper Jaw for 33KV Isolator  1200 Amp. </t>
  </si>
  <si>
    <t>Flexible copper Bond rope type including both side copper lugs</t>
  </si>
  <si>
    <t>CIRCUIT BREAKER / PARTS</t>
  </si>
  <si>
    <t>33 KV circuit breakar (BHEL make Old,used )</t>
  </si>
  <si>
    <t xml:space="preserve">1-Phase 230 Volt AC Spring Charge  Motor 33KV SF-6 Gas     </t>
  </si>
  <si>
    <t>0</t>
  </si>
  <si>
    <t>Contractor for Spring Charge Motor 110 volt DC</t>
  </si>
  <si>
    <t>Tripping Coil for 132KV SF-6 Circuit Breaker</t>
  </si>
  <si>
    <t>Antipumping Relay for 33KV Circuit Breaker</t>
  </si>
  <si>
    <t>Auxiliary switch 13No+13Nc for 33KV Circuit. Breaker</t>
  </si>
  <si>
    <t>Tripping Coil for 110V.DC, CGL Make</t>
  </si>
  <si>
    <t>L/R Switch for 33KV VCB (BHEL Make)</t>
  </si>
  <si>
    <t>NIT Switch</t>
  </si>
  <si>
    <t>Auxiliary Conteractor for Density Monitor 110/220 Volt DC</t>
  </si>
  <si>
    <t>Vacuum Interrupter Bottle for 36KV VCB ABB Make</t>
  </si>
  <si>
    <t>Vacuum Interrupter Bottle for 36KV,1250Amp.25KA, VCB BHEL Make</t>
  </si>
  <si>
    <t>Contractor NONC,Volt Coil 110V -125V,DC 25Amp,3No+3NC TC make</t>
  </si>
  <si>
    <t>Contractor for Low Gas Pressure 110 volt DC</t>
  </si>
  <si>
    <t>33KV 4.5 Amp. High Glass Fuse</t>
  </si>
  <si>
    <t>HRC Fuse 6 Amp. Havells/GE make</t>
  </si>
  <si>
    <t>SF-6 gas</t>
  </si>
  <si>
    <t>BATTERY CHARGER / PARTS</t>
  </si>
  <si>
    <t>Hydro Meter</t>
  </si>
  <si>
    <t>110V 60A, Battrey Charger</t>
  </si>
  <si>
    <t>2Volt ,200AH Lead -Acid battery (old&amp;Deff.)</t>
  </si>
  <si>
    <t>2Volt ,200AH battery (old&amp;Deff.)</t>
  </si>
  <si>
    <t>110 v,200AH,Battery charger (old&amp;Deff.)</t>
  </si>
  <si>
    <t>22KV Post Insulator</t>
  </si>
  <si>
    <t>T/F</t>
  </si>
  <si>
    <t>Stainless steel T/F Oil Sampling Container of 2 Ltr. Capacity</t>
  </si>
  <si>
    <t>T/F oil</t>
  </si>
  <si>
    <t>Ltr.</t>
  </si>
  <si>
    <t>PRV for 20MVA Power T/F</t>
  </si>
  <si>
    <t>Silica Gel(best qulity 8-10 mm)</t>
  </si>
  <si>
    <t xml:space="preserve">Silica Gel </t>
  </si>
  <si>
    <t>Heavy  Duty Turn Buckle</t>
  </si>
  <si>
    <t>foam type fire extinguisher( old &amp; unuseable)</t>
  </si>
  <si>
    <t>Annuciator(microcontroller based alarm )</t>
  </si>
  <si>
    <t>M.S. Round 36 mm</t>
  </si>
  <si>
    <t>K.G.</t>
  </si>
  <si>
    <t>M.S. Channel 125X65 mm with (Scrap)</t>
  </si>
  <si>
    <t>K.G</t>
  </si>
  <si>
    <t>Rail Pieces 90 C+S</t>
  </si>
  <si>
    <t>ACSR Weasel Conductor</t>
  </si>
  <si>
    <t>GI Stay Set</t>
  </si>
  <si>
    <t>145 KV CVT (Old &amp; used dismental)</t>
  </si>
  <si>
    <t xml:space="preserve">145 KV Capacitive Voltage Transformer ( Old ) </t>
  </si>
  <si>
    <t xml:space="preserve">48 V.AFCO make Bettery Charger D.C., D.B. </t>
  </si>
  <si>
    <t>33 KV Bus Isolator (Incomplete)</t>
  </si>
  <si>
    <t xml:space="preserve">Empty Oil Drum </t>
  </si>
  <si>
    <t>1x5 Mvar Capacitor Bank Suitable for 33KV (Old &amp; Defective)</t>
  </si>
  <si>
    <t>Single Phase reactors for Capacitor bank</t>
  </si>
  <si>
    <t>ACSR Zebra conductor in cut pieces O/U</t>
  </si>
  <si>
    <t>162.0</t>
  </si>
  <si>
    <t xml:space="preserve">ACSR Panther Conductor (Scrap &amp; Damage) </t>
  </si>
  <si>
    <t>K.M.</t>
  </si>
  <si>
    <t>0.783</t>
  </si>
  <si>
    <t>ACSR Zebra Conductor in cut pieces O/U</t>
  </si>
  <si>
    <t>132 KV Bhowali-Almora Line (Mrs.Lata Joshi)</t>
  </si>
  <si>
    <t xml:space="preserve">Bolted Type Tension Fitting </t>
  </si>
  <si>
    <t xml:space="preserve">Bolted Type Tension fitting for Panther </t>
  </si>
  <si>
    <t>Tension Clamp SWG Earth Wire</t>
  </si>
  <si>
    <t>93</t>
  </si>
  <si>
    <t xml:space="preserve">120 KN DISC Insulator </t>
  </si>
  <si>
    <t xml:space="preserve">70 K.N. Disc Insulator </t>
  </si>
  <si>
    <t xml:space="preserve">Tension fitting for comprection Type for Panther Conductor </t>
  </si>
  <si>
    <t xml:space="preserve">Single Suspension fitting </t>
  </si>
  <si>
    <t xml:space="preserve">G.J.V. Bolts </t>
  </si>
  <si>
    <t>5Bolted Tension Fitting For Zebra Conductor</t>
  </si>
  <si>
    <t>C-Wedge Clamp Suitable for ACSR P/P Conductor</t>
  </si>
  <si>
    <t>Galv. Nut &amp; Bolts of dia 10 mm &amp; length 75mm with spring &amp; plane washer 02mm thickness</t>
  </si>
  <si>
    <t>Galv. Nut &amp; Bolts of dia 10 mm &amp; length 87.5mm with spring &amp; plane washer 02mm thickness</t>
  </si>
  <si>
    <t>Galv. Nut &amp; Bolts of dia 10 mm &amp; length 100mm with spring &amp; plane washer 02mm thickness</t>
  </si>
  <si>
    <t>Galv. Nut &amp; Bolts of dia 16 mm &amp; length 75mm with spring &amp; plane washer 02mm thickness</t>
  </si>
  <si>
    <t>Latic type structure foundation bolt  (0.207 MT/90 No.)</t>
  </si>
  <si>
    <t>Compressur type doble taintion fitting for ACSR Panther conductor</t>
  </si>
  <si>
    <t>Single tention Compression type  fitting complete suitable for ACSR Panther conductor</t>
  </si>
  <si>
    <t>Vibration Damper size 7/3,15mm for G.S. Earth wire complete</t>
  </si>
  <si>
    <t xml:space="preserve">Jumper Cone lugs suitable for ACSR Panther conductor </t>
  </si>
  <si>
    <t>C wedge clamp Dog to Panther</t>
  </si>
  <si>
    <t xml:space="preserve">Galv. Tower Part for "C" Type Tower </t>
  </si>
  <si>
    <t>M.T.</t>
  </si>
  <si>
    <t>Templete for "C" Type Tower 3 No.</t>
  </si>
  <si>
    <t>Templete for "S" Type Tower 1 No.</t>
  </si>
  <si>
    <t>Templete for "DC" Type Tower 1 No.</t>
  </si>
  <si>
    <t xml:space="preserve">U. B.  +0 type Tower Part Galv. </t>
  </si>
  <si>
    <t>2.423</t>
  </si>
  <si>
    <t>Cross Aram for UB +0 Type Tower (damaged)</t>
  </si>
  <si>
    <t xml:space="preserve">C.C.R. Galv. Structure 01 set with Nuts Bolts </t>
  </si>
  <si>
    <t xml:space="preserve">C.G.R. Galv. Structure 01 set with Nuts Bolts  </t>
  </si>
  <si>
    <t xml:space="preserve">A.B.L. Galv. Structure 02 sets with Nuts Bolts  </t>
  </si>
  <si>
    <t xml:space="preserve">C.P.R. Galv. Structure 01 set with Nuts Bolts  </t>
  </si>
  <si>
    <t xml:space="preserve">Earth wire SWG 7/10 old , used and in pieces </t>
  </si>
  <si>
    <t>10240</t>
  </si>
  <si>
    <t xml:space="preserve">Hot Dip Galv. Nuts &amp; Bolts 16X45 mm </t>
  </si>
  <si>
    <t xml:space="preserve">Hot Dip Galv. Nuts &amp; Bolts 16X40 mm </t>
  </si>
  <si>
    <t xml:space="preserve">Hot Dip Galv. Nuts &amp; Bolts 16X50 mm </t>
  </si>
  <si>
    <t xml:space="preserve">Hot Dip Galv. Flat Washer16X5 mm </t>
  </si>
  <si>
    <t xml:space="preserve">Hot Dip Galv. Flat Washer16X6 mm </t>
  </si>
  <si>
    <t xml:space="preserve">Repair Sleeve for Panther Conductor </t>
  </si>
  <si>
    <t>J-Type Hooks</t>
  </si>
  <si>
    <t>Joist 70X125X4</t>
  </si>
  <si>
    <t>Galv. Nut &amp; Bolts of dia 06mm &amp; length 62.5mm with spring &amp; plane washer 02mm thickness</t>
  </si>
  <si>
    <t>Galv. Nut &amp; Bolts of dia 06mm &amp; length 75mm with spring &amp; plane washer 02mm thickness</t>
  </si>
  <si>
    <t>Galv. Nut &amp; Bolts of dia 06mm &amp; length 100mm with spring &amp; plane washer 02mm thickness</t>
  </si>
  <si>
    <t>Galv. Nut &amp; Bolts of dia 08mm &amp; length 50mm with spring &amp; plane washer 02mm thickness</t>
  </si>
  <si>
    <t>Galv. Nut &amp; Bolts of dia 08mm &amp; length 62.5mm with spring &amp; plane washer 02mm thickness</t>
  </si>
  <si>
    <t>Galv. Nut &amp; Bolts of dia 08mm &amp; length 75mm with spring &amp; plane washer 02mm thickness</t>
  </si>
  <si>
    <t>Galv. Nut &amp; Bolts of dia 08mm &amp; length 100mm with spring &amp; plane washer 02mm thickness</t>
  </si>
  <si>
    <t>Galv. Nut &amp; Bolts of dia 12mm &amp; length 62.5mm with spring &amp; plane washer 02mm thickness</t>
  </si>
  <si>
    <t>Galv. Nut &amp; Bolts of dia 12mm &amp; length 75mm with spring &amp; plane washer 02mm thickness</t>
  </si>
  <si>
    <t>406</t>
  </si>
  <si>
    <t>Galv. Nut &amp; Bolts of dia 12mm &amp; length 100mm with spring &amp; plane washer 02mm thickness</t>
  </si>
  <si>
    <t>251</t>
  </si>
  <si>
    <t>Galv. Nut &amp; Bolts of dia 08 mm &amp; length 50mm with spring &amp; plane washer 02mm thickness</t>
  </si>
  <si>
    <t>Galv. Nut &amp; Bolts of dia 10 mm &amp; length 50mm with spring &amp; plane washer 02mm thickness</t>
  </si>
  <si>
    <t>Galv. Nut &amp; Bolts of dia 10 mm &amp; length 62.5mm with spring &amp; plane washer 02mm thickness</t>
  </si>
  <si>
    <t>Galv. Stud</t>
  </si>
  <si>
    <r>
      <t>Templete for "S</t>
    </r>
    <r>
      <rPr>
        <vertAlign val="superscript"/>
        <sz val="12"/>
        <color indexed="8"/>
        <rFont val="Calibri"/>
        <family val="2"/>
      </rPr>
      <t>2</t>
    </r>
    <r>
      <rPr>
        <sz val="12"/>
        <color rgb="FF000000"/>
        <rFont val="Calibri"/>
        <family val="2"/>
      </rPr>
      <t>" Type Tower 1 No.</t>
    </r>
  </si>
  <si>
    <r>
      <t xml:space="preserve">Nuts &amp; Bolts mixed off size 5/8", </t>
    </r>
    <r>
      <rPr>
        <sz val="12"/>
        <color indexed="8"/>
        <rFont val="Arial"/>
        <family val="2"/>
      </rPr>
      <t>½</t>
    </r>
    <r>
      <rPr>
        <sz val="12"/>
        <color indexed="8"/>
        <rFont val="Calibri"/>
        <family val="2"/>
      </rPr>
      <t xml:space="preserve"> "</t>
    </r>
  </si>
  <si>
    <t xml:space="preserve">Format of Monthly Inventory for Uploading on PTCUL Website </t>
  </si>
  <si>
    <t>Name of Circle/ Zone:- O&amp;M Kumaon Zone Haldwani</t>
  </si>
  <si>
    <t>Name of Substation 132 KV S/s Ranikhet</t>
  </si>
  <si>
    <t>Name of Division O&amp;M Div. Almora</t>
  </si>
  <si>
    <t>Month till 22 Aug 2026</t>
  </si>
  <si>
    <t xml:space="preserve">Book Value Per Unit </t>
  </si>
  <si>
    <t>Capital Items</t>
  </si>
  <si>
    <t>Structure - ATM</t>
  </si>
  <si>
    <t>FF0F050020</t>
  </si>
  <si>
    <t>Structure - CGR</t>
  </si>
  <si>
    <t>FF0F050022</t>
  </si>
  <si>
    <t>Structure - CCR</t>
  </si>
  <si>
    <t>FF0F050032</t>
  </si>
  <si>
    <t>132 kv Peak type structure XPM</t>
  </si>
  <si>
    <t>MS Earthing rod - 36mm Dia</t>
  </si>
  <si>
    <t>II0I001004</t>
  </si>
  <si>
    <t>120KN Polymer Disc Insulator</t>
  </si>
  <si>
    <t>70KN Disc Insulator</t>
  </si>
  <si>
    <t xml:space="preserve">ACSR Zebra Single Tension Fitting </t>
  </si>
  <si>
    <t>ACSR Panther Single Tension Fitting</t>
  </si>
  <si>
    <t>II5I504004</t>
  </si>
  <si>
    <t>ACSR Zebra Single Suspension Fitting</t>
  </si>
  <si>
    <t>132 KV LA (Old and Used)</t>
  </si>
  <si>
    <t>33 KV LA (Old and Used)</t>
  </si>
  <si>
    <t>VV0V003007</t>
  </si>
  <si>
    <t>132 KV /33KV 5MVA Power TF (GEC) Defective</t>
  </si>
  <si>
    <t>VV1V101034</t>
  </si>
  <si>
    <t>132/33 KV HV-40 MVA Transformer Bushing</t>
  </si>
  <si>
    <t>145 KV (5 core) CT (200/100/1A)</t>
  </si>
  <si>
    <t>33 KV CT 400/200/1A 3 Core</t>
  </si>
  <si>
    <t>VV4V305012</t>
  </si>
  <si>
    <t>33KV CT 300/150/1 A</t>
  </si>
  <si>
    <t>33 KV CT 200-100/1 Amp 3 Core</t>
  </si>
  <si>
    <t>VV6V602003</t>
  </si>
  <si>
    <t>145 KV CVT (Accuracy Class 0.5)</t>
  </si>
  <si>
    <t>M&amp;R</t>
  </si>
  <si>
    <t>Acsr Conductor Panther</t>
  </si>
  <si>
    <t>ACSR Conductor Weasel</t>
  </si>
  <si>
    <t>AA1A102002</t>
  </si>
  <si>
    <t>Stay wire set</t>
  </si>
  <si>
    <t>AA1A102003</t>
  </si>
  <si>
    <t>GI wire 8 No.</t>
  </si>
  <si>
    <t>4C x 2.5 Sqmm armoured control cable (copper)</t>
  </si>
  <si>
    <t>Kmtr</t>
  </si>
  <si>
    <t>CC1C103010</t>
  </si>
  <si>
    <t>3.5C x 70 Sqmm armoured power cable (Al)</t>
  </si>
  <si>
    <t>CC1C103014</t>
  </si>
  <si>
    <t>4C x 16 Sqmm armoured power cable (Al)</t>
  </si>
  <si>
    <t>CC3C307002</t>
  </si>
  <si>
    <t xml:space="preserve">33 KV Heat Shrink Cable termination kit outdoor type for 3-ph 300 sqmm XLPE cable </t>
  </si>
  <si>
    <t>CC3C317002</t>
  </si>
  <si>
    <t>HT Tape roll suitable for 11 KV to 33 KV</t>
  </si>
  <si>
    <t>FF1F101068</t>
  </si>
  <si>
    <t>steel nut&amp;bolt of different size</t>
  </si>
  <si>
    <t>FF1F108003</t>
  </si>
  <si>
    <t>U Type bolt- with Nuts and Washer</t>
  </si>
  <si>
    <t>FF3F301007</t>
  </si>
  <si>
    <t>S.T. Round Pole (6.5Mtr cut piece)</t>
  </si>
  <si>
    <t>GG0G001001</t>
  </si>
  <si>
    <t>Petrollium Jelly</t>
  </si>
  <si>
    <t>GG0G001003</t>
  </si>
  <si>
    <t>CRC Bottle 500 ml</t>
  </si>
  <si>
    <t>GG0G001006</t>
  </si>
  <si>
    <t>Grease Standard Quality</t>
  </si>
  <si>
    <t>Disc Insulator (Line 2S account)</t>
  </si>
  <si>
    <t>PG Clamp Zebra to Panther</t>
  </si>
  <si>
    <t>3 Bolted PG Clamp Panther to Panther</t>
  </si>
  <si>
    <t>C-Wedge Clamp Zebra to Panther</t>
  </si>
  <si>
    <t>C-Wedge Clamp Panther to Panther</t>
  </si>
  <si>
    <t>II2I201001</t>
  </si>
  <si>
    <t>SP Pole Stay Clamp</t>
  </si>
  <si>
    <t>II2I204005</t>
  </si>
  <si>
    <t>PG Clamp for HV Transformer Bushing for 20MVA 132/33KV Transformer</t>
  </si>
  <si>
    <t>Panther Conductor Mid Span Joint</t>
  </si>
  <si>
    <t>7/10 SWG Conductor Repair Sleeve</t>
  </si>
  <si>
    <t>7/10 SWG Wire Vibration Damper</t>
  </si>
  <si>
    <t>132 KV SF6 Circuit Breaker 110 V DC Trip Coil</t>
  </si>
  <si>
    <t>JJ3J301007</t>
  </si>
  <si>
    <t>132 KV SF6 Circuit Breaker 110 V DC Closing Coil</t>
  </si>
  <si>
    <t>JJ3J301014</t>
  </si>
  <si>
    <t>132 KV SF6 Circuit Breaker Spring Charging Motor</t>
  </si>
  <si>
    <t>33KV SF6 Circuit Breaker 220 V AC/DC Spring Charging Motor</t>
  </si>
  <si>
    <t>JJ5J501006</t>
  </si>
  <si>
    <t>33 KV SF6 Circuit Breaker 110V DC Trip Coil</t>
  </si>
  <si>
    <t>33 KV SF6 Circuit Breaker 110V DC Closing Coil</t>
  </si>
  <si>
    <t>JJ7J701004</t>
  </si>
  <si>
    <t xml:space="preserve">Limit switch 110VDC CB Auxiliary Switch for spring </t>
  </si>
  <si>
    <t>Local/Remote Switch CB Auxiliary Switch</t>
  </si>
  <si>
    <t>JJ7J701013</t>
  </si>
  <si>
    <t>14NO+14NC CB Auxiliary Switch</t>
  </si>
  <si>
    <t>JJ7J701020</t>
  </si>
  <si>
    <t xml:space="preserve">Auxiliary Power Contact for 
132KV ABB Make Breaker </t>
  </si>
  <si>
    <t>SF6 Gas</t>
  </si>
  <si>
    <t>JJ7J710028</t>
  </si>
  <si>
    <t>Circuit Breaker Operation Counter</t>
  </si>
  <si>
    <t>T&amp;C Selector switch</t>
  </si>
  <si>
    <t>JJ3J301009</t>
  </si>
  <si>
    <t>Interlocking relay for ABB 132 KV Breaker 110 VDC</t>
  </si>
  <si>
    <t>Air Break Contactor LC -1 250 Volt aux contacts 1 NO + 1 NC 25 Amp</t>
  </si>
  <si>
    <t>JJ3J302030</t>
  </si>
  <si>
    <t xml:space="preserve">Supply  of Anti pumping relay for 33KV ABB Make Breaker </t>
  </si>
  <si>
    <t xml:space="preserve">Antipumping Relay for 132KV ABB Make Breaker </t>
  </si>
  <si>
    <t>132 KV Lighting Arrestor</t>
  </si>
  <si>
    <t>33 KV Lighting Arrestor</t>
  </si>
  <si>
    <t>MM2M202007</t>
  </si>
  <si>
    <t>132 KV Voltmeter</t>
  </si>
  <si>
    <t>MM2M202011</t>
  </si>
  <si>
    <t>33 KV Voltmeter</t>
  </si>
  <si>
    <t>Digital Ampere Meter (0-400A)</t>
  </si>
  <si>
    <t>Digital Ampere Meter (0-200A)</t>
  </si>
  <si>
    <t>MM3M304015</t>
  </si>
  <si>
    <t>MW meter (-25 MW to 25 MW)</t>
  </si>
  <si>
    <t>MM2M205016</t>
  </si>
  <si>
    <t>MVAR meter (-12.5 MVAR to +12.5 MVAr)</t>
  </si>
  <si>
    <t>NN4N403001</t>
  </si>
  <si>
    <t>Indication lamp red colour LED 110VDC</t>
  </si>
  <si>
    <t>NN4N403002</t>
  </si>
  <si>
    <t>Indication Lamp Yellow colour LED 110 VDC</t>
  </si>
  <si>
    <t>NN4N403003</t>
  </si>
  <si>
    <t>Indication Lamp Green colour LED 110 VDC</t>
  </si>
  <si>
    <t>NN4N411005</t>
  </si>
  <si>
    <t>63 Amp 250 V Rotary Switch</t>
  </si>
  <si>
    <t>PP1P141005</t>
  </si>
  <si>
    <t>Submersible pump 5HP</t>
  </si>
  <si>
    <t>GI D-Shackle</t>
  </si>
  <si>
    <t>PP0P010002</t>
  </si>
  <si>
    <t>Heavy duty turn buckle for transmission lines 5 Ton</t>
  </si>
  <si>
    <t>132KV Isolator Male contact blade</t>
  </si>
  <si>
    <t>132KV Isolator Female contact blade</t>
  </si>
  <si>
    <t>SS3S301016</t>
  </si>
  <si>
    <t>132KV Isolator supporting Insulator</t>
  </si>
  <si>
    <t>SS4S402001</t>
  </si>
  <si>
    <t>33KV Isolator Jaw</t>
  </si>
  <si>
    <t>SS4S402015</t>
  </si>
  <si>
    <t>33 KV Isolator Blade Copper tube</t>
  </si>
  <si>
    <t>33 KV Bus Post Insulator</t>
  </si>
  <si>
    <t>SS5S501017</t>
  </si>
  <si>
    <t>132 KV isolator clamp</t>
  </si>
  <si>
    <t>Isolator Clamp 132 KV for ACSR Panther Conductor</t>
  </si>
  <si>
    <t>SS5S501021</t>
  </si>
  <si>
    <t>Single Panther Isolator Clamp(33 KV Terminal Pad type)</t>
  </si>
  <si>
    <t>SS5S501026</t>
  </si>
  <si>
    <t>Single Dog Isolator Clamp</t>
  </si>
  <si>
    <t>SS6S606006</t>
  </si>
  <si>
    <t xml:space="preserve">Power Contact for 132KV
 ABB Make Breaker </t>
  </si>
  <si>
    <t>SS6S610020</t>
  </si>
  <si>
    <t xml:space="preserve">HRC Fuse 10 AMP </t>
  </si>
  <si>
    <t>SS6S610022</t>
  </si>
  <si>
    <t xml:space="preserve">HRC Fuse 6 AMP </t>
  </si>
  <si>
    <t>SS6S610026</t>
  </si>
  <si>
    <t xml:space="preserve">HRC Fuse 4 AMP </t>
  </si>
  <si>
    <t>SS6S610027</t>
  </si>
  <si>
    <t xml:space="preserve">HRC Fuse 2 AMP </t>
  </si>
  <si>
    <t>SS7S702002</t>
  </si>
  <si>
    <t>Double Pole MCB 10 Amp 110 Volt</t>
  </si>
  <si>
    <t xml:space="preserve">Dc MCB 2pole Rating 10A 110V DC </t>
  </si>
  <si>
    <t>SS7S702004</t>
  </si>
  <si>
    <t xml:space="preserve">Dc MCB 2pole Rating 6A 110V DC </t>
  </si>
  <si>
    <t>SS7S702006</t>
  </si>
  <si>
    <t xml:space="preserve">Dc MCB 2pole Rating 4A 110V DC </t>
  </si>
  <si>
    <t>SS7S702007</t>
  </si>
  <si>
    <t xml:space="preserve">MCB  2pole 2A 110V DC </t>
  </si>
  <si>
    <t>SS7S704008</t>
  </si>
  <si>
    <t xml:space="preserve">Double Pole MCB 02 Amp </t>
  </si>
  <si>
    <t xml:space="preserve">MCB  2 Pole Rating 2A 240VAc </t>
  </si>
  <si>
    <t>SS7S705001</t>
  </si>
  <si>
    <t xml:space="preserve">3 Pole 440 Volt LT Circuit Breaker
 rated current 60A breaking Capacity Ics-37KA with  Lugs  of C&amp;S make </t>
  </si>
  <si>
    <t>Transformer Oil Sampling stainless steel Bottle 2 Ltr</t>
  </si>
  <si>
    <t>VV2V204004</t>
  </si>
  <si>
    <t>Transformer Oil Sampling stainless steel Bottle 1 Ltr</t>
  </si>
  <si>
    <t>VV2V204001</t>
  </si>
  <si>
    <t>Transformer Oil Old &amp; Used</t>
  </si>
  <si>
    <t>VV2V204007</t>
  </si>
  <si>
    <t>Transformer Drms Old &amp; Used</t>
  </si>
  <si>
    <t>VV2V210001</t>
  </si>
  <si>
    <t>TF conservator shutoff valve 75mm bore</t>
  </si>
  <si>
    <t>CT clamp</t>
  </si>
  <si>
    <t>CT clamp suitable for panther conductor</t>
  </si>
  <si>
    <t>VV2V205001</t>
  </si>
  <si>
    <t>Online leakage arrester kit</t>
  </si>
  <si>
    <t>Silica gel in blue colour</t>
  </si>
  <si>
    <t>ZZ2Z005004</t>
  </si>
  <si>
    <t>AC Ampere meter size 65x65 mm range 0-25 Amp</t>
  </si>
  <si>
    <t>Thermal over load relay Make Telemechanic</t>
  </si>
  <si>
    <t>Premium Butain gas bottle 300gm</t>
  </si>
  <si>
    <t xml:space="preserve">Surge Counter for LA </t>
  </si>
  <si>
    <t>Foundation Bolt 25mm</t>
  </si>
  <si>
    <t>ZZ1Z001001</t>
  </si>
  <si>
    <t>Fire Fighting Foam type 50 Ltr</t>
  </si>
  <si>
    <t>TF oil Empty oil drum</t>
  </si>
  <si>
    <t>CO2 Type Fire Ext. 2.2 Kg. Capacity scrap</t>
  </si>
  <si>
    <t>CO2 Type Fire Ext. 4.5 Kg. Capacity scrap</t>
  </si>
  <si>
    <t>CO2 Type Fire Ext. 9 Kg. Capacity scrap</t>
  </si>
  <si>
    <t>CO2 Type Fire Ext. 22.5 Kg. Capacity scrap</t>
  </si>
  <si>
    <t>AFFF mechanical foam type 9 Ltr Capacity Fire Ext. Scrap</t>
  </si>
  <si>
    <t>Stored pressure type 10 Kg Capacity Fire Ext. Scrap</t>
  </si>
  <si>
    <t>Stored pressure type 25 Kg Capacity Fire Ext. Scrap</t>
  </si>
  <si>
    <t xml:space="preserve"> (WTI) Scrap</t>
  </si>
  <si>
    <t>Oil Surge Relay Transformer Relay (Scrap)</t>
  </si>
  <si>
    <t>UB+0 type tower part galv. Damaged</t>
  </si>
  <si>
    <t>300 AH Tubular lead acid battery cell 2 Volt</t>
  </si>
  <si>
    <t>33 KV CB (Defective)</t>
  </si>
  <si>
    <t>Name of Circle/ Zone :- Haldwani / Kumaon                                                                                                                Name of Substation :- 132 KV S/s Pithoragarh</t>
  </si>
  <si>
    <t>Name of  Division:- O&amp;M Almora                                                                                                                                                                                                                                                                        Month : July 2025</t>
  </si>
  <si>
    <t xml:space="preserve"> Stock &amp; T&amp;P  Material Up To : 22 August-2026 of Sri Anand Singh Gobari J.E.  At 132 KV Substation Pithoragarh</t>
  </si>
  <si>
    <t>S.n.</t>
  </si>
  <si>
    <t xml:space="preserve">Item Description </t>
  </si>
  <si>
    <t>Quantity</t>
  </si>
  <si>
    <t>Book Value per Unit</t>
  </si>
  <si>
    <t>Unservicable</t>
  </si>
  <si>
    <t xml:space="preserve">ACSR Conductor Moose </t>
  </si>
  <si>
    <t>ACSR Conductor Zebra Conductor in pieces</t>
  </si>
  <si>
    <t>BB0B002001</t>
  </si>
  <si>
    <t xml:space="preserve"> 552.50 KVARCapacitor Cell suitable for2X5 MVAR CAPACITOR Bank</t>
  </si>
  <si>
    <t>PVC Control Cable  6core</t>
  </si>
  <si>
    <t>PVC Control Cable  4 core</t>
  </si>
  <si>
    <t>PVC Control Cable  2X2.5 sqmm copper</t>
  </si>
  <si>
    <t>FF3F301036</t>
  </si>
  <si>
    <t xml:space="preserve">66 KV Dismanteled Colum with Nuts &amp; Bolts </t>
  </si>
  <si>
    <t>FF3F301040</t>
  </si>
  <si>
    <t>Galvanised Steelstructure with bolts &amp; Nuts (01 No. Colum)</t>
  </si>
  <si>
    <t>FF4F401011</t>
  </si>
  <si>
    <t>Galvanised Nuts &amp; Bolts-16x85 mm</t>
  </si>
  <si>
    <t>FF4F401023</t>
  </si>
  <si>
    <t xml:space="preserve">Galvanised Nuts &amp; Bolts-16x50 mm / 16 X 2"/5/8" </t>
  </si>
  <si>
    <t>FF6F601006</t>
  </si>
  <si>
    <t xml:space="preserve">GI Pack Washer- 16x8 mm </t>
  </si>
  <si>
    <t>FF7F701004</t>
  </si>
  <si>
    <t>MS Earthing rod- 36 mm dia</t>
  </si>
  <si>
    <t>FF9F902001</t>
  </si>
  <si>
    <t xml:space="preserve"> Alimunium - Strip 25x3 mm</t>
  </si>
  <si>
    <t>HH6H601004</t>
  </si>
  <si>
    <t xml:space="preserve"> Jaws  Finger of 132 KV Isolater </t>
  </si>
  <si>
    <t>HH8H801002</t>
  </si>
  <si>
    <t xml:space="preserve">Jaw of 33 KV Isolater </t>
  </si>
  <si>
    <t>HH8H801006</t>
  </si>
  <si>
    <t>132/33 KV Jaw</t>
  </si>
  <si>
    <t>HH9H901017</t>
  </si>
  <si>
    <t>Old &amp; Used Isolator Clamp for Double Panther conductor</t>
  </si>
  <si>
    <t>HH9H901020</t>
  </si>
  <si>
    <t>Heavy duty terminal connector 6 bolted for ACSR Dog conductor for 33 KV Isolator</t>
  </si>
  <si>
    <t>PG Clamp  Moose-  Panther 3 bolted type</t>
  </si>
  <si>
    <t>Old &amp; Used PG Clamp  Moose-  Panther</t>
  </si>
  <si>
    <t>PG Clamp  Deer-  Panther</t>
  </si>
  <si>
    <t>PG Clamp  Zebra-  Panther</t>
  </si>
  <si>
    <t>Old &amp; Used PG Clamp  Zebra-  Panther</t>
  </si>
  <si>
    <t>PG Clamp  Zebra-  Dog with 16 mm dia 4 bolted type</t>
  </si>
  <si>
    <t>II1I105003</t>
  </si>
  <si>
    <t>PG Clamp  Panther-  Dog 3 bolted type</t>
  </si>
  <si>
    <t>II1I106001</t>
  </si>
  <si>
    <t>PG Clamp  Panther to Racoon with 13 mm dia 3 bolted type</t>
  </si>
  <si>
    <t>II2I204002</t>
  </si>
  <si>
    <t xml:space="preserve"> C-wedge Clamp suitable for ACSR  Zebra-  Panther conductor</t>
  </si>
  <si>
    <t>II8I807002</t>
  </si>
  <si>
    <t xml:space="preserve">  Bolted Type Tension Fitting   Moose Conductor </t>
  </si>
  <si>
    <t>II8I807005</t>
  </si>
  <si>
    <t xml:space="preserve">  Bolted Type Tension Fitting   Panther</t>
  </si>
  <si>
    <t xml:space="preserve">  Old &amp; Used Bolted Type Tension Fitting   Panther</t>
  </si>
  <si>
    <t>JJ1J103005</t>
  </si>
  <si>
    <t>Tripping coil of 132 Kv SF6 Ckt. Breaker of AREVA make</t>
  </si>
  <si>
    <t>Tripping coil of 132 Kv SF6 Ckt. Breaker of ABB make</t>
  </si>
  <si>
    <t>JJ1J105005</t>
  </si>
  <si>
    <t>Tripping coil 110 V DC forABB Breaker</t>
  </si>
  <si>
    <t>Tripping coil ABB Make</t>
  </si>
  <si>
    <t>Tripping coil 110 V DC for 33 KV BHEL Ckt. Breaker</t>
  </si>
  <si>
    <t>JJ1J105007</t>
  </si>
  <si>
    <t>Closing coil 110V DC for ABB breaker</t>
  </si>
  <si>
    <t>Closing coil ABB Make</t>
  </si>
  <si>
    <t>JJ1J105034</t>
  </si>
  <si>
    <t>Single phase Spring charge motor for 33 KV SF6 Ckt. Breaker CGL make</t>
  </si>
  <si>
    <t>33 KV Polymer Lightning Arrestor with surge counter</t>
  </si>
  <si>
    <t>KK1K001007</t>
  </si>
  <si>
    <t>132 KV Lightning Arrester counter</t>
  </si>
  <si>
    <t>LL6L602002</t>
  </si>
  <si>
    <t>1.5 Sq.mm Flexible wire roll (90 mtr. Each)</t>
  </si>
  <si>
    <t>MM3M301006</t>
  </si>
  <si>
    <t>Volt Meter</t>
  </si>
  <si>
    <t>Ampere Meter</t>
  </si>
  <si>
    <t>MM1M114005</t>
  </si>
  <si>
    <t>T&amp;C selector switch</t>
  </si>
  <si>
    <t>MM1M108016</t>
  </si>
  <si>
    <t>440 V,63 Amp TP Iron Clad Switch make Havells</t>
  </si>
  <si>
    <t>Energy meter</t>
  </si>
  <si>
    <t>QQ1Q106001</t>
  </si>
  <si>
    <t>Wire mesh fencing with four row barbed wire</t>
  </si>
  <si>
    <t>SS1S104007</t>
  </si>
  <si>
    <t>Contactor  415V AC  220v ac 38 Amps. 440v with auxilary</t>
  </si>
  <si>
    <t>SS5S501003</t>
  </si>
  <si>
    <t xml:space="preserve">63 Amp. 4 poleMCCB </t>
  </si>
  <si>
    <t>VV2V201002</t>
  </si>
  <si>
    <t>nitril gasket 10mm thickness</t>
  </si>
  <si>
    <t>Sqmtr.</t>
  </si>
  <si>
    <t>VV2V201003</t>
  </si>
  <si>
    <t>nitril gasket 8mm thickness</t>
  </si>
  <si>
    <t>VV2V201005</t>
  </si>
  <si>
    <t>nitril gasket 6mm thickness</t>
  </si>
  <si>
    <t xml:space="preserve">ElectrolT/F oil as per Is 335:1993 </t>
  </si>
  <si>
    <t>KL</t>
  </si>
  <si>
    <t>Transformer oil old &amp; used(Centrifuged)</t>
  </si>
  <si>
    <t>VV3V301007</t>
  </si>
  <si>
    <t>Empty Trasformer oil Drum</t>
  </si>
  <si>
    <t>Transformer oil drums old &amp;used</t>
  </si>
  <si>
    <t>VV3V301003</t>
  </si>
  <si>
    <t xml:space="preserve">   Stainless steel T/F Oil Sampling Container of 2 Ltr. Capacity</t>
  </si>
  <si>
    <t>VV3V301004</t>
  </si>
  <si>
    <t xml:space="preserve"> Stainless steel T/F Oil Sampling Container of 1 Ltr. Capacity</t>
  </si>
  <si>
    <t>VV4V403002</t>
  </si>
  <si>
    <t xml:space="preserve">magnetic oil level guage </t>
  </si>
  <si>
    <t>VV5V503002</t>
  </si>
  <si>
    <t>132 KV three core CT having CT ratio 800/400/1A(Hepta care)</t>
  </si>
  <si>
    <t>VV5V503013</t>
  </si>
  <si>
    <t>145 KV CT 200/100/1A with terminal connector</t>
  </si>
  <si>
    <t>VV7V705005</t>
  </si>
  <si>
    <t>Junction Box for 33 KV CT</t>
  </si>
  <si>
    <t>Junction Box for 33 KV PT</t>
  </si>
  <si>
    <t>PG Clamp Zebra to Zebra Conductor</t>
  </si>
  <si>
    <t>FF4F401043</t>
  </si>
  <si>
    <t>12 mm Thickness 2.5 inches long GI Nuts &amp; bolts with two washer</t>
  </si>
  <si>
    <t>Aluminum cable 3.5 X 35 Sqmm</t>
  </si>
  <si>
    <t>132 KV LA(Old &amp; Used)</t>
  </si>
  <si>
    <t>Online oil leakage Arrestor Kit</t>
  </si>
  <si>
    <t xml:space="preserve"> Silica gel in blue colour crystal</t>
  </si>
  <si>
    <t>33 KV outdoor termination kit 3 X 300 sqmm</t>
  </si>
  <si>
    <t>Galvnizing coating spraywith zinc of 400 ml pack</t>
  </si>
  <si>
    <t>Old &amp; used 20 MVA T/F (NGEF Make)</t>
  </si>
  <si>
    <t>Obselet &amp; Scrap Material -</t>
  </si>
  <si>
    <t>JJ1J105019</t>
  </si>
  <si>
    <t>Defective Spring charge motor of 33 kv ckt. Breaker (ABB)</t>
  </si>
  <si>
    <t xml:space="preserve">Battery set 110V, 60AH, old used and unserviceable   </t>
  </si>
  <si>
    <t>YY1Y101006</t>
  </si>
  <si>
    <t>02 V 300 AH Battery Cell Old &amp; Used Damaged</t>
  </si>
  <si>
    <t xml:space="preserve">Battery set 110V, 300 AH Tubular lead acid, old used and unserviceable   </t>
  </si>
  <si>
    <t>CT Junction Box</t>
  </si>
  <si>
    <t>PT Junction Box</t>
  </si>
  <si>
    <t>VV8V810003</t>
  </si>
  <si>
    <t xml:space="preserve">145KV C.V.T. ABB make  </t>
  </si>
  <si>
    <t>CC5C506002</t>
  </si>
  <si>
    <t xml:space="preserve">11 KV Cable box XLPE 3X400 Sq.mm outdoor type   </t>
  </si>
  <si>
    <t>NN9N906001</t>
  </si>
  <si>
    <t xml:space="preserve">11KV, 630 A, 350 MVA ,V.C.B. incoming panel make C.G.L.  </t>
  </si>
  <si>
    <t>NN9N906002</t>
  </si>
  <si>
    <t xml:space="preserve">11KV, 630 A, 350 MVA,V.C.B. outgoing panel make C.G.L.  </t>
  </si>
  <si>
    <t xml:space="preserve">11KV, 630 A, 350 MVA ,V.C.B. bus coupler make C.G.L.    </t>
  </si>
  <si>
    <t>VV7V705002</t>
  </si>
  <si>
    <t>Old &amp; Used 33 KV PT (1Ph)</t>
  </si>
  <si>
    <t>VV5V505021</t>
  </si>
  <si>
    <t>Old &amp; Used 33 KV CT 400/200/1 Amp,2 core</t>
  </si>
  <si>
    <t>Old and used 132 KV CT 400/200/100/1A (SCT make)</t>
  </si>
  <si>
    <t>Old &amp; used 145 Kv CVT (ABB Make)</t>
  </si>
  <si>
    <t>Old &amp; Used 33 KV Ckt. Breaker (VCB) ABB Make</t>
  </si>
  <si>
    <t>Old &amp; used 145 KV CVT Alstom Make</t>
  </si>
  <si>
    <t>old &amp; used 33 KV CT,(Ratio-400/200/1A)</t>
  </si>
  <si>
    <t>old &amp; used 33 KV CT,(Ratio-200/100/1A)</t>
  </si>
  <si>
    <t>T&amp;P at 132 KV Substation Pithoragarh</t>
  </si>
  <si>
    <t>PP4P402010</t>
  </si>
  <si>
    <t>Steel Almirah 1830x760x460</t>
  </si>
  <si>
    <t>No.s</t>
  </si>
  <si>
    <t>PP4P402013</t>
  </si>
  <si>
    <t>Steel Almirah 1280x760x415</t>
  </si>
  <si>
    <t xml:space="preserve"> PP4P425022 </t>
  </si>
  <si>
    <t>Office table with drawer</t>
  </si>
  <si>
    <t>Aram Chair Cane back sheet</t>
  </si>
  <si>
    <t xml:space="preserve"> PP4P406002</t>
  </si>
  <si>
    <t>Office rack solid top 760x930x315</t>
  </si>
  <si>
    <t xml:space="preserve"> PP4P411008 </t>
  </si>
  <si>
    <t>Bench wooden firmed</t>
  </si>
  <si>
    <t xml:space="preserve"> PP1P117012 </t>
  </si>
  <si>
    <t>Socket set Taparia</t>
  </si>
  <si>
    <t xml:space="preserve"> PP1P119012 </t>
  </si>
  <si>
    <t>Pipe Wrench18"</t>
  </si>
  <si>
    <t xml:space="preserve"> PP1P121001 </t>
  </si>
  <si>
    <t>Slide/adjustable wrench 8"</t>
  </si>
  <si>
    <t xml:space="preserve"> PP2P205004 </t>
  </si>
  <si>
    <t>Digital Multimeter (Small)</t>
  </si>
  <si>
    <t xml:space="preserve"> PP1P118009 </t>
  </si>
  <si>
    <t>Screw Driver 12"</t>
  </si>
  <si>
    <t>Nose Plier</t>
  </si>
  <si>
    <t>PP1P116008</t>
  </si>
  <si>
    <t>BOX Spanner</t>
  </si>
  <si>
    <t xml:space="preserve"> PP1P1140020</t>
  </si>
  <si>
    <t>D/E Spanner 12x13</t>
  </si>
  <si>
    <t xml:space="preserve"> PP1P114018</t>
  </si>
  <si>
    <t>D/E Spanner 14x15</t>
  </si>
  <si>
    <t xml:space="preserve"> PP1P114017</t>
  </si>
  <si>
    <t>D/E Spanner 16x17</t>
  </si>
  <si>
    <t xml:space="preserve"> PP1P114013</t>
  </si>
  <si>
    <t>D/E Spanner 18x19</t>
  </si>
  <si>
    <t xml:space="preserve"> PP1P114011 </t>
  </si>
  <si>
    <t>D/E Spanner 20x22</t>
  </si>
  <si>
    <t xml:space="preserve"> PP1P115015 </t>
  </si>
  <si>
    <t>Ring Spanner 12x13</t>
  </si>
  <si>
    <t xml:space="preserve"> PP1P115016</t>
  </si>
  <si>
    <t>RIng Spanner 14x15</t>
  </si>
  <si>
    <t xml:space="preserve"> PP1P115017</t>
  </si>
  <si>
    <t>Ring Spanner 16x17</t>
  </si>
  <si>
    <t xml:space="preserve"> PP1P115018</t>
  </si>
  <si>
    <t>Ring Spanner 18x19</t>
  </si>
  <si>
    <t xml:space="preserve"> PP1P115019</t>
  </si>
  <si>
    <t>Ring Spanner 20x22</t>
  </si>
  <si>
    <t xml:space="preserve"> PP1P115020</t>
  </si>
  <si>
    <t>Ring Spanner 21x23</t>
  </si>
  <si>
    <t xml:space="preserve"> PP4P426002 </t>
  </si>
  <si>
    <t>Office table with with sun mica top 4.5'x3'</t>
  </si>
  <si>
    <t xml:space="preserve"> PP4P411004 </t>
  </si>
  <si>
    <t>Office Chair with arm (S) model</t>
  </si>
  <si>
    <t xml:space="preserve"> DD0D001010 </t>
  </si>
  <si>
    <t>Desck Top computer make-HCl</t>
  </si>
  <si>
    <t xml:space="preserve"> DD0D005007 </t>
  </si>
  <si>
    <t>BiLangual key board</t>
  </si>
  <si>
    <t>Internal modem(56kbps)</t>
  </si>
  <si>
    <t>PP4P411010</t>
  </si>
  <si>
    <t>Office chair</t>
  </si>
  <si>
    <t xml:space="preserve"> PP4P425020 </t>
  </si>
  <si>
    <t>office table</t>
  </si>
  <si>
    <t>PP4P426015</t>
  </si>
  <si>
    <t>office table with sunmica top4'x2'</t>
  </si>
  <si>
    <t>PP4P402009</t>
  </si>
  <si>
    <t>Steel Almirah1860x760x430mm</t>
  </si>
  <si>
    <t xml:space="preserve"> PP4P402020 </t>
  </si>
  <si>
    <t>Steel Almirah (small)</t>
  </si>
  <si>
    <t xml:space="preserve"> PP4P413002 </t>
  </si>
  <si>
    <t>Charan Safe</t>
  </si>
  <si>
    <t xml:space="preserve"> PP1P101006 </t>
  </si>
  <si>
    <t>box 67x44x29</t>
  </si>
  <si>
    <t xml:space="preserve"> PP2P205001 </t>
  </si>
  <si>
    <t>Multi meter make - Motwane</t>
  </si>
  <si>
    <t>Multi meter make - Rishaabh</t>
  </si>
  <si>
    <t>PP2P201001</t>
  </si>
  <si>
    <t>Tong Tester Make- Motwane</t>
  </si>
  <si>
    <t xml:space="preserve"> PP1P144006 </t>
  </si>
  <si>
    <t>Discharge rod having 4.5 mtr. In 3peices1.5 mtr. Each &amp;25 mtr.long cable</t>
  </si>
  <si>
    <t>PP2P211001</t>
  </si>
  <si>
    <t>Vaccume cleanerMake-EurekaForbes</t>
  </si>
  <si>
    <t xml:space="preserve"> PP1P147006</t>
  </si>
  <si>
    <t>Hand Drill With all size bit Make-Bosch</t>
  </si>
  <si>
    <t xml:space="preserve"> PP1P126003 </t>
  </si>
  <si>
    <t>Earth Tester Make -Waco</t>
  </si>
  <si>
    <t xml:space="preserve"> PP2P203002 </t>
  </si>
  <si>
    <t>DC Load Tester</t>
  </si>
  <si>
    <t xml:space="preserve"> PP4P425021 </t>
  </si>
  <si>
    <t>Table with both size drawer of size 5x3 feet</t>
  </si>
  <si>
    <t xml:space="preserve"> PP4P432005 </t>
  </si>
  <si>
    <t>Computer table with one side drawer</t>
  </si>
  <si>
    <t>Filling cabinet with four drawer of 52"x15"x27"(18-20Guage)</t>
  </si>
  <si>
    <t>PP4P402018</t>
  </si>
  <si>
    <t xml:space="preserve">Almirah with five sleves </t>
  </si>
  <si>
    <t>Steel bench with 3 seats</t>
  </si>
  <si>
    <t xml:space="preserve"> PP4P409022 </t>
  </si>
  <si>
    <t>Low back Excutive chair</t>
  </si>
  <si>
    <t>PP4P411012</t>
  </si>
  <si>
    <t>Vistor chair</t>
  </si>
  <si>
    <t xml:space="preserve"> PP4P412010 </t>
  </si>
  <si>
    <t>Stool</t>
  </si>
  <si>
    <t>Stroewell Plain Almirah</t>
  </si>
  <si>
    <t>Multipurpose visitor chair(1007)</t>
  </si>
  <si>
    <t>Table T9</t>
  </si>
  <si>
    <t>Scrap T&amp;P at 132 KV Substation Pithoragarh</t>
  </si>
  <si>
    <t>Mobile  phone R-220 make -Samsung</t>
  </si>
  <si>
    <t xml:space="preserve"> PP4P411003 </t>
  </si>
  <si>
    <t>Office Chair without arm (S) model</t>
  </si>
  <si>
    <t xml:space="preserve"> DD2D201005 </t>
  </si>
  <si>
    <t>Mc Afee Anti virus</t>
  </si>
  <si>
    <t>DD2D203003</t>
  </si>
  <si>
    <t>Ms office 2007 standard molp without media</t>
  </si>
  <si>
    <t>DD1D102011</t>
  </si>
  <si>
    <t>Combo drive</t>
  </si>
  <si>
    <t xml:space="preserve"> DD0D004003 </t>
  </si>
  <si>
    <t>TFT 39.5cm Monitor make HCL</t>
  </si>
  <si>
    <t>DD1D101005</t>
  </si>
  <si>
    <t>UPS 1.0kva,/68vahmake-Uniline</t>
  </si>
  <si>
    <t xml:space="preserve"> PP2P204007 </t>
  </si>
  <si>
    <t>Hand driven analog megger 5kv make-waco</t>
  </si>
  <si>
    <t xml:space="preserve"> PP2P204010 </t>
  </si>
  <si>
    <t>Electronic Analog Megger5kv Make-Waco</t>
  </si>
  <si>
    <t xml:space="preserve"> DD0D007019 </t>
  </si>
  <si>
    <t>Multi functionPrinter Samsung SCX4521F Sl.No.-8p67bacz801714b</t>
  </si>
  <si>
    <t>Centrifuging machine 500galen capacity</t>
  </si>
  <si>
    <t>Stock material up to : 22 August  2026 of Sri Jitendra Joshi J.E.  At 132 KV Sub Division Pithoragarh</t>
  </si>
  <si>
    <t>AA0A005001</t>
  </si>
  <si>
    <t xml:space="preserve">ACSR panther conductor </t>
  </si>
  <si>
    <t>1.3</t>
  </si>
  <si>
    <t>AA1A102001</t>
  </si>
  <si>
    <t>old &amp; used 7/10 SWG earth wire in pieces</t>
  </si>
  <si>
    <t>16.85</t>
  </si>
  <si>
    <t>AA0A008001</t>
  </si>
  <si>
    <t xml:space="preserve">ACSR dog conductor </t>
  </si>
  <si>
    <t>FF2F233012</t>
  </si>
  <si>
    <t>Template for “C” type tower</t>
  </si>
  <si>
    <t>FF2F233010</t>
  </si>
  <si>
    <t>Template for “B” type tower</t>
  </si>
  <si>
    <t>FF0F003011</t>
  </si>
  <si>
    <t>Galv. Tower parts for “C” type</t>
  </si>
  <si>
    <t>9.8112</t>
  </si>
  <si>
    <t>FF4F401027</t>
  </si>
  <si>
    <t>Galv. Nuts &amp; bolts16*35 , W.T/Pcs.= 0.117kg</t>
  </si>
  <si>
    <t>24.456</t>
  </si>
  <si>
    <t>Galv. Nuts &amp; bolts16*50 , W.T/Pcs.= 0.141kg</t>
  </si>
  <si>
    <t>33.435</t>
  </si>
  <si>
    <t>FF4F401022</t>
  </si>
  <si>
    <t>Galv. Nuts &amp; bolts16*55 , W.T/Pcs.= 0.149kg</t>
  </si>
  <si>
    <t>FF4F401008</t>
  </si>
  <si>
    <t>Galv. Nuts &amp; bolts16*175 , W.T/Pcs.= 0.417kg</t>
  </si>
  <si>
    <t>85.352</t>
  </si>
  <si>
    <t>FF4F402104</t>
  </si>
  <si>
    <t xml:space="preserve"> M 16 pack washer 6mm w.t/Pcs=0.034kg</t>
  </si>
  <si>
    <t>2.724</t>
  </si>
  <si>
    <t>FF4F402103</t>
  </si>
  <si>
    <t xml:space="preserve"> M 16 pack washer 8mm w.t/Pcs=0.045kg</t>
  </si>
  <si>
    <t>3.78</t>
  </si>
  <si>
    <t xml:space="preserve"> M 16 pack washer 10mm w.t/Pcs=0.057kg</t>
  </si>
  <si>
    <t>1.948</t>
  </si>
  <si>
    <t>FF4F402105</t>
  </si>
  <si>
    <t xml:space="preserve"> M 16*5 pack washer  w.t/Pcs=0.011kg</t>
  </si>
  <si>
    <t>6.905</t>
  </si>
  <si>
    <t>FF4F402139</t>
  </si>
  <si>
    <t>MS channel size 125*65 mm for top channel of SP-72 pole</t>
  </si>
  <si>
    <t>0.386</t>
  </si>
  <si>
    <t>FF2F233003</t>
  </si>
  <si>
    <t>GI template B-type</t>
  </si>
  <si>
    <t>FF2F233005</t>
  </si>
  <si>
    <t>GI template C-type</t>
  </si>
  <si>
    <t>Mid Span Joints</t>
  </si>
  <si>
    <t>95</t>
  </si>
  <si>
    <t>Repair Sleeve for Panther</t>
  </si>
  <si>
    <t>58</t>
  </si>
  <si>
    <t>II5I501009</t>
  </si>
  <si>
    <t>Mid Span Joint for Earth wire</t>
  </si>
  <si>
    <t>23</t>
  </si>
  <si>
    <t>II0I002002</t>
  </si>
  <si>
    <t>120 KN silicon rubber/polymer disc insulator including cross arm &amp; conductor end fitting</t>
  </si>
  <si>
    <t>2</t>
  </si>
  <si>
    <t>PG clamp moose to panther 4 bolted type</t>
  </si>
  <si>
    <t>15</t>
  </si>
  <si>
    <t>PG clamp moose to moose</t>
  </si>
  <si>
    <t>II0I002001</t>
  </si>
  <si>
    <t>disc insulator</t>
  </si>
  <si>
    <t>110</t>
  </si>
  <si>
    <t>II0I004001</t>
  </si>
  <si>
    <t xml:space="preserve"> 70 KN 11kv disc insulator</t>
  </si>
  <si>
    <t>555</t>
  </si>
  <si>
    <t>Steel  rope ½” dia best quality ISI mark</t>
  </si>
  <si>
    <t>Dismantled old &amp; damaged tower parts</t>
  </si>
  <si>
    <t>3.24947</t>
  </si>
  <si>
    <t>MS angel size 65*65*6 mm for bracing of SP-72 pole</t>
  </si>
  <si>
    <t>0.3574</t>
  </si>
  <si>
    <t>old &amp; used tower parts</t>
  </si>
  <si>
    <t>4.5125</t>
  </si>
  <si>
    <t>Galvanized Template (2 Nos.) of B type tower including bolts,nuts &amp; washers</t>
  </si>
  <si>
    <t>Galvanized Template (2 Nos.) of C type tower including bolts,nuts &amp; washers</t>
  </si>
  <si>
    <t>FF2F233007</t>
  </si>
  <si>
    <t>Galvanized Template  of Speciaal/C type tower including bolts,nuts &amp; washers</t>
  </si>
  <si>
    <t>ACSR Panther Conductor in pieces</t>
  </si>
  <si>
    <t>Kms</t>
  </si>
  <si>
    <t>GS Earth wire7/10 SWG</t>
  </si>
  <si>
    <t>II8I802005</t>
  </si>
  <si>
    <t>Double Tension fitting for ACSR Panther Conductor suitable for 120 KN disc insulator</t>
  </si>
  <si>
    <t>Pilot fitting forACSRR Panther conductor suitable for 70 KN disc insulator</t>
  </si>
  <si>
    <t>Tension fitting for GS earth wire 7/10 SWG</t>
  </si>
  <si>
    <t>mid span compression joint for ACSR Panther conductor</t>
  </si>
  <si>
    <t>mid span compression joint for GS Earth wire 7/10 SWG</t>
  </si>
  <si>
    <t>FF4F402184</t>
  </si>
  <si>
    <t>Disc insulator 70 KN</t>
  </si>
  <si>
    <t>AA0A006001</t>
  </si>
  <si>
    <t>AACSR conductor panther equivalent</t>
  </si>
  <si>
    <t>Modified earth wire (7/4 m.m.)</t>
  </si>
  <si>
    <t>II8I802006</t>
  </si>
  <si>
    <t>Double Tension fitting for Single AACSR Panther Conductor suitable for 160 KN disc insulator</t>
  </si>
  <si>
    <t>mid span joint for AACSR panther conductor</t>
  </si>
  <si>
    <t>Repair sleevefor AACSR panther conductor</t>
  </si>
  <si>
    <t>Vibration damper forAACSR panther conductor</t>
  </si>
  <si>
    <t>MSJ for modifiedearth wire (7/4 m.m.)</t>
  </si>
  <si>
    <t>vibration damper for modified earth wire (7/4 m.m.)</t>
  </si>
  <si>
    <t>Compression type tension fitting for modified earth wire (7/4 m.m.)</t>
  </si>
  <si>
    <t>160 KN porcelain insulator</t>
  </si>
  <si>
    <t>Obselet &amp; Scrap Material (Line)-</t>
  </si>
  <si>
    <t>Old used &amp; damaged ACSR panther conductor</t>
  </si>
  <si>
    <t xml:space="preserve">old &amp; used ACSR Dog conductor in pieces </t>
  </si>
  <si>
    <t>Banded &amp; damaged tower parts</t>
  </si>
  <si>
    <t>T&amp;P at 132 KV Substation Pithoragarh (Line)</t>
  </si>
  <si>
    <t>Bolted type come along clamp,7 bolts for ACSR Panther conductor</t>
  </si>
  <si>
    <t xml:space="preserve"> come along clamp,4 bolted type suitable for 7/10 SWG Earth wire,</t>
  </si>
  <si>
    <t>PP0P021012</t>
  </si>
  <si>
    <t>Single sheave pulley open type of 5 ton capacity,</t>
  </si>
  <si>
    <t>Helmet yellow</t>
  </si>
  <si>
    <t>Safety belt  PN 17 full body,</t>
  </si>
  <si>
    <t>Hydraulic conductor cutter,</t>
  </si>
  <si>
    <t>PP0P017021</t>
  </si>
  <si>
    <t>Steel rope endless sling 10 ton capacity 12 mm 1.5 Mtr,</t>
  </si>
  <si>
    <t>Steel rope endless sling 10 ton capacity 12 mm 3 Mtr,</t>
  </si>
  <si>
    <t>Non-Contact High Voltage Detector &amp; Induced Voltage Detector</t>
  </si>
  <si>
    <t>Substation Stock Inventory Status for the month of August 2026</t>
  </si>
  <si>
    <t>Name of Circle/ Zone:- Kumaon Zone</t>
  </si>
  <si>
    <t>Name of Division:- 220 KV O&amp;M Division Pantnagar</t>
  </si>
  <si>
    <t>Name of Substation 220 KV Substation Pantnagar</t>
  </si>
  <si>
    <t>Name of Sub-Division:- 220 KV Sub-Division Pantnagar</t>
  </si>
  <si>
    <t>Month of August 2026</t>
  </si>
  <si>
    <t>Unit Rate in Rs.</t>
  </si>
  <si>
    <t>Dismantle/Incomplete/ Damage/Unservicable</t>
  </si>
  <si>
    <t>ACSR Conductor Moose</t>
  </si>
  <si>
    <t>GI Earth Wire</t>
  </si>
  <si>
    <t>OPGW</t>
  </si>
  <si>
    <t>AA3A301004</t>
  </si>
  <si>
    <t>IPS Aluminium Tube 4"</t>
  </si>
  <si>
    <t>Earth wire &amp; Fitting Scrap</t>
  </si>
  <si>
    <t>Empty earth wire drum</t>
  </si>
  <si>
    <t>BB0B002002</t>
  </si>
  <si>
    <t>Capacitor Cell-  331kvar, 6.9kv</t>
  </si>
  <si>
    <t>PVC Control Cable  - W/o Armoured- 10x2.5mm</t>
  </si>
  <si>
    <t>PVC Control Cable  - W/o Armoured- 2x2.5mm</t>
  </si>
  <si>
    <t>CC1C103012</t>
  </si>
  <si>
    <t>Power Cable - 440V LT - - 3.5x35 Sq. mm</t>
  </si>
  <si>
    <t>CC2C201001</t>
  </si>
  <si>
    <t>FF0F033006</t>
  </si>
  <si>
    <t>Stub for 132KV D/c  B Type</t>
  </si>
  <si>
    <t>FF0F042008</t>
  </si>
  <si>
    <t>Template A Type for 220KV Single Circuit</t>
  </si>
  <si>
    <t>FF0F050002</t>
  </si>
  <si>
    <t>Strcture- Pipe</t>
  </si>
  <si>
    <t>FF0F050028</t>
  </si>
  <si>
    <t>Strcture-HT</t>
  </si>
  <si>
    <t>FF0F050029</t>
  </si>
  <si>
    <t>Strcture-MT</t>
  </si>
  <si>
    <t>FF0F050042</t>
  </si>
  <si>
    <t>Strcture-33KV Isolator</t>
  </si>
  <si>
    <t>Tower Parts- GI (220KV)</t>
  </si>
  <si>
    <t>Tower Parts- GI (132KV)</t>
  </si>
  <si>
    <t>FF0F050031</t>
  </si>
  <si>
    <t>Gantry -GI (132KV)</t>
  </si>
  <si>
    <t>Galvanised Nuts &amp; Bolts-12x70 mm</t>
  </si>
  <si>
    <t>FF4F401044</t>
  </si>
  <si>
    <t>Galvanised Nuts &amp; Bolts-12x50 mm</t>
  </si>
  <si>
    <t>Galvanised Nuts &amp; Bolts-10X80 mm</t>
  </si>
  <si>
    <t>FF4F401054</t>
  </si>
  <si>
    <t>Galvanised Nuts &amp; Bolts-10X100 mm</t>
  </si>
  <si>
    <t>HOT dipped Galvanised-16x45 mm/ (5/8"x1*3/4</t>
  </si>
  <si>
    <t>FF1F101027</t>
  </si>
  <si>
    <t>HOT dipped Galvanised-16x35 mm</t>
  </si>
  <si>
    <t>FF9F904003</t>
  </si>
  <si>
    <t>Copper -Bond Round</t>
  </si>
  <si>
    <t>132 KV Line Fitting old &amp; used</t>
  </si>
  <si>
    <t>Maintenance material Petrolleum Jelly</t>
  </si>
  <si>
    <t>Maintenance material CRC 400 ML Bottle</t>
  </si>
  <si>
    <t>GG0G001007</t>
  </si>
  <si>
    <t>Maintenance material Grease</t>
  </si>
  <si>
    <t>220 KV Isolator Male Arm</t>
  </si>
  <si>
    <t>220 KV Isolator Female Arm</t>
  </si>
  <si>
    <t>SS0S002001</t>
  </si>
  <si>
    <t>220 KV Isolator (old &amp; used)</t>
  </si>
  <si>
    <t>SS0S005003</t>
  </si>
  <si>
    <t>Bus Isolator 33 KV 800 Amp Double break without Earth switch</t>
  </si>
  <si>
    <t>132 KV Isolator Spare Blade Male contact</t>
  </si>
  <si>
    <t>132 KV Isolator Spare Blade Female Contact</t>
  </si>
  <si>
    <t>33 KV Isolater Spare Jaws  800 Amp.</t>
  </si>
  <si>
    <t>33 KV Isolater Spare Blade  800 Amp.</t>
  </si>
  <si>
    <t>33 KV Isolater Spare Jaws  1200 Amp.</t>
  </si>
  <si>
    <t>33 KV Isolater Spare Blade  1200 Amp.</t>
  </si>
  <si>
    <t>SS5S501002</t>
  </si>
  <si>
    <t>Isolator Clamp Rigid terminal connector 4" AL tube (33KV)</t>
  </si>
  <si>
    <t>Isolator Clamp  Through type for 4” IPS Al tube (132KV)</t>
  </si>
  <si>
    <t>SS5S501008</t>
  </si>
  <si>
    <t>Isolator Clamp  Twin moose</t>
  </si>
  <si>
    <t>SS5S501009</t>
  </si>
  <si>
    <t>Isolator Clamp  Single moose</t>
  </si>
  <si>
    <t>132 KV Isolater Spare 1600 A Blade Male contact</t>
  </si>
  <si>
    <t>132 KV Isolater Spare 1600 A Blade Female Contact</t>
  </si>
  <si>
    <t>220 KV Isolator clamp for moose to 30 mm</t>
  </si>
  <si>
    <t>132 KV Isolator clamp for 4" IPS tube to 40 mm</t>
  </si>
  <si>
    <t>33 KV Isolater Spare Blade 1600 Amp.</t>
  </si>
  <si>
    <t>33 KV Isolater Spare Jaws  1600 Amp.</t>
  </si>
  <si>
    <t>4" IPS Tube Clamp for Single Moose</t>
  </si>
  <si>
    <t>4" IPS Tube Clamp for Twin Moose</t>
  </si>
  <si>
    <t>Aluminium Scrap(Burnt Clamp/Isolator Jaw/blade)</t>
  </si>
  <si>
    <t>Aluminium Scrap (220KV Burnt Isolator)</t>
  </si>
  <si>
    <t>Copper Scrap (33KV Burnt Isolator)</t>
  </si>
  <si>
    <t>Copper Scrap (220KV Burnt Isolator Arm)</t>
  </si>
  <si>
    <t>Disc Insulator  160 KN   Porceline</t>
  </si>
  <si>
    <t>Disc Insulator  120 KN   Porceline</t>
  </si>
  <si>
    <t>Disc Insulator   70 KN</t>
  </si>
  <si>
    <t>220KV Old Disc Insulator</t>
  </si>
  <si>
    <t>132KV Old Disc Insulator</t>
  </si>
  <si>
    <t>II0I001002</t>
  </si>
  <si>
    <t>Disc Insulator Polymer 160 KN</t>
  </si>
  <si>
    <t>II0I003001</t>
  </si>
  <si>
    <t>PG Clamp  Moose-  Moose</t>
  </si>
  <si>
    <t>C-wedge Clamp  Moose-  Moose</t>
  </si>
  <si>
    <t>C-wedge Clamp  Zebra-  Zebra</t>
  </si>
  <si>
    <t>C-wedge Clamp  Zebra-  Panther</t>
  </si>
  <si>
    <t>C-wedge Clamp  Panther-  Panther</t>
  </si>
  <si>
    <t>II1I107001</t>
  </si>
  <si>
    <t>T-Connector Twin Moose to Single Moose</t>
  </si>
  <si>
    <t>Earth Wire Tension Clamp   7/9 SWG</t>
  </si>
  <si>
    <t>II2I203001</t>
  </si>
  <si>
    <t>Earth Wire Suspension Clamp   7/9 SWG</t>
  </si>
  <si>
    <t>II3I301001</t>
  </si>
  <si>
    <t>Moose Conductor Mid Span Joint</t>
  </si>
  <si>
    <t>II3I301003</t>
  </si>
  <si>
    <t>Mid Span Joint Zebra</t>
  </si>
  <si>
    <t>Mid Span Joint Panther</t>
  </si>
  <si>
    <t>II3I301008</t>
  </si>
  <si>
    <t>Mid Span Joint   7/9 SWG</t>
  </si>
  <si>
    <t>Mid Span Joint   7/10 SWG</t>
  </si>
  <si>
    <t>II3I302001</t>
  </si>
  <si>
    <t>Repair Sleeve   Moose</t>
  </si>
  <si>
    <t>II3I302003</t>
  </si>
  <si>
    <t>Repair Sleeve Zebra</t>
  </si>
  <si>
    <t>Repair Sleeve   7/10 SWG</t>
  </si>
  <si>
    <t>II3I303003</t>
  </si>
  <si>
    <t>Vibration Damper Zebra</t>
  </si>
  <si>
    <t>Vibration Damper Panther</t>
  </si>
  <si>
    <t>II3I303008</t>
  </si>
  <si>
    <t>Vibration Damper 7/9 SWG</t>
  </si>
  <si>
    <t>Vibration Damper 7/10 SWG</t>
  </si>
  <si>
    <t>Bird guard</t>
  </si>
  <si>
    <t>Armour Rod   Panther</t>
  </si>
  <si>
    <t>II7I704004</t>
  </si>
  <si>
    <t>Spacers Twin Moose</t>
  </si>
  <si>
    <t>Single Tension Fitting   Zebra</t>
  </si>
  <si>
    <t>Single Tension Fitting   Panther</t>
  </si>
  <si>
    <t>Single Tension Fitting   7/9 SWG</t>
  </si>
  <si>
    <t>Single Tension Fitting   7/10 SWG</t>
  </si>
  <si>
    <t>Double Tension Fitting   Zebra</t>
  </si>
  <si>
    <t>Double Tension Fitting   Panther</t>
  </si>
  <si>
    <t>Single Suspension Fitting   Zebra</t>
  </si>
  <si>
    <t>Single Suspension Fitting   7/10 SWG</t>
  </si>
  <si>
    <t>Pilot fitting for Zebra</t>
  </si>
  <si>
    <t>Bolted tension fitting for ACSR Moose</t>
  </si>
  <si>
    <t>Bolted tension fitting for ACSR Zebra</t>
  </si>
  <si>
    <t>T Clamp 40mm for Moose</t>
  </si>
  <si>
    <t>JJ0J002001</t>
  </si>
  <si>
    <t>Circuit Breaker   220KV   Air Blast</t>
  </si>
  <si>
    <t>JJ0J005002</t>
  </si>
  <si>
    <t>Circuit Breaker    33KV    220V DC SF-6</t>
  </si>
  <si>
    <t>Circuit Breaker    33KV    110V DC SF-6</t>
  </si>
  <si>
    <t>JJ2J201001</t>
  </si>
  <si>
    <t>Circuit Breaker Sapres   220KV  220V DC Trip Coil (ABB make)</t>
  </si>
  <si>
    <t>Circuit Breaker Sapres   220KV  220V DC Trip Coil (CGL make)</t>
  </si>
  <si>
    <t>JJ2J201003</t>
  </si>
  <si>
    <t>Circuit Breaker Sapres   220KV  220V DC Closing Coil (CGL make)</t>
  </si>
  <si>
    <t>Circuit Breaker Sapres   220KV  220V DC Closing Coil (ABB make)</t>
  </si>
  <si>
    <t>JJ3J301001</t>
  </si>
  <si>
    <t>Circuit Breaker Sapres   132KV   220V DC Trip Coil (CGL make)</t>
  </si>
  <si>
    <t>JJ3J301003</t>
  </si>
  <si>
    <t>Circuit Breaker Sapres   132KV    220V DC  Closing Coil (CGL make)</t>
  </si>
  <si>
    <t>JJ5J501001</t>
  </si>
  <si>
    <t>Circuit Breaker Sapres   33KV   220V DC Trip Coil (CGL make)</t>
  </si>
  <si>
    <t>JJ5J501003</t>
  </si>
  <si>
    <t>Circuit Breaker Sapres   33KV   220V DC Closing Coil (CGL make)</t>
  </si>
  <si>
    <t>Circuit Breaker Sapres   33KV   110V DC Trip Coil (ABB Make)</t>
  </si>
  <si>
    <t>Circuit Breaker Auxiliary switch   LOCAL/Remote Switch</t>
  </si>
  <si>
    <t>JJ7J701010</t>
  </si>
  <si>
    <t>Circuit Breaker Auxiliary switch   Density moniter switch</t>
  </si>
  <si>
    <t>Circuit Breaker connector 4"IPS Tube (220KV)</t>
  </si>
  <si>
    <t>JJ4J401003</t>
  </si>
  <si>
    <t>Circuit Breaker Connector Moose</t>
  </si>
  <si>
    <t>JJ4J401004</t>
  </si>
  <si>
    <t>Circuit Breaker Connector Twin Moose</t>
  </si>
  <si>
    <t>Defective &amp; Damage CB</t>
  </si>
  <si>
    <t>JJ5J501014</t>
  </si>
  <si>
    <t>Circuit Breaker spare 33 KV SF6 Stationary arcing contact, CGL Make</t>
  </si>
  <si>
    <t>KK0K002001</t>
  </si>
  <si>
    <t>Lighting Arrestor 132 KV</t>
  </si>
  <si>
    <t>LL6L603001</t>
  </si>
  <si>
    <t>Lighting Spares  Lighting Junction Box.</t>
  </si>
  <si>
    <t>MM0M008001</t>
  </si>
  <si>
    <t>Relay - Trip circuit supervision relay - Trip ckt supervision relay (ABB make 220 V DC)</t>
  </si>
  <si>
    <t>MM0M009004</t>
  </si>
  <si>
    <t>Relay - Trip circuit supervision relay - Trip ckt supervision relay (JVS make 220 V DC)</t>
  </si>
  <si>
    <t>MM0M001008</t>
  </si>
  <si>
    <t>Relay - Distance Relay (Faulty)</t>
  </si>
  <si>
    <t>MM0M019002</t>
  </si>
  <si>
    <t>MM0M011004</t>
  </si>
  <si>
    <t>Control panel Spares    Relay    Thermal Overload realy</t>
  </si>
  <si>
    <t>MM2M202005</t>
  </si>
  <si>
    <t>Digital Meter - Volt Meter - 220 KV Digital volt meter size 140 x 70 mm PTR-220 KV/110V range (0-300 KV), Auxiliary Supply 220V DC, A.E. make</t>
  </si>
  <si>
    <t>Digital Meter - Volt Meter - 132 KV Digital voltmeter size 140 x 70 mm PTR-132 KV/110V Range (0-160 KV), Auxiliary Supply 220V DC, A.E. Make</t>
  </si>
  <si>
    <t>Digital Meter - Volt Meter - 33 KV Digital voltmeter size 140 x 70 mm PTR-33 KV/110V, Auxiliary Supply 220V DC, A.E. Make</t>
  </si>
  <si>
    <t>MM2M203005</t>
  </si>
  <si>
    <t>Digital Meter - Ampere Meter - Digital panel meter to display current in Amp for C&amp;R panel range (0-1600 A), Auxiliary Supply 220V DC, Size 140 x 70 MM, A.E. Make</t>
  </si>
  <si>
    <t>MM2M204003</t>
  </si>
  <si>
    <t>Digital Meter - MW Meter - MW Meter 220 KV -size 140 x 70 mm PTR-220 KV/110V, CTR-1600/1 A, Auxiliary Supply 220V DC, A.E. Make</t>
  </si>
  <si>
    <t>Digital Meter - MVAR Meter - MVAR Meter 220 KV -size 140 x 70 mm PTR-220 KV/110V, CTR-1600/1 A, Auxiliary Supply 220V DC, A.E. Make</t>
  </si>
  <si>
    <t>NN4N401001</t>
  </si>
  <si>
    <t>Miscellaneous Panel Spare - Indication Lamp LED 220/110 V AC/DC - LED-Multycolour 110/220V Ac/Dc</t>
  </si>
  <si>
    <t>NN4N412002</t>
  </si>
  <si>
    <t>Miscellaneous Panel Spare - TNC -suitable for 220KV Control and relay panel.</t>
  </si>
  <si>
    <t>NN4N412004</t>
  </si>
  <si>
    <t>Miscellaneous Panel Spare - Trip transfer switch - TNC -suitable for 33KV Control and relay panel.</t>
  </si>
  <si>
    <t>NN5N504001</t>
  </si>
  <si>
    <t>Miscellaneous- - Contactor - power contactor 65A 440V</t>
  </si>
  <si>
    <t>Miscellaneous- - Contactor - power contactor 80A 440V</t>
  </si>
  <si>
    <t>Miscellaneous- - Contactor - power contactor 32A 440V</t>
  </si>
  <si>
    <t>NN5N506004</t>
  </si>
  <si>
    <t>Miscellaneous- - Resistor - variable</t>
  </si>
  <si>
    <t>NN5N506047</t>
  </si>
  <si>
    <t>Single Phasing and Unbalancing Preventor 415V</t>
  </si>
  <si>
    <t>SS2S201006</t>
  </si>
  <si>
    <t>Bus Post Insulator  (without corona ring) with creepage distance of 6125 mm. - 245 kV</t>
  </si>
  <si>
    <t>Bus Post Insulator  (without corona ring) with creepage distance of 3625 mm. - 145 kV</t>
  </si>
  <si>
    <t>SS6S605004</t>
  </si>
  <si>
    <t>Contactor  Air Break    16 Amp. 415 V Ac</t>
  </si>
  <si>
    <t>SS1S104006</t>
  </si>
  <si>
    <t>Contactor  415V AC  240 Volt A.C. Coils including frame for coil for 3ɸ Power Contactor  IC-65a &amp; IC-65a/4</t>
  </si>
  <si>
    <t>SS4S401001</t>
  </si>
  <si>
    <t>MCB  220V DC   Double Pole 32 Amp</t>
  </si>
  <si>
    <t>MCB  220V DC   Single Pole 32 Amp</t>
  </si>
  <si>
    <t>SS7S701002</t>
  </si>
  <si>
    <t>MCB  220V DC   Double Pole 20 Amp</t>
  </si>
  <si>
    <t>SS7S701003</t>
  </si>
  <si>
    <t>MCB  220V DC   10 Amp</t>
  </si>
  <si>
    <t>SS4S404001</t>
  </si>
  <si>
    <t>MCB  230V AC  Single Pole 32 Amp</t>
  </si>
  <si>
    <t>A. C. D. Box MCB 25 Amp</t>
  </si>
  <si>
    <t>SS7S705002</t>
  </si>
  <si>
    <t>MCB  415 AC  Four Pole C3.</t>
  </si>
  <si>
    <t>MCB  415 AC  Four Pole 40 Amp.</t>
  </si>
  <si>
    <t>SS7S705005</t>
  </si>
  <si>
    <t>MCB  415 AC  Four Pole 10 Amp.</t>
  </si>
  <si>
    <t>SS7S705007</t>
  </si>
  <si>
    <t>MCB  415 AC  Tripple Pole 3 Amp.</t>
  </si>
  <si>
    <t>SS7S704002</t>
  </si>
  <si>
    <t>MCB  230V AC  Double Pole 16 Amp</t>
  </si>
  <si>
    <t>MCB  230V AC  Double Pole 1 Amp</t>
  </si>
  <si>
    <t>SS7S705008</t>
  </si>
  <si>
    <t>MCB  415 AC  Tripple Pole 1 Amp.</t>
  </si>
  <si>
    <t>NN4N407001</t>
  </si>
  <si>
    <t>Timer  delay block Time delay block</t>
  </si>
  <si>
    <t>Fan Control Switch</t>
  </si>
  <si>
    <t>SS6S617008</t>
  </si>
  <si>
    <t>TPN Main Switch 415V 200A</t>
  </si>
  <si>
    <t>Auxiliary Connector</t>
  </si>
  <si>
    <t>Auxiliary contactor 12 A 230V</t>
  </si>
  <si>
    <t>VV1V101010</t>
  </si>
  <si>
    <t>Transformer  Bushing  -220/132 KV  HV-160 MVA</t>
  </si>
  <si>
    <t>VV1V101011</t>
  </si>
  <si>
    <t>Transformer  Bushing  -220/132 KV  LV-160 MVA</t>
  </si>
  <si>
    <t>VV1V101031</t>
  </si>
  <si>
    <t>Transformer  Bushing  -132/33KV  HV-80 MVA</t>
  </si>
  <si>
    <t>VV1V101032</t>
  </si>
  <si>
    <t>Transformer  Bushing  -132/33KV  LV-80 MVA</t>
  </si>
  <si>
    <t>VV1V101033</t>
  </si>
  <si>
    <t>Transformer  Bushing  -132/33KV  Neutral-80 MVA</t>
  </si>
  <si>
    <t>VV2V201001</t>
  </si>
  <si>
    <t>Transformer Gasket,  Breather, Silica gel &amp; Connector Gasket  Nitril gasket 10mm</t>
  </si>
  <si>
    <t>VV2V202007</t>
  </si>
  <si>
    <t>Silica Gel  Breather  Capacity 1 kg.</t>
  </si>
  <si>
    <t>Silica Gel   Blue crystal</t>
  </si>
  <si>
    <t>Transformer Bushing 36KV/200A</t>
  </si>
  <si>
    <t>Oil  Transformer Oil</t>
  </si>
  <si>
    <t>Oil  Oil sample Bottle 2Ltr</t>
  </si>
  <si>
    <t>Oil  Oil sample Bottle 1Ltr</t>
  </si>
  <si>
    <t>Oil Empty Oil Drums</t>
  </si>
  <si>
    <t>Bushing CT for 160 MVA T/F</t>
  </si>
  <si>
    <t>HV Bushing CT for 80 MVA T/F</t>
  </si>
  <si>
    <t>MM0M007001</t>
  </si>
  <si>
    <t>Bucholz Relay for 160 MVA T/F</t>
  </si>
  <si>
    <t>HV Bushing WTI CT for 80 MVA T/F</t>
  </si>
  <si>
    <t>LV Bushing WTI CT for 80 MVA T/F</t>
  </si>
  <si>
    <t>Bushing CT for 80 MVA T/F</t>
  </si>
  <si>
    <t>MM0M007002</t>
  </si>
  <si>
    <t>Bucholz Relay for 80 MVA T/F</t>
  </si>
  <si>
    <t>MOG with float arm for 80 MVA T/F</t>
  </si>
  <si>
    <t>Flow Indicator</t>
  </si>
  <si>
    <t>VV1V103007</t>
  </si>
  <si>
    <t>160 MVA T/F HV Bushing Clamp</t>
  </si>
  <si>
    <t>160 MVA T/F LV Bushing Clamp</t>
  </si>
  <si>
    <t>80 MVA T/F LV Bushing Clamp</t>
  </si>
  <si>
    <t>50 MVA T/F HV Bushing Clamp</t>
  </si>
  <si>
    <t>50 MVA T/F LV Bushing Clamp</t>
  </si>
  <si>
    <t>VV2V206001</t>
  </si>
  <si>
    <t>Transformer Spare Oil Temperature indicator   Meter (0-120 0C )</t>
  </si>
  <si>
    <t>VV2V207001</t>
  </si>
  <si>
    <t>Transformer Spare Winding Temperature indicator Winding Temperature indicator   Meter</t>
  </si>
  <si>
    <t>VV2V208001</t>
  </si>
  <si>
    <t>Transformer Spare Level Gauge Magnetic oil Level Guage</t>
  </si>
  <si>
    <t>VV2V209001</t>
  </si>
  <si>
    <t>Transformer Spare PRV Pressure Relief Vent</t>
  </si>
  <si>
    <t>VV2V213003</t>
  </si>
  <si>
    <t>Transformer Spare Tap Position Indicator  SR.No. TPC 2001/12050</t>
  </si>
  <si>
    <t>VV3V302001</t>
  </si>
  <si>
    <t>Current Transformer  245KV   1600/800/1A  5 core Accuracy 0.2</t>
  </si>
  <si>
    <t>Current Transformer  245KV   1200/600/1A 5 core Accuracy 0.2</t>
  </si>
  <si>
    <t>VV3V302006</t>
  </si>
  <si>
    <t>Current Transformer  245KV   600/300/1 A  5 core Accuracy 0.2</t>
  </si>
  <si>
    <t>Current Transformer  245KV   200/100/1 A  5 core Accuracy 0.2</t>
  </si>
  <si>
    <t>Current Transformer  145KV   1200/800/1A 5 core Accuracy 0.2</t>
  </si>
  <si>
    <t>Current Transformer  145KV   1200/600/1A 5 core Accuracy 0.2</t>
  </si>
  <si>
    <t>Current Transformer   145KV  800/400/1 A  3 core Accuracy 0.2</t>
  </si>
  <si>
    <t>Current Transformer   145KV 200/100/1A 5 core Accuracy 0.2</t>
  </si>
  <si>
    <t>VV3V305001</t>
  </si>
  <si>
    <t>Current Transformer   33 KV  1600/800/1A 5 Core Accuracy 0.2</t>
  </si>
  <si>
    <t>Current Transformer   33 KV   800/400/1A 3 core Accuracy 0.2</t>
  </si>
  <si>
    <t>Current Transformer   33 KV   400/200/1A  3 core Accuracy 0.2</t>
  </si>
  <si>
    <t>Current Transformer   33 KV   1200/600/1A  3 core Accuracy 0.2</t>
  </si>
  <si>
    <t>Current Transformer   33 KV   1200/800/1A  3 core Accuracy 0.2</t>
  </si>
  <si>
    <t>VV7V701013</t>
  </si>
  <si>
    <t>Twin  Moose  Current Transformer Clamp</t>
  </si>
  <si>
    <t>VV7V701014</t>
  </si>
  <si>
    <t>Single Moose Current Transformer Clamp</t>
  </si>
  <si>
    <t>VV7V701025</t>
  </si>
  <si>
    <t>Current Transformer   Terminal Connectors 33 KV CT clamp having 20 mm dia bore</t>
  </si>
  <si>
    <t>CT clamp Panther to 30 mm Dia</t>
  </si>
  <si>
    <t>CT clamp Panther to 20 mm Dia</t>
  </si>
  <si>
    <t>33 KV Clamp 4"IPS to Twin Moose</t>
  </si>
  <si>
    <t>33 KV Clamp 4"IPS to Single Moose</t>
  </si>
  <si>
    <t>132 KV CT Clamp Suitable for Moose/4" AI Pipe</t>
  </si>
  <si>
    <t>132 KV CT Clamp for 4"IPS Tube to Single Moose</t>
  </si>
  <si>
    <t>132 KV CT Clamp 30mm to single moose</t>
  </si>
  <si>
    <t>VV6V502001</t>
  </si>
  <si>
    <t>PT (Potential Transformer) PT 220 KV/110 Volt with 0.2 accuracy</t>
  </si>
  <si>
    <t>PT (Potential Transformer) 145 KV CVT 3 core with one 0.2 accuracy</t>
  </si>
  <si>
    <t>PT (Potential Transformer) 145 KV PT 3 core with one 0.2 accuracy</t>
  </si>
  <si>
    <t>PT (Potential Transformer) PT 1-phase, 33KV/110 Volt -</t>
  </si>
  <si>
    <t>VV6V507002</t>
  </si>
  <si>
    <t>CVT CVT  220 KV/110 Volt -</t>
  </si>
  <si>
    <t>CVT CVT - CVT 132 KV/110 Volt - 145kv</t>
  </si>
  <si>
    <t>YY0Y003004</t>
  </si>
  <si>
    <t>Battery Cell 2 V 400AH  lead acid</t>
  </si>
  <si>
    <t>YY1Y101003</t>
  </si>
  <si>
    <t>Battery Charger 220 Volt DC   for 400AH Battery set</t>
  </si>
  <si>
    <t>PP2P220004</t>
  </si>
  <si>
    <t>Ceiling Fan Old &amp; Used</t>
  </si>
  <si>
    <t>Total in Rs.</t>
  </si>
  <si>
    <t>P- Group (T&amp;P)</t>
  </si>
  <si>
    <t>PP4P401001</t>
  </si>
  <si>
    <t>Steel Almera</t>
  </si>
  <si>
    <t>PP4P406006</t>
  </si>
  <si>
    <t>Steel Rack</t>
  </si>
  <si>
    <t>Chair</t>
  </si>
  <si>
    <t>PP4P408012</t>
  </si>
  <si>
    <t>chair PCH 9003</t>
  </si>
  <si>
    <t>PP4P409009</t>
  </si>
  <si>
    <t>Easy Chair PCN 500/T</t>
  </si>
  <si>
    <t>PP4P408017</t>
  </si>
  <si>
    <t>PP4P409004</t>
  </si>
  <si>
    <t>Chair PCH 1007</t>
  </si>
  <si>
    <t>Wheel chair</t>
  </si>
  <si>
    <t>PP4P408023</t>
  </si>
  <si>
    <t>Godrej chair 7003</t>
  </si>
  <si>
    <t>PP4P409006</t>
  </si>
  <si>
    <t>Godrej Visitor Chair 1007</t>
  </si>
  <si>
    <t>Table</t>
  </si>
  <si>
    <t>PP4P433011</t>
  </si>
  <si>
    <t>PP4P433008</t>
  </si>
  <si>
    <t>PP4P424001</t>
  </si>
  <si>
    <t>Office Table 1800X900X760</t>
  </si>
  <si>
    <t>PP4P414003</t>
  </si>
  <si>
    <t>Book Case Rack</t>
  </si>
  <si>
    <t>PP4P424022</t>
  </si>
  <si>
    <t>Table with 3 drawer</t>
  </si>
  <si>
    <t>PP4P429003</t>
  </si>
  <si>
    <t>Dining V1</t>
  </si>
  <si>
    <t>PP4P427007</t>
  </si>
  <si>
    <t>Center Table sonata</t>
  </si>
  <si>
    <t>PP4P432005</t>
  </si>
  <si>
    <t>Table wt711</t>
  </si>
  <si>
    <t>T&amp;C Equipments</t>
  </si>
  <si>
    <t>AC and other electrical/Electranics items</t>
  </si>
  <si>
    <t>PP2P217002</t>
  </si>
  <si>
    <t>Voltas water cooler with aquaflow eyreaforebs storage capacity 20 ltr.</t>
  </si>
  <si>
    <t>PP2P216002</t>
  </si>
  <si>
    <t>AC Votas 1.5 Ton</t>
  </si>
  <si>
    <t>Ropes</t>
  </si>
  <si>
    <t>PP0P015003</t>
  </si>
  <si>
    <t>Para Para Rope 24 mm</t>
  </si>
  <si>
    <t xml:space="preserve">Other T&amp;P </t>
  </si>
  <si>
    <t>Tong tester</t>
  </si>
  <si>
    <t>PP1P118027</t>
  </si>
  <si>
    <t>Screw driver Large  (Standard Quality)</t>
  </si>
  <si>
    <t>PP1P118028</t>
  </si>
  <si>
    <t>screw driver medium  (Standard Quality)</t>
  </si>
  <si>
    <t>PP1P110003</t>
  </si>
  <si>
    <t>Nose Plier  (Standard Quality)</t>
  </si>
  <si>
    <t>Vaccum cleaner with blower and suction</t>
  </si>
  <si>
    <t>PP4P409005</t>
  </si>
  <si>
    <t>Visitor chairs without arm (Godrej make)</t>
  </si>
  <si>
    <t>PP1P122004</t>
  </si>
  <si>
    <t>Portable SF6 Gas Leak Detector.</t>
  </si>
  <si>
    <t>PP1P138007</t>
  </si>
  <si>
    <t>Hydrolic Jack with gauge &amp; house pipe</t>
  </si>
  <si>
    <t>PP1P117015</t>
  </si>
  <si>
    <t>Open Jaw spanner</t>
  </si>
  <si>
    <t>PP1P117016</t>
  </si>
  <si>
    <t>double end tubeler box</t>
  </si>
  <si>
    <t>PP1P121003</t>
  </si>
  <si>
    <t>Adjestable wriench 200 mm Long</t>
  </si>
  <si>
    <t>PP1P119002</t>
  </si>
  <si>
    <t>Pipe wrinch 450 mm Long</t>
  </si>
  <si>
    <t>PP1P109009</t>
  </si>
  <si>
    <t>Gasket punch set</t>
  </si>
  <si>
    <t>PP1P107013</t>
  </si>
  <si>
    <t>Flat file</t>
  </si>
  <si>
    <t>PP1P113017</t>
  </si>
  <si>
    <t>Lather mallet</t>
  </si>
  <si>
    <t>PP1P136001</t>
  </si>
  <si>
    <t>Cold chiesel</t>
  </si>
  <si>
    <t>PP4P411007</t>
  </si>
  <si>
    <t>Teak wood bed (singel)</t>
  </si>
  <si>
    <t>PP4P433014</t>
  </si>
  <si>
    <t>Table S1070</t>
  </si>
  <si>
    <t>DD0D001017</t>
  </si>
  <si>
    <t>Desktop PC</t>
  </si>
  <si>
    <t>DD0D004003</t>
  </si>
  <si>
    <t>TFT Monitor</t>
  </si>
  <si>
    <t>DD1D101006</t>
  </si>
  <si>
    <t>UPS 1 KVA</t>
  </si>
  <si>
    <t>DD0D007004</t>
  </si>
  <si>
    <t>Laser Printer</t>
  </si>
  <si>
    <t>PP2P226003</t>
  </si>
  <si>
    <t>Laser Fax</t>
  </si>
  <si>
    <t>PP0P020001</t>
  </si>
  <si>
    <t>Trafer 10T</t>
  </si>
  <si>
    <t>PP0P021016</t>
  </si>
  <si>
    <t>Single pully block</t>
  </si>
  <si>
    <t>PP0P021015</t>
  </si>
  <si>
    <t>Double pully block</t>
  </si>
  <si>
    <t>PP0P021013</t>
  </si>
  <si>
    <t>Four Pully block</t>
  </si>
  <si>
    <t>PP1P148010</t>
  </si>
  <si>
    <t>Al Lader 15 Feet</t>
  </si>
  <si>
    <t>PP1P148001</t>
  </si>
  <si>
    <t>Al Lader 24 Feet</t>
  </si>
  <si>
    <t>DD0D007019</t>
  </si>
  <si>
    <t>Printer Samsung</t>
  </si>
  <si>
    <t>PP4P408009</t>
  </si>
  <si>
    <t>Chair PCH5002T</t>
  </si>
  <si>
    <t>PP4P409017</t>
  </si>
  <si>
    <t>Chair PCH 1004</t>
  </si>
  <si>
    <t>PP4P402004</t>
  </si>
  <si>
    <t>Store well Plain Godrej</t>
  </si>
  <si>
    <t>DD1D106001</t>
  </si>
  <si>
    <t>Broad band modem</t>
  </si>
  <si>
    <t>PP1P148003</t>
  </si>
  <si>
    <t>Al Tower lader</t>
  </si>
  <si>
    <t>LL5L501005</t>
  </si>
  <si>
    <t>30 Watt LED rechargeable portable light</t>
  </si>
  <si>
    <t>PP2P222004</t>
  </si>
  <si>
    <t>Desert cooler with Stand</t>
  </si>
  <si>
    <t>PP1P126014</t>
  </si>
  <si>
    <t>MRI Instrument</t>
  </si>
  <si>
    <t>PP2P223014</t>
  </si>
  <si>
    <t>Cell Phone LM6</t>
  </si>
  <si>
    <t>PP2P223007</t>
  </si>
  <si>
    <t>Cell Phone 2630</t>
  </si>
  <si>
    <t>Cell Phone 2626</t>
  </si>
  <si>
    <t>PP2P223009</t>
  </si>
  <si>
    <t>Karbon Cell Phone (A101)</t>
  </si>
  <si>
    <t>PP2P223008</t>
  </si>
  <si>
    <t>Micromax Cell Phone (A60)</t>
  </si>
  <si>
    <t>PP2P223001</t>
  </si>
  <si>
    <t>Samsung Cell Phone (grand)</t>
  </si>
  <si>
    <t>DD0D001001</t>
  </si>
  <si>
    <t>Desktop Computer System</t>
  </si>
  <si>
    <t>DD0D007012</t>
  </si>
  <si>
    <t>Printer HP pro</t>
  </si>
  <si>
    <t>DD1D101012</t>
  </si>
  <si>
    <t>UPS 600VA</t>
  </si>
  <si>
    <t>DD0D007024</t>
  </si>
  <si>
    <t>Photo copier machine</t>
  </si>
  <si>
    <t>Hydraulic Compressor of 100 Ton Capacity</t>
  </si>
  <si>
    <t>PP0P006006</t>
  </si>
  <si>
    <t>Compression die sets suitable for jointing ACSR Zebra (Steel Portion)</t>
  </si>
  <si>
    <t>Compression die sets suitable for jointing ACSR Zebra (Aluminium Portion)</t>
  </si>
  <si>
    <t>Bolted type come along clamp, 7 bolts for Zebra Conductor</t>
  </si>
  <si>
    <t>D Shackle 3 Ton</t>
  </si>
  <si>
    <t>PP0P018004</t>
  </si>
  <si>
    <t>D Shackle 6.5 Ton</t>
  </si>
  <si>
    <t>Helmet Yellow (Karam Make)</t>
  </si>
  <si>
    <t>PP1P122001</t>
  </si>
  <si>
    <t>Gas Filling Device</t>
  </si>
  <si>
    <t>PP1P125001</t>
  </si>
  <si>
    <t>Connecting Pipe HP to LP</t>
  </si>
  <si>
    <t>Godrej Storewel Plain 4SH</t>
  </si>
  <si>
    <t>PP4P402002</t>
  </si>
  <si>
    <t>Godrej 4 Drawers Vertical Filling Cabinet</t>
  </si>
  <si>
    <t>Printer Canon IR 2625 with Duplex &amp; DADF</t>
  </si>
  <si>
    <t>PP2P205005</t>
  </si>
  <si>
    <t>Digital Multimeter</t>
  </si>
  <si>
    <t>PP3P301011</t>
  </si>
  <si>
    <t>Water Cooler</t>
  </si>
  <si>
    <t>PP2P218005</t>
  </si>
  <si>
    <t>Kent RO Water filter</t>
  </si>
  <si>
    <t>PP2P223016</t>
  </si>
  <si>
    <t>Mobile Phone (OS Ram SIngh Adhikari)</t>
  </si>
  <si>
    <t>Non contact voltage detector</t>
  </si>
  <si>
    <t>Name of Circle/ Zone :- Haldwani/Kumaon                                            Name of Substation :- 220  KV S/S Haldwani</t>
  </si>
  <si>
    <t>Name of Stock Holder-: D.K Paneru  J.E(O&amp;M)</t>
  </si>
  <si>
    <t>Name of  Division:- 220 KV O&amp;M PTCUL Haldwani                                                             Month : August - 2026</t>
  </si>
  <si>
    <t xml:space="preserve"> M&amp;R STOCK</t>
  </si>
  <si>
    <t>S.N.</t>
  </si>
  <si>
    <t>Qty</t>
  </si>
  <si>
    <t>Obslete</t>
  </si>
  <si>
    <t>scrap</t>
  </si>
  <si>
    <t>Total Amount (A+B+C+D+E)</t>
  </si>
  <si>
    <t>Amount (A)</t>
  </si>
  <si>
    <t>Amount (B)</t>
  </si>
  <si>
    <t>Amount (C)</t>
  </si>
  <si>
    <t>Amount (D)</t>
  </si>
  <si>
    <t>Amount (E)</t>
  </si>
  <si>
    <t>33 KV CT 300/150/1 Amp (Burnt damage without bushing &amp; insulator)Scrap</t>
  </si>
  <si>
    <t>33 KV Isolator (without earth switch)old,use &amp; defective.Scrap</t>
  </si>
  <si>
    <t>SS0S005001</t>
  </si>
  <si>
    <t>33 KV Isolator with earth switch)old,use &amp; defective.scrap</t>
  </si>
  <si>
    <t>A.C.S.R Zebra Conductor in Pcs.(old use &amp; damage) Scrap</t>
  </si>
  <si>
    <t>33 KV NCT 5/1 Ap old use defective scrap</t>
  </si>
  <si>
    <t>VV0V006002</t>
  </si>
  <si>
    <t>250 KVA 33/0.4 KV substation Transformer (Old brunt and damage) Scrap</t>
  </si>
  <si>
    <t>VV3V305011</t>
  </si>
  <si>
    <t>33 KV CT 400/200/1 Amp (old use and Burnt damage )Scrap</t>
  </si>
  <si>
    <t>33 KV CT 800/400/1 Amp Burnt and damage</t>
  </si>
  <si>
    <t>33 KV CT400/200/1 Amp old ,used &amp; defective</t>
  </si>
  <si>
    <t>33 KV 3 phase series reactor ( KVAR-6.63,  36 KV  type ONAN type)old use &amp; brunt damage scrap</t>
  </si>
  <si>
    <t>BB0B002006</t>
  </si>
  <si>
    <t>2x5 MVAR capacitor bank cell ABB make old use burut damage scrap</t>
  </si>
  <si>
    <t>VV5V406005</t>
  </si>
  <si>
    <t>junction Box for CT (Old Used &amp; damage)</t>
  </si>
  <si>
    <t>33 KV Fuse set(old use and damage)</t>
  </si>
  <si>
    <t>JJ5J503011</t>
  </si>
  <si>
    <t>33 KV Circuit breaker Pole(Old use and defective)CGL make</t>
  </si>
  <si>
    <t xml:space="preserve">PVC Control Cable  - W/o Armoured- 2x2.5mm ( in pices) </t>
  </si>
  <si>
    <t>Control Cable 2X2.5 Pic. Old &amp; Used</t>
  </si>
  <si>
    <t>Control Cable 4X2.5 Pic. Old &amp; Used</t>
  </si>
  <si>
    <t>Control Cable 6X2.5 Pic. Old &amp; Used</t>
  </si>
  <si>
    <t>PG Clamp  Zebra-  Zebra Old &amp; used Defective</t>
  </si>
  <si>
    <t>PG Clamp  Zebra-  T/Z Old &amp; used Defective</t>
  </si>
  <si>
    <t>Current Transformar Nutral bushing (old &amp; used)</t>
  </si>
  <si>
    <t>Lighting Arrestor 220 KV old &amp; used &amp; Scrap</t>
  </si>
  <si>
    <t>Lighting Arrestor 132 KV old &amp; used &amp; Scrap</t>
  </si>
  <si>
    <t>YY1Y101005</t>
  </si>
  <si>
    <t>Battery Cell 2 V   300AH  lead acid (Damage)</t>
  </si>
  <si>
    <t>NN2N205001</t>
  </si>
  <si>
    <t>C&amp;R PANEL - 33 KV - Control relay panel tripple feedar -( old &amp; defective )</t>
  </si>
  <si>
    <t>132KV Control relay panel old &amp; Scrap</t>
  </si>
  <si>
    <t>Total(A)</t>
  </si>
  <si>
    <t>ACDB (Old &amp; Scrap)</t>
  </si>
  <si>
    <t>DCDB (Old &amp; Scrap)</t>
  </si>
  <si>
    <t>Street light old &amp; used &amp; Scrap fitting</t>
  </si>
  <si>
    <t>Battery Bank 2V*55 No 300 AH (Old &amp; Scrap)</t>
  </si>
  <si>
    <t>Transformer Oil Drum (Old &amp; used)</t>
  </si>
  <si>
    <t>Total(B)</t>
  </si>
  <si>
    <t>33 KV CT(400/200/1 Amp) old and used</t>
  </si>
  <si>
    <t>33 KV  CT 800/400/1 Amp (Old,used)</t>
  </si>
  <si>
    <t>Protection relay p111 Micom(old &amp; used)defective</t>
  </si>
  <si>
    <t>Protection relay MIT 104 (old &amp; used) Easun Reyrolle make</t>
  </si>
  <si>
    <t>Isolator connector for trumtulla</t>
  </si>
  <si>
    <t>TER Bushing CT 3 core (old &amp;used)</t>
  </si>
  <si>
    <t>NEUTRAL BUSHING CT 1 CORE</t>
  </si>
  <si>
    <t>Terminal contactor for 145 KV CT</t>
  </si>
  <si>
    <t>CC1C102002</t>
  </si>
  <si>
    <t>Power Cable -440V LT - 3.5x400 Sq. mm</t>
  </si>
  <si>
    <t>MM4M425001</t>
  </si>
  <si>
    <t>Miscellaneous- - Relay contact multiplier - Relay contact multiplier</t>
  </si>
  <si>
    <t>MM4M426001</t>
  </si>
  <si>
    <t>Miscellaneous- - Relay socket - for 51</t>
  </si>
  <si>
    <t>KK4K401003</t>
  </si>
  <si>
    <t>Post Insulator Solid core - 145 KV</t>
  </si>
  <si>
    <t>NO</t>
  </si>
  <si>
    <t>VV1V102005</t>
  </si>
  <si>
    <t xml:space="preserve"> Transformer  Bushing  40 MVA</t>
  </si>
  <si>
    <t>VV1V102004</t>
  </si>
  <si>
    <t xml:space="preserve"> Transformer  Bushing 220</t>
  </si>
  <si>
    <t xml:space="preserve"> Transformer  Bushing  132</t>
  </si>
  <si>
    <t>FF7F702003</t>
  </si>
  <si>
    <t>MS Flat- 50x6mm</t>
  </si>
  <si>
    <t>FF8F802001</t>
  </si>
  <si>
    <t xml:space="preserve">Rail- 105 LBS </t>
  </si>
  <si>
    <t>70 kn DISC Insulator</t>
  </si>
  <si>
    <t>Transformer Oil</t>
  </si>
  <si>
    <t>2.5 PVC Control Cable  - Armoured Control Cable (10 core)</t>
  </si>
  <si>
    <t>Alstom S/C-1 Haldwani SEB Panel</t>
  </si>
  <si>
    <t>Distance Protection for Haldwani-Il</t>
  </si>
  <si>
    <t xml:space="preserve">
RTV-I Alstom Haldwani</t>
  </si>
  <si>
    <t>220 KV Substation Feeder Relay Panei-in Haldwani</t>
  </si>
  <si>
    <t>Synchro Ning Panel</t>
  </si>
  <si>
    <t>Pin Insulator</t>
  </si>
  <si>
    <t>IBS Rail</t>
  </si>
  <si>
    <t xml:space="preserve"> Kg.</t>
  </si>
  <si>
    <t>Surge Counter(scrap)</t>
  </si>
  <si>
    <t>Chemical Fire ending fome Type Cylinder(scrap)</t>
  </si>
  <si>
    <t>SF-6 Cylinder 05 Kg</t>
  </si>
  <si>
    <t xml:space="preserve"> No</t>
  </si>
  <si>
    <t>Silica Gel Breather</t>
  </si>
  <si>
    <t>MW Meter</t>
  </si>
  <si>
    <t>MVAR, Meter</t>
  </si>
  <si>
    <t>KV Meter</t>
  </si>
  <si>
    <t>Energy Meter</t>
  </si>
  <si>
    <t>Tep Changer Meter</t>
  </si>
  <si>
    <t>Amp. Meter</t>
  </si>
  <si>
    <t>Digital Panel Meter (MTC)</t>
  </si>
  <si>
    <t>Street Light</t>
  </si>
  <si>
    <t>Starter Three Phase</t>
  </si>
  <si>
    <t>Lugs.</t>
  </si>
  <si>
    <t>Mechanical Relay</t>
  </si>
  <si>
    <t>10 Core 2.5 09 mm cable old &amp; Used</t>
  </si>
  <si>
    <t>LA 132 KV Scrap</t>
  </si>
  <si>
    <t>Hydent Pipe Scrap Meter</t>
  </si>
  <si>
    <t>Hydent Scrap Iron</t>
  </si>
  <si>
    <t>PT 33 KV Scrap</t>
  </si>
  <si>
    <t>VV5V406003</t>
  </si>
  <si>
    <t>CT Junction Box Scrap</t>
  </si>
  <si>
    <t>LA 220 KV</t>
  </si>
  <si>
    <t>CT 220 KV</t>
  </si>
  <si>
    <t>JJ0J003001</t>
  </si>
  <si>
    <t>LA 220 KV(Old &amp; Use)</t>
  </si>
  <si>
    <t>33 KV isolator Clamp sutaible  for ACSR Conductor</t>
  </si>
  <si>
    <t>33 KV Circuit breaker  Clamp sutaible  for ACSR Conductor</t>
  </si>
  <si>
    <t>33 KV C.T Clamp sutaible  for ACSR Conductor</t>
  </si>
  <si>
    <t>Isolator Jaw for 33 KV isolator (1250 Amp)</t>
  </si>
  <si>
    <t>isolator Jaw for 33 KV isolator (800 Amp)</t>
  </si>
  <si>
    <t>C-wage Clamp(Moose to panther)</t>
  </si>
  <si>
    <t>C-wage Clamp(panther  to panther)</t>
  </si>
  <si>
    <t>C-wage Clamp(Dog  to panther)</t>
  </si>
  <si>
    <t>C-wage Clamp(Taran tulla  to panther)</t>
  </si>
  <si>
    <t>C-wage Clamp(Taran   to Zebra)</t>
  </si>
  <si>
    <t>C-wage Clamp(Tarantulla  to Moose)</t>
  </si>
  <si>
    <t>Total  ( F )</t>
  </si>
  <si>
    <t>220 KV S/s Kamluwaganja:- CAPITAL STOCK</t>
  </si>
  <si>
    <t>Circuit Breaker   132KV   SF-6 old &amp; used Scrap</t>
  </si>
  <si>
    <t>Circuit Breaker    33KV    old &amp; used scrap</t>
  </si>
  <si>
    <t>CVT 132 KV/110 Volt - 145kv OLD &amp; USED</t>
  </si>
  <si>
    <t>VV6V603002</t>
  </si>
  <si>
    <t>Current Transformer   132KV  OLD &amp; USED</t>
  </si>
  <si>
    <t>Current Transformer  220KV   OLD &amp; USED</t>
  </si>
  <si>
    <t>VV8V810002</t>
  </si>
  <si>
    <t>CVT  220 KV/110 Volt - OLD &amp; USED</t>
  </si>
  <si>
    <t>33 KV CT Old &amp; Used</t>
  </si>
  <si>
    <t>220 KV PT class 0.2</t>
  </si>
  <si>
    <t>132 KV CT 1200/800/1 class-0.2</t>
  </si>
  <si>
    <t>132 KV CT 800/400/1 class-0.2</t>
  </si>
  <si>
    <t>132 KV CT 400/200/1 class-0.2</t>
  </si>
  <si>
    <t>132 Kv CVT 132/110 verson 100 Va</t>
  </si>
  <si>
    <t>Battery Bank 300 AH 110 Volt</t>
  </si>
  <si>
    <t xml:space="preserve"> Set.</t>
  </si>
  <si>
    <t>YY1Y102002</t>
  </si>
  <si>
    <t>Battery Charger 110 Volt 300 Ah</t>
  </si>
  <si>
    <t>LA 132 KV (Old &amp; used)</t>
  </si>
  <si>
    <t xml:space="preserve">CT 1600/800/1 Amp (old&amp;Used) </t>
  </si>
  <si>
    <t>Total (G)</t>
  </si>
  <si>
    <t xml:space="preserve"> CAPITAL STOCK :- 220 KV S/S Kamluwaganja (Haldwani)</t>
  </si>
  <si>
    <t>Current Transformer   132KV  8 OLD &amp; USED</t>
  </si>
  <si>
    <t>Total (A)</t>
  </si>
  <si>
    <t>Total©</t>
  </si>
  <si>
    <t>Total (A+B+C)</t>
  </si>
  <si>
    <t>Physical Verification of Stock Material at 132 KV S/S Sitarganj</t>
  </si>
  <si>
    <t>Month 23/ Aug./2026</t>
  </si>
  <si>
    <t>AA0A002002</t>
  </si>
  <si>
    <t>ACSR  Moose Conductor(In bits)</t>
  </si>
  <si>
    <t>Metre</t>
  </si>
  <si>
    <t>…</t>
  </si>
  <si>
    <t>Zebra Conductor Old&amp; Used (In Bits)</t>
  </si>
  <si>
    <t>ACSR Panther Conductor old &amp;used(in bits)</t>
  </si>
  <si>
    <t>..</t>
  </si>
  <si>
    <t>AA0A002006</t>
  </si>
  <si>
    <t>ACSR  wolf Conductor old &amp;used(in bits)</t>
  </si>
  <si>
    <t>FF0F013006</t>
  </si>
  <si>
    <t>GI Angle of (different size) TD 30 B Type D/C Tower(old &amp; used)</t>
  </si>
  <si>
    <t>FF0F013013</t>
  </si>
  <si>
    <t xml:space="preserve">Double Circuit Dismantial Tower C+6 Type(Old &amp; Used) </t>
  </si>
  <si>
    <t>FF0F043003</t>
  </si>
  <si>
    <t xml:space="preserve">TD 30 B type tower stub setting templates
(old used) </t>
  </si>
  <si>
    <t>FF0F043006</t>
  </si>
  <si>
    <t>Template foe 132 KV D/C C+9  Type Tower Lattice Structure Stub Template(Old&amp; Used)</t>
  </si>
  <si>
    <t xml:space="preserve">Mt </t>
  </si>
  <si>
    <t>AL Scrap</t>
  </si>
  <si>
    <t>120KN Disc insulator (old used)</t>
  </si>
  <si>
    <t xml:space="preserve">No </t>
  </si>
  <si>
    <t>P.G. Clamp Zebra to Zebra( Old &amp; Uded)</t>
  </si>
  <si>
    <t>II0I008001</t>
  </si>
  <si>
    <t>P.G. Clamp for ACSR Wolf to Wolf Conductor</t>
  </si>
  <si>
    <t>II1I101001</t>
  </si>
  <si>
    <t>Supply of C Wedge Clamp For  AAAC Tarantulla  -  AAAC Tarantulla Conductor.</t>
  </si>
  <si>
    <t>C Wedge clamp moose to moose</t>
  </si>
  <si>
    <t>P.I.Clamp Single Moose</t>
  </si>
  <si>
    <t>Mid Span joint for panther conductor</t>
  </si>
  <si>
    <t>Repair Sleeve for ACSR  Panther Conductor</t>
  </si>
  <si>
    <t>Vibration Dampers for ACSR Panther Conductor (Old&amp; Used)</t>
  </si>
  <si>
    <t>Armrd rod for panther</t>
  </si>
  <si>
    <t>II4I404004</t>
  </si>
  <si>
    <t>Rigid Spacer for ACSR Moose</t>
  </si>
  <si>
    <t>Tension clamp for earth wire 7/10 SWG</t>
  </si>
  <si>
    <t>II5I504002</t>
  </si>
  <si>
    <t>Single Suspension bolted type fitting (120 KN) Twin moose</t>
  </si>
  <si>
    <t>sets</t>
  </si>
  <si>
    <t xml:space="preserve"> Suspention Clamp for ACSR Zebra  conductor (Old&amp; Used)</t>
  </si>
  <si>
    <t>Single Suspention fitting for ACSR panther conductor</t>
  </si>
  <si>
    <t>Suspension fitting for GS Earth wire 7/10 SWG</t>
  </si>
  <si>
    <t>Gun  Fitting Zebra conductor (Old &amp; Used)</t>
  </si>
  <si>
    <t>132 KV Feeder Trip coil/Close coil ( CGL Breaker)</t>
  </si>
  <si>
    <t>Tripping/Closing Coil 132 KV ABB CB</t>
  </si>
  <si>
    <t>Circuit Breaker control switch</t>
  </si>
  <si>
    <t>JJ5J501010</t>
  </si>
  <si>
    <t>Spring charge motor</t>
  </si>
  <si>
    <t>Density monitor switch</t>
  </si>
  <si>
    <t>JJ7J702003</t>
  </si>
  <si>
    <t>Contactor for spring charge motor CGL Breaker</t>
  </si>
  <si>
    <t>Sulphur Hex Fluoride (SF-6) Gas .</t>
  </si>
  <si>
    <t>SF6 Gas Empty Cylinder</t>
  </si>
  <si>
    <t>JJ8J801002</t>
  </si>
  <si>
    <t>33 KV  CB Connector with  AAAC Tarantulla conductor .</t>
  </si>
  <si>
    <t>132 Lighting Arrester(Old&amp; Used)</t>
  </si>
  <si>
    <t>PP0P001001</t>
  </si>
  <si>
    <t xml:space="preserve">Single Testionbolted type Fitting twin moose conductorWith 350 mmY strap </t>
  </si>
  <si>
    <t>PP2P220003</t>
  </si>
  <si>
    <t>1200 MM Ceiling fans (Defective &amp; Scrap)</t>
  </si>
  <si>
    <t>QQ1Q102001</t>
  </si>
  <si>
    <t>Fencing Scrap</t>
  </si>
  <si>
    <t>Aluminium alloy made isolator Female Arm assambly of HCB 132 KV Volatge Level 1200 Ampere current .</t>
  </si>
  <si>
    <t>Aluminium alloy made isolator Female Arm assambly of HCB isolator  with good and heavy duty copper finger complete in all respect suitable for isolator of 145 KV voltage level, 1200 ampere current  ( as per sample. )</t>
  </si>
  <si>
    <t>Aluminium alloy made isolator Male Arm assambly of HCB 132 KV Volatge Level 1200 Ampere current</t>
  </si>
  <si>
    <t xml:space="preserve">Aluminium alloy made isolator Male Arm assambly of HCB isolator  with good and heavy duty copper finger complete in all respect suitable for isolator of 145 KV voltage level, 1200 ampere current  ( as per sample.) </t>
  </si>
  <si>
    <t>SS3S301011</t>
  </si>
  <si>
    <t>Rotatary Bearing for 132 KV Isolator</t>
  </si>
  <si>
    <t>145 KV Post insulator</t>
  </si>
  <si>
    <t xml:space="preserve"> 33 KV isolator terminal pad Connector  suitable for  single AAAC Tarantulla conductor </t>
  </si>
  <si>
    <t>132 KV Isolator Clamp Single Moose</t>
  </si>
  <si>
    <t>Isolater Clamp Zebra Conductor (Old&amp; Used)</t>
  </si>
  <si>
    <t>132 KV  isolator clamp ACSR Panther conductor.</t>
  </si>
  <si>
    <t>TT1T101029</t>
  </si>
  <si>
    <t>Log sheet register .32 Pages.</t>
  </si>
  <si>
    <t>40 MVA T/F HV Side Bushing  clamp For Zebra conductor</t>
  </si>
  <si>
    <t>40 MVA T/F LV Side Bushing  clamp For Tarantula conductor</t>
  </si>
  <si>
    <t>132 KV  CB Pad Connector with  ACSR Zebra conductor</t>
  </si>
  <si>
    <t>VV2V202005</t>
  </si>
  <si>
    <t>Standard quality transparent silica gel breather 8Kg capacity as per sample</t>
  </si>
  <si>
    <t>Standard quality transparent silica gel breather 5 Kg capacity as per sample</t>
  </si>
  <si>
    <t>EHV Grade Transformer Oil</t>
  </si>
  <si>
    <t>T/F oil Empty Drums</t>
  </si>
  <si>
    <t>VV2V207002</t>
  </si>
  <si>
    <t>Winding temrature indicator 0-120 *C 40 MVA T/F</t>
  </si>
  <si>
    <t>PRV For 40 MVA T/F</t>
  </si>
  <si>
    <t>VV3V303002</t>
  </si>
  <si>
    <t>132 kv CT Damaged &amp; Burned (01.02.2021) Rece. Back Scrap</t>
  </si>
  <si>
    <t>VV3V303006</t>
  </si>
  <si>
    <t xml:space="preserve"> 132 KV 200/100/1,1,1 Amp CT old &amp; Used</t>
  </si>
  <si>
    <t>132 KV CT 200/100/1A 0.2 class</t>
  </si>
  <si>
    <t>33 KV CT 800/400/111</t>
  </si>
  <si>
    <t>33 KV CT Defective Scrap(old &amp; Used)</t>
  </si>
  <si>
    <t xml:space="preserve">Supply of powder coted 45*30*15 cm matellic junction box of 16 gauge sheet including din rail for 45 connectors </t>
  </si>
  <si>
    <t>VV5V406008</t>
  </si>
  <si>
    <t>CT junction box terminal link.</t>
  </si>
  <si>
    <t>VV5V407012</t>
  </si>
  <si>
    <t>33 KV    CT terminal Connector rod with   AAAC Tarantulla conductor .</t>
  </si>
  <si>
    <t xml:space="preserve">  132 KV CT terminal Connector ACSR zebra conductor.</t>
  </si>
  <si>
    <t>VV5V407028</t>
  </si>
  <si>
    <t>33kv one side 13 mm grove with cu sleeve ct clamp other side panther conductor</t>
  </si>
  <si>
    <t>VV6V505001</t>
  </si>
  <si>
    <t xml:space="preserve">  3-Phase 33KV110 Volt PT (Old&amp; Used)</t>
  </si>
  <si>
    <t>PT (Potential Transformer )Single Phase 33 KV/110 Volt</t>
  </si>
  <si>
    <t>Old&amp; Used 145 KV CVT 3 Core Accurecy Class .5 132 KV /110Volt132 KV CVT(Received Back from to switch yard)</t>
  </si>
  <si>
    <t>Old&amp; Used 145 KV CVT 3 Core Accurecy Class .2 132 KV /110Volt132 KV CVT(Received Back from to switch yard)</t>
  </si>
  <si>
    <t>VV6V601005</t>
  </si>
  <si>
    <t>PT junction box terminal link.</t>
  </si>
  <si>
    <t>33kv PT Clamp for panther conductor</t>
  </si>
  <si>
    <t>2 Volt 300 AH 10 Hr.LeadAcod Cells</t>
  </si>
  <si>
    <t>110 Volt D.C. Charger Make Caldyne Automatics LTD</t>
  </si>
  <si>
    <t>….</t>
  </si>
  <si>
    <t xml:space="preserve"> 132 KV 500/1 Amp CT old &amp; Used18.04.2026 Receved Back Swith Yard</t>
  </si>
  <si>
    <t xml:space="preserve"> 132 KV 500/1 Amp CT Burned &amp; Scrap18.04.2026 Receved Back Swith Yard</t>
  </si>
  <si>
    <t>PP4P412002</t>
  </si>
  <si>
    <t>Iron packing case scrap (old&amp; Used)</t>
  </si>
  <si>
    <t xml:space="preserve"> Total (in Rs)</t>
  </si>
  <si>
    <t>Total Amt. of Obsolete</t>
  </si>
  <si>
    <t>Name of Zone :- O&amp;M Kumaon Zone Haldwani</t>
  </si>
  <si>
    <t xml:space="preserve"> For the Month of :- Aug-2026</t>
  </si>
  <si>
    <t>Name of Circle :-O&amp;M  PTCUL Haldwani</t>
  </si>
  <si>
    <t>Name of Division :- O&amp;M Division PTCUL SItarganj U.S.Nagar</t>
  </si>
  <si>
    <t xml:space="preserve">Name of Substation :-132/33 KV S/S Eldeco Sitarganj </t>
  </si>
  <si>
    <t xml:space="preserve">Name of Item </t>
  </si>
  <si>
    <t>Unit Rate in</t>
  </si>
  <si>
    <t>Total Inventory Amount in Rs.</t>
  </si>
  <si>
    <t xml:space="preserve">800 Amp.Copper  Jaws for 33 KV Isolater   </t>
  </si>
  <si>
    <t xml:space="preserve">800 Amp.  Copper Blades  for 33 KV Isolater   </t>
  </si>
  <si>
    <t>800 Amp. Blade for 33 KV Isolator old &amp; used</t>
  </si>
  <si>
    <t xml:space="preserve"> 132 KV Isolator Clamp single Zebra Conductor</t>
  </si>
  <si>
    <t>33 KV  Isolator Clamp single Panter Conductor</t>
  </si>
  <si>
    <t>II0I006003</t>
  </si>
  <si>
    <t>PG Clamp  Panther -  Dog Conductor</t>
  </si>
  <si>
    <t>II1I110001</t>
  </si>
  <si>
    <t>T-Connector   Panther-  Panther</t>
  </si>
  <si>
    <t>33 KV Circuit Breaker Clamp  Tarantulla Conductor</t>
  </si>
  <si>
    <t>JJ8J801006</t>
  </si>
  <si>
    <t>132 KV Circuit Breaker Clamp   Zebra Conductor</t>
  </si>
  <si>
    <t xml:space="preserve">  SF-6  Empty Cylinder </t>
  </si>
  <si>
    <t xml:space="preserve">   EHV Grade Transformer Oil</t>
  </si>
  <si>
    <t xml:space="preserve">Current Transformer   36 KV   800-400/1A 3 core </t>
  </si>
  <si>
    <t xml:space="preserve">33 KV Current Transformer   Clamp   Tarantula Conductor </t>
  </si>
  <si>
    <t>132 KV Current Transformer Clamp  Zebra Conductor</t>
  </si>
  <si>
    <t>33 KV Current Transformer   Clamp   Panther Conductor</t>
  </si>
  <si>
    <t xml:space="preserve"> Potential Transformer Single-phase, 33KV/110 Volt Old &amp; Repairable</t>
  </si>
  <si>
    <t>33 KV Isolator clamp for Tarantula conductor</t>
  </si>
  <si>
    <t>SS4S402002</t>
  </si>
  <si>
    <t>1600 Ampere Jaws for 33 KV Isolator</t>
  </si>
  <si>
    <t xml:space="preserve"> C-wedge Clamp  Zebra -  Zebra</t>
  </si>
  <si>
    <t>II1I101005</t>
  </si>
  <si>
    <t xml:space="preserve"> C-wedge Clamp  Tarantula -  Panther</t>
  </si>
  <si>
    <t>Log Sheet Register</t>
  </si>
  <si>
    <t>PP2P221004</t>
  </si>
  <si>
    <t>Defective &amp; Repairable three phase Cooling Fan</t>
  </si>
  <si>
    <t>C Wedge Clamp for Zebra to Panther Conductor</t>
  </si>
  <si>
    <t>Mid Span Compresser Joint for ACSR Panther</t>
  </si>
  <si>
    <t xml:space="preserve">Repair Sleeve for ACSR Panther </t>
  </si>
  <si>
    <t>Armord rod for Panther Conductor</t>
  </si>
  <si>
    <t>Single tension fitting for 120 KN for ACSR Panther</t>
  </si>
  <si>
    <t>Suspension Fitting for 90 KN for ACSR Panther</t>
  </si>
  <si>
    <t>Suspension fitting for GS earth wire 7/10 SWG</t>
  </si>
  <si>
    <t>Vibration Damper for Panther Conductor</t>
  </si>
  <si>
    <r>
      <t>OTI O-150</t>
    </r>
    <r>
      <rPr>
        <sz val="11"/>
        <color theme="1"/>
        <rFont val="Calibri"/>
        <family val="2"/>
      </rPr>
      <t>°C range</t>
    </r>
  </si>
  <si>
    <t>145 KV (5 Core Single Phase  current Transformer 400/200/1A Accuracy Clas 0.2S)</t>
  </si>
  <si>
    <t xml:space="preserve">33 KV Isolator  Jaws old &amp; used  </t>
  </si>
  <si>
    <t>NOs</t>
  </si>
  <si>
    <t xml:space="preserve">33 KV Post  Insulator old &amp; used  </t>
  </si>
  <si>
    <t>MM0M007003</t>
  </si>
  <si>
    <t>Defective Buchhoiz Relay (GOR-3M)</t>
  </si>
  <si>
    <t>132 KV LA Damage and burned with S/C</t>
  </si>
  <si>
    <t xml:space="preserve">Earth wire </t>
  </si>
  <si>
    <t>33 KV SF-6 Circuit Breaker  3 Phase Old &amp; Damaged</t>
  </si>
  <si>
    <t>YY1Y102001</t>
  </si>
  <si>
    <t xml:space="preserve">110 Volt dual FCBC Battery charger old &amp; damaged </t>
  </si>
  <si>
    <t>110 Volt 500 AH LM Type tubular transparent battery old &amp; damaged</t>
  </si>
  <si>
    <t xml:space="preserve"> Transformer Oil  Empty Drum</t>
  </si>
  <si>
    <t xml:space="preserve"> single Phase C.T.Ratio 400/200/1 Amp.3 core accuracy class 0.2</t>
  </si>
</sst>
</file>

<file path=xl/styles.xml><?xml version="1.0" encoding="utf-8"?>
<styleSheet xmlns="http://schemas.openxmlformats.org/spreadsheetml/2006/main">
  <numFmts count="6">
    <numFmt numFmtId="164" formatCode="0.000"/>
    <numFmt numFmtId="165" formatCode="0.0"/>
    <numFmt numFmtId="166" formatCode="0.0000"/>
    <numFmt numFmtId="167" formatCode="0.00000"/>
    <numFmt numFmtId="168" formatCode="_(* #,##0.000_);_(* \(#,##0.000\);_(* &quot;-&quot;??_);_(@_)"/>
    <numFmt numFmtId="169" formatCode="0.00_ "/>
  </numFmts>
  <fonts count="132">
    <font>
      <sz val="11"/>
      <color theme="1"/>
      <name val="Calibri"/>
      <family val="2"/>
      <scheme val="minor"/>
    </font>
    <font>
      <b/>
      <sz val="11"/>
      <color theme="1"/>
      <name val="Calibri"/>
      <family val="2"/>
      <scheme val="minor"/>
    </font>
    <font>
      <b/>
      <sz val="12"/>
      <color theme="1"/>
      <name val="Calibri"/>
      <family val="2"/>
      <scheme val="minor"/>
    </font>
    <font>
      <sz val="12"/>
      <color theme="1"/>
      <name val="Calibri"/>
      <family val="2"/>
      <scheme val="minor"/>
    </font>
    <font>
      <sz val="14"/>
      <color theme="1"/>
      <name val="Calibri"/>
      <family val="2"/>
      <scheme val="minor"/>
    </font>
    <font>
      <sz val="12"/>
      <color theme="1"/>
      <name val="Arial"/>
      <family val="2"/>
    </font>
    <font>
      <b/>
      <sz val="18"/>
      <color theme="1"/>
      <name val="Calibri"/>
      <family val="2"/>
      <scheme val="minor"/>
    </font>
    <font>
      <sz val="11"/>
      <name val="Calibri"/>
      <family val="2"/>
      <scheme val="minor"/>
    </font>
    <font>
      <sz val="13"/>
      <color theme="1"/>
      <name val="Calibri"/>
      <family val="2"/>
      <scheme val="minor"/>
    </font>
    <font>
      <sz val="10"/>
      <name val="Arial"/>
      <family val="2"/>
    </font>
    <font>
      <b/>
      <sz val="10"/>
      <name val="Arial"/>
      <family val="2"/>
    </font>
    <font>
      <b/>
      <sz val="11"/>
      <color theme="1"/>
      <name val="Times New Roman"/>
      <family val="1"/>
    </font>
    <font>
      <sz val="14"/>
      <name val="Calibri"/>
      <family val="2"/>
      <scheme val="minor"/>
    </font>
    <font>
      <vertAlign val="superscript"/>
      <sz val="11"/>
      <color theme="1"/>
      <name val="Calibri"/>
      <family val="2"/>
      <scheme val="minor"/>
    </font>
    <font>
      <sz val="14"/>
      <color theme="1"/>
      <name val="Times New Roman"/>
      <family val="1"/>
    </font>
    <font>
      <shadow/>
      <sz val="14"/>
      <color theme="1"/>
      <name val="Calibri"/>
      <family val="2"/>
      <scheme val="minor"/>
    </font>
    <font>
      <b/>
      <u/>
      <sz val="18"/>
      <color theme="1"/>
      <name val="Times New Roman"/>
      <family val="1"/>
    </font>
    <font>
      <b/>
      <u/>
      <sz val="12"/>
      <color theme="1"/>
      <name val="Times New Roman"/>
      <family val="1"/>
    </font>
    <font>
      <b/>
      <sz val="12"/>
      <color theme="1"/>
      <name val="Times New Roman"/>
      <family val="1"/>
    </font>
    <font>
      <sz val="11"/>
      <color theme="1"/>
      <name val="Times New Roman"/>
      <family val="1"/>
    </font>
    <font>
      <sz val="12"/>
      <name val="Calibri"/>
      <family val="2"/>
      <scheme val="minor"/>
    </font>
    <font>
      <sz val="11"/>
      <name val="Times New Roman"/>
      <family val="1"/>
    </font>
    <font>
      <sz val="12"/>
      <name val="Arial"/>
      <family val="2"/>
    </font>
    <font>
      <sz val="12"/>
      <color theme="1"/>
      <name val="Times New Roman"/>
      <family val="1"/>
    </font>
    <font>
      <sz val="11"/>
      <color theme="1"/>
      <name val="Arial"/>
      <family val="2"/>
    </font>
    <font>
      <b/>
      <sz val="11"/>
      <name val="Times New Roman"/>
      <family val="1"/>
    </font>
    <font>
      <sz val="12"/>
      <name val="Times New Roman"/>
      <family val="1"/>
    </font>
    <font>
      <b/>
      <sz val="14"/>
      <color theme="1"/>
      <name val="Times New Roman"/>
      <family val="1"/>
    </font>
    <font>
      <sz val="12"/>
      <name val="Calibri Light"/>
      <family val="1"/>
      <scheme val="major"/>
    </font>
    <font>
      <sz val="11"/>
      <name val="Arial"/>
      <family val="2"/>
    </font>
    <font>
      <b/>
      <u/>
      <sz val="18"/>
      <color theme="1"/>
      <name val="Times New Roman"/>
      <family val="1"/>
    </font>
    <font>
      <b/>
      <sz val="11"/>
      <color theme="1"/>
      <name val="Times New Roman"/>
      <family val="1"/>
    </font>
    <font>
      <sz val="11"/>
      <color theme="1"/>
      <name val="Times New Roman"/>
      <family val="1"/>
    </font>
    <font>
      <sz val="13"/>
      <color theme="1"/>
      <name val="Times New Roman"/>
      <family val="1"/>
    </font>
    <font>
      <sz val="11"/>
      <name val="Calibri"/>
      <family val="2"/>
      <scheme val="minor"/>
    </font>
    <font>
      <sz val="12"/>
      <name val="Calibri"/>
      <family val="2"/>
      <scheme val="minor"/>
    </font>
    <font>
      <b/>
      <sz val="14"/>
      <name val="Calibri"/>
      <family val="2"/>
      <scheme val="minor"/>
    </font>
    <font>
      <b/>
      <sz val="12"/>
      <name val="Calibri"/>
      <family val="2"/>
      <scheme val="minor"/>
    </font>
    <font>
      <b/>
      <sz val="11"/>
      <color theme="1"/>
      <name val="Calibri"/>
      <family val="2"/>
      <scheme val="minor"/>
    </font>
    <font>
      <b/>
      <sz val="12"/>
      <color theme="1"/>
      <name val="Calibri"/>
      <family val="2"/>
      <scheme val="minor"/>
    </font>
    <font>
      <sz val="14"/>
      <color indexed="8"/>
      <name val="Calibri"/>
      <family val="2"/>
      <scheme val="minor"/>
    </font>
    <font>
      <sz val="12"/>
      <color indexed="8"/>
      <name val="Calibri"/>
      <family val="2"/>
      <scheme val="minor"/>
    </font>
    <font>
      <b/>
      <sz val="12"/>
      <color indexed="8"/>
      <name val="Calibri"/>
      <family val="2"/>
      <scheme val="minor"/>
    </font>
    <font>
      <b/>
      <sz val="12"/>
      <color theme="1"/>
      <name val="Times New Roman"/>
      <family val="1"/>
    </font>
    <font>
      <b/>
      <sz val="14"/>
      <color theme="1"/>
      <name val="Times New Roman"/>
      <family val="1"/>
    </font>
    <font>
      <sz val="12"/>
      <color theme="1"/>
      <name val="Calibri"/>
      <family val="2"/>
      <scheme val="minor"/>
    </font>
    <font>
      <b/>
      <sz val="16"/>
      <color theme="1"/>
      <name val="Calibri"/>
      <family val="2"/>
      <scheme val="minor"/>
    </font>
    <font>
      <b/>
      <sz val="12"/>
      <color rgb="FFFF0000"/>
      <name val="Calibri"/>
      <family val="2"/>
      <scheme val="minor"/>
    </font>
    <font>
      <sz val="13"/>
      <color indexed="8"/>
      <name val="Times New Roman"/>
      <family val="1"/>
    </font>
    <font>
      <sz val="13"/>
      <color theme="1"/>
      <name val="Times New Roman"/>
      <family val="1"/>
    </font>
    <font>
      <sz val="12"/>
      <name val="Calibri"/>
      <family val="2"/>
    </font>
    <font>
      <b/>
      <sz val="11"/>
      <color theme="1"/>
      <name val="Tahoma"/>
      <family val="2"/>
    </font>
    <font>
      <sz val="11"/>
      <color theme="1"/>
      <name val="Tahoma"/>
      <family val="2"/>
    </font>
    <font>
      <sz val="11"/>
      <name val="Calibri"/>
      <family val="2"/>
    </font>
    <font>
      <sz val="11"/>
      <color theme="1"/>
      <name val="Calibri"/>
      <family val="2"/>
    </font>
    <font>
      <u/>
      <sz val="11"/>
      <color theme="10"/>
      <name val="Calibri"/>
      <family val="2"/>
    </font>
    <font>
      <b/>
      <u/>
      <sz val="18"/>
      <name val="Calibri"/>
      <family val="2"/>
      <scheme val="minor"/>
    </font>
    <font>
      <b/>
      <sz val="12"/>
      <name val="Calibri"/>
      <family val="2"/>
      <scheme val="minor"/>
    </font>
    <font>
      <b/>
      <sz val="12"/>
      <name val="Times New Roman"/>
      <family val="1"/>
    </font>
    <font>
      <sz val="10"/>
      <name val="Calibri"/>
      <family val="2"/>
      <scheme val="minor"/>
    </font>
    <font>
      <sz val="14"/>
      <name val="Times New Roman"/>
      <family val="1"/>
    </font>
    <font>
      <sz val="22"/>
      <name val="Calibri"/>
      <family val="2"/>
      <scheme val="minor"/>
    </font>
    <font>
      <sz val="20"/>
      <name val="Calibri"/>
      <family val="2"/>
      <scheme val="minor"/>
    </font>
    <font>
      <b/>
      <sz val="12"/>
      <color indexed="8"/>
      <name val="Calibri"/>
      <family val="2"/>
    </font>
    <font>
      <sz val="12"/>
      <color indexed="8"/>
      <name val="Calibri"/>
      <family val="2"/>
    </font>
    <font>
      <b/>
      <sz val="12"/>
      <name val="Calibri"/>
      <family val="2"/>
    </font>
    <font>
      <sz val="12"/>
      <color rgb="FF000000"/>
      <name val="Calibri"/>
      <family val="2"/>
    </font>
    <font>
      <sz val="12"/>
      <color rgb="FF000000"/>
      <name val="Times New Roman"/>
      <family val="1"/>
    </font>
    <font>
      <b/>
      <sz val="12"/>
      <color rgb="FF000000"/>
      <name val="Calibri"/>
      <family val="2"/>
    </font>
    <font>
      <b/>
      <u/>
      <sz val="12"/>
      <name val="Arial"/>
      <family val="2"/>
    </font>
    <font>
      <sz val="12"/>
      <color theme="1"/>
      <name val="Calibri"/>
      <family val="2"/>
    </font>
    <font>
      <b/>
      <u/>
      <sz val="12"/>
      <color theme="1"/>
      <name val="Calibri"/>
      <family val="2"/>
    </font>
    <font>
      <b/>
      <u/>
      <sz val="12"/>
      <color theme="1"/>
      <name val="Calibri"/>
      <family val="2"/>
      <scheme val="minor"/>
    </font>
    <font>
      <vertAlign val="superscript"/>
      <sz val="12"/>
      <color indexed="8"/>
      <name val="Calibri"/>
      <family val="2"/>
    </font>
    <font>
      <sz val="12"/>
      <color indexed="8"/>
      <name val="Arial"/>
      <family val="2"/>
    </font>
    <font>
      <sz val="11"/>
      <color theme="1"/>
      <name val="Calibri"/>
      <family val="2"/>
      <scheme val="minor"/>
    </font>
    <font>
      <b/>
      <u/>
      <sz val="18"/>
      <name val="Times New Roman"/>
      <family val="1"/>
    </font>
    <font>
      <b/>
      <sz val="10"/>
      <name val="Times New Roman"/>
      <family val="1"/>
    </font>
    <font>
      <b/>
      <sz val="11"/>
      <name val="Calibri"/>
      <family val="2"/>
    </font>
    <font>
      <sz val="10"/>
      <name val="Times New Roman"/>
      <family val="1"/>
    </font>
    <font>
      <sz val="10"/>
      <color theme="1"/>
      <name val="Times New Roman"/>
      <family val="1"/>
    </font>
    <font>
      <b/>
      <sz val="18"/>
      <color theme="1"/>
      <name val="Times New Roman"/>
      <family val="1"/>
    </font>
    <font>
      <b/>
      <sz val="13"/>
      <color theme="1"/>
      <name val="Times New Roman"/>
      <family val="1"/>
    </font>
    <font>
      <b/>
      <sz val="10"/>
      <color theme="1"/>
      <name val="Times New Roman"/>
      <family val="1"/>
    </font>
    <font>
      <sz val="10"/>
      <color theme="1"/>
      <name val="Calibri"/>
      <family val="2"/>
      <scheme val="minor"/>
    </font>
    <font>
      <sz val="13"/>
      <name val="Times New Roman"/>
      <family val="1"/>
    </font>
    <font>
      <b/>
      <sz val="11"/>
      <color indexed="8"/>
      <name val="Calibri"/>
      <family val="2"/>
    </font>
    <font>
      <b/>
      <sz val="14"/>
      <color theme="1"/>
      <name val="Calibri"/>
      <family val="2"/>
      <scheme val="minor"/>
    </font>
    <font>
      <sz val="9"/>
      <color theme="1"/>
      <name val="Calibri"/>
      <family val="2"/>
      <scheme val="minor"/>
    </font>
    <font>
      <b/>
      <sz val="9"/>
      <color indexed="8"/>
      <name val="Calibri"/>
      <family val="2"/>
    </font>
    <font>
      <sz val="9"/>
      <color indexed="8"/>
      <name val="Calibri"/>
      <family val="2"/>
    </font>
    <font>
      <b/>
      <sz val="9"/>
      <color theme="1"/>
      <name val="Calibri"/>
      <family val="2"/>
      <scheme val="minor"/>
    </font>
    <font>
      <b/>
      <sz val="20"/>
      <color theme="1"/>
      <name val="Calibri"/>
      <family val="2"/>
      <scheme val="minor"/>
    </font>
    <font>
      <b/>
      <sz val="10"/>
      <color theme="1"/>
      <name val="Calibri"/>
      <family val="2"/>
      <scheme val="minor"/>
    </font>
    <font>
      <sz val="9"/>
      <name val="Calibri"/>
      <family val="2"/>
      <scheme val="minor"/>
    </font>
    <font>
      <b/>
      <u/>
      <sz val="18"/>
      <color rgb="FFFF0000"/>
      <name val="Times New Roman"/>
      <family val="1"/>
    </font>
    <font>
      <sz val="11"/>
      <color rgb="FFFF0000"/>
      <name val="Times New Roman"/>
      <family val="1"/>
    </font>
    <font>
      <b/>
      <sz val="12"/>
      <color rgb="FFFF0000"/>
      <name val="Times New Roman"/>
      <family val="1"/>
    </font>
    <font>
      <sz val="12"/>
      <color indexed="8"/>
      <name val="Times New Roman"/>
      <family val="1"/>
    </font>
    <font>
      <sz val="12"/>
      <name val="Times New Roman"/>
      <family val="1"/>
    </font>
    <font>
      <sz val="12"/>
      <color theme="1"/>
      <name val="Times New Roman"/>
      <family val="1"/>
    </font>
    <font>
      <sz val="12"/>
      <color rgb="FFC00000"/>
      <name val="Times New Roman"/>
      <family val="1"/>
    </font>
    <font>
      <sz val="12"/>
      <color rgb="FFFF0000"/>
      <name val="Times New Roman"/>
      <family val="1"/>
    </font>
    <font>
      <sz val="12"/>
      <color theme="4" tint="-0.249977111117893"/>
      <name val="Times New Roman"/>
      <family val="1"/>
    </font>
    <font>
      <sz val="12"/>
      <color theme="1"/>
      <name val="Times New Roman Regular"/>
      <charset val="134"/>
    </font>
    <font>
      <sz val="12"/>
      <name val="Times New Roman Regular"/>
      <charset val="134"/>
    </font>
    <font>
      <sz val="11"/>
      <color theme="1"/>
      <name val="Times New Roman Regular"/>
      <charset val="134"/>
    </font>
    <font>
      <sz val="12"/>
      <color rgb="FFFF0000"/>
      <name val="Times New Roman Regular"/>
      <charset val="134"/>
    </font>
    <font>
      <sz val="12"/>
      <color theme="3"/>
      <name val="Times New Roman"/>
      <family val="1"/>
    </font>
    <font>
      <sz val="11"/>
      <color theme="3"/>
      <name val="Calibri"/>
      <family val="2"/>
      <scheme val="minor"/>
    </font>
    <font>
      <sz val="11"/>
      <color rgb="FFFF0000"/>
      <name val="Calibri"/>
      <family val="2"/>
      <scheme val="minor"/>
    </font>
    <font>
      <b/>
      <sz val="12"/>
      <name val="Times New Roman Bold"/>
      <charset val="134"/>
    </font>
    <font>
      <b/>
      <sz val="12"/>
      <color rgb="FFFF0000"/>
      <name val="Times New Roman Bold"/>
      <charset val="134"/>
    </font>
    <font>
      <b/>
      <sz val="12"/>
      <name val="Times New Roman"/>
      <family val="1"/>
    </font>
    <font>
      <b/>
      <u/>
      <sz val="16"/>
      <color rgb="FF000000"/>
      <name val="Calibri"/>
      <family val="2"/>
    </font>
    <font>
      <b/>
      <u/>
      <sz val="14"/>
      <color theme="1"/>
      <name val="Arial"/>
      <family val="2"/>
    </font>
    <font>
      <b/>
      <u/>
      <sz val="11"/>
      <color theme="1"/>
      <name val="Arial"/>
      <family val="2"/>
    </font>
    <font>
      <b/>
      <sz val="11"/>
      <color theme="1"/>
      <name val="Arial"/>
      <family val="2"/>
    </font>
    <font>
      <b/>
      <sz val="10"/>
      <color theme="1"/>
      <name val="Arial"/>
      <family val="2"/>
    </font>
    <font>
      <b/>
      <sz val="11"/>
      <color rgb="FF000000"/>
      <name val="Calibri"/>
      <family val="2"/>
    </font>
    <font>
      <sz val="10"/>
      <color theme="1"/>
      <name val="Arial"/>
      <family val="2"/>
    </font>
    <font>
      <sz val="13"/>
      <color theme="1"/>
      <name val="Arial"/>
      <family val="2"/>
    </font>
    <font>
      <sz val="9"/>
      <color theme="1"/>
      <name val="Arial"/>
      <family val="2"/>
    </font>
    <font>
      <sz val="10"/>
      <color rgb="FFFF0000"/>
      <name val="Arial"/>
      <family val="2"/>
    </font>
    <font>
      <sz val="10"/>
      <color indexed="8"/>
      <name val="Arial"/>
      <family val="2"/>
    </font>
    <font>
      <sz val="13"/>
      <color theme="0"/>
      <name val="Arial"/>
      <family val="2"/>
    </font>
    <font>
      <b/>
      <sz val="10"/>
      <color indexed="8"/>
      <name val="Arial"/>
      <family val="2"/>
    </font>
    <font>
      <b/>
      <sz val="11"/>
      <color indexed="8"/>
      <name val="Arial"/>
      <family val="2"/>
    </font>
    <font>
      <b/>
      <u/>
      <sz val="10"/>
      <color indexed="8"/>
      <name val="Arial"/>
      <family val="2"/>
    </font>
    <font>
      <sz val="10"/>
      <color rgb="FFFF0000"/>
      <name val="Times New Roman"/>
      <family val="1"/>
    </font>
    <font>
      <b/>
      <sz val="12"/>
      <color rgb="FF000000"/>
      <name val="Times New Roman"/>
      <family val="1"/>
    </font>
    <font>
      <b/>
      <sz val="12"/>
      <color theme="1"/>
      <name val="Arial"/>
      <family val="2"/>
    </font>
  </fonts>
  <fills count="26">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C000"/>
        <bgColor indexed="64"/>
      </patternFill>
    </fill>
    <fill>
      <patternFill patternType="solid">
        <fgColor rgb="FF00B0F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theme="0" tint="-0.14999847407452621"/>
        <bgColor rgb="FFD8D8D8"/>
      </patternFill>
    </fill>
    <fill>
      <patternFill patternType="solid">
        <fgColor theme="0" tint="-0.14999847407452621"/>
        <bgColor rgb="FFBFBFBF"/>
      </patternFill>
    </fill>
    <fill>
      <patternFill patternType="solid">
        <fgColor rgb="FFD8D8D8"/>
        <bgColor rgb="FFD8D8D8"/>
      </patternFill>
    </fill>
    <fill>
      <patternFill patternType="solid">
        <fgColor theme="0" tint="-0.14996795556505021"/>
        <bgColor indexed="64"/>
      </patternFill>
    </fill>
    <fill>
      <patternFill patternType="solid">
        <fgColor rgb="FF00B050"/>
        <bgColor indexed="64"/>
      </patternFill>
    </fill>
    <fill>
      <patternFill patternType="solid">
        <fgColor rgb="FFFF0000"/>
        <bgColor indexed="64"/>
      </patternFill>
    </fill>
    <fill>
      <patternFill patternType="solid">
        <fgColor theme="2" tint="-0.249977111117893"/>
        <bgColor indexed="64"/>
      </patternFill>
    </fill>
    <fill>
      <patternFill patternType="solid">
        <fgColor rgb="FFFF3399"/>
        <bgColor indexed="64"/>
      </patternFill>
    </fill>
    <fill>
      <patternFill patternType="solid">
        <fgColor theme="5"/>
        <bgColor indexed="64"/>
      </patternFill>
    </fill>
    <fill>
      <patternFill patternType="solid">
        <fgColor theme="8" tint="0.39994506668294322"/>
        <bgColor indexed="64"/>
      </patternFill>
    </fill>
    <fill>
      <patternFill patternType="solid">
        <fgColor rgb="FF92D050"/>
        <bgColor indexed="64"/>
      </patternFill>
    </fill>
    <fill>
      <patternFill patternType="solid">
        <fgColor theme="9"/>
        <bgColor indexed="64"/>
      </patternFill>
    </fill>
    <fill>
      <patternFill patternType="solid">
        <fgColor theme="6" tint="0.79995117038483843"/>
        <bgColor indexed="64"/>
      </patternFill>
    </fill>
    <fill>
      <patternFill patternType="solid">
        <fgColor rgb="FF006600"/>
        <bgColor indexed="64"/>
      </patternFill>
    </fill>
    <fill>
      <patternFill patternType="solid">
        <fgColor theme="9" tint="-0.249977111117893"/>
        <bgColor indexed="64"/>
      </patternFill>
    </fill>
    <fill>
      <patternFill patternType="solid">
        <fgColor rgb="FFCC00CC"/>
        <bgColor indexed="64"/>
      </patternFill>
    </fill>
    <fill>
      <patternFill patternType="solid">
        <fgColor rgb="FFFFCCCC"/>
        <bgColor indexed="64"/>
      </patternFill>
    </fill>
  </fills>
  <borders count="20">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auto="1"/>
      </left>
      <right/>
      <top style="thin">
        <color indexed="8"/>
      </top>
      <bottom style="thin">
        <color indexed="8"/>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rgb="FF000000"/>
      </left>
      <right style="thin">
        <color rgb="FF000000"/>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thin">
        <color rgb="FF000000"/>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bottom style="thin">
        <color indexed="64"/>
      </bottom>
      <diagonal/>
    </border>
  </borders>
  <cellStyleXfs count="5">
    <xf numFmtId="0" fontId="0" fillId="0" borderId="0"/>
    <xf numFmtId="0" fontId="55" fillId="0" borderId="0" applyNumberFormat="0" applyFill="0" applyBorder="0" applyAlignment="0" applyProtection="0">
      <alignment vertical="top"/>
      <protection locked="0"/>
    </xf>
    <xf numFmtId="0" fontId="54" fillId="0" borderId="0"/>
    <xf numFmtId="0" fontId="9" fillId="0" borderId="0"/>
    <xf numFmtId="165" fontId="9" fillId="0" borderId="0" applyFont="0" applyFill="0" applyBorder="0" applyAlignment="0" applyProtection="0"/>
  </cellStyleXfs>
  <cellXfs count="1332">
    <xf numFmtId="0" fontId="0" fillId="0" borderId="0" xfId="0"/>
    <xf numFmtId="2" fontId="3" fillId="2" borderId="2" xfId="0" applyNumberFormat="1" applyFont="1" applyFill="1" applyBorder="1" applyAlignment="1">
      <alignment horizontal="center" vertical="center" wrapText="1"/>
    </xf>
    <xf numFmtId="1" fontId="3" fillId="2" borderId="2" xfId="0" applyNumberFormat="1" applyFont="1" applyFill="1" applyBorder="1" applyAlignment="1">
      <alignment horizontal="center" vertical="center" wrapText="1"/>
    </xf>
    <xf numFmtId="0" fontId="3" fillId="2" borderId="2" xfId="0" applyFont="1" applyFill="1" applyBorder="1" applyAlignment="1">
      <alignment horizontal="center" wrapText="1"/>
    </xf>
    <xf numFmtId="0" fontId="3" fillId="2"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1" fontId="4" fillId="2" borderId="2" xfId="0" applyNumberFormat="1" applyFont="1" applyFill="1" applyBorder="1" applyAlignment="1">
      <alignment horizontal="center" vertical="center" wrapText="1"/>
    </xf>
    <xf numFmtId="0" fontId="3" fillId="0" borderId="2" xfId="0" applyFont="1" applyBorder="1" applyAlignment="1">
      <alignment horizontal="center" vertical="center" wrapText="1"/>
    </xf>
    <xf numFmtId="0" fontId="0" fillId="0" borderId="2" xfId="0" applyBorder="1" applyAlignment="1">
      <alignment horizontal="center" wrapText="1"/>
    </xf>
    <xf numFmtId="0" fontId="5" fillId="0" borderId="2" xfId="0" applyFont="1" applyBorder="1" applyAlignment="1">
      <alignment horizontal="center" vertical="center" wrapText="1"/>
    </xf>
    <xf numFmtId="0" fontId="0" fillId="0" borderId="2" xfId="0" applyBorder="1" applyAlignment="1">
      <alignment wrapText="1"/>
    </xf>
    <xf numFmtId="0" fontId="0" fillId="0" borderId="2" xfId="0" applyBorder="1" applyAlignment="1">
      <alignment horizontal="center" vertical="center" wrapText="1"/>
    </xf>
    <xf numFmtId="164" fontId="3" fillId="2" borderId="2" xfId="0" applyNumberFormat="1" applyFont="1" applyFill="1" applyBorder="1" applyAlignment="1">
      <alignment horizontal="center" vertical="center" wrapText="1"/>
    </xf>
    <xf numFmtId="0" fontId="2" fillId="2" borderId="2" xfId="0" applyFont="1" applyFill="1" applyBorder="1" applyAlignment="1">
      <alignment horizontal="left" vertical="center" wrapText="1"/>
    </xf>
    <xf numFmtId="0" fontId="0" fillId="2" borderId="2" xfId="0" applyFill="1" applyBorder="1" applyAlignment="1">
      <alignment horizontal="center" wrapText="1"/>
    </xf>
    <xf numFmtId="0" fontId="3" fillId="2" borderId="2" xfId="0" applyFont="1" applyFill="1" applyBorder="1" applyAlignment="1">
      <alignment horizontal="center" vertical="center"/>
    </xf>
    <xf numFmtId="0" fontId="0" fillId="2" borderId="2" xfId="0" applyFill="1" applyBorder="1" applyAlignment="1">
      <alignment horizontal="center"/>
    </xf>
    <xf numFmtId="0" fontId="2" fillId="2" borderId="2"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0" fillId="0" borderId="2" xfId="0" applyBorder="1" applyAlignment="1">
      <alignment horizontal="left" vertical="center" wrapText="1"/>
    </xf>
    <xf numFmtId="0" fontId="5" fillId="0" borderId="2" xfId="0" applyFont="1" applyBorder="1" applyAlignment="1">
      <alignment horizontal="center" vertical="center"/>
    </xf>
    <xf numFmtId="0" fontId="2" fillId="2" borderId="5" xfId="0" applyFont="1" applyFill="1" applyBorder="1" applyAlignment="1">
      <alignment horizontal="center" vertical="center" wrapText="1"/>
    </xf>
    <xf numFmtId="0" fontId="2" fillId="2" borderId="6" xfId="0" applyFont="1" applyFill="1" applyBorder="1" applyAlignment="1">
      <alignment wrapText="1"/>
    </xf>
    <xf numFmtId="0" fontId="2" fillId="2" borderId="6" xfId="0" applyFont="1" applyFill="1" applyBorder="1" applyAlignment="1">
      <alignment vertical="center" wrapText="1"/>
    </xf>
    <xf numFmtId="0" fontId="2" fillId="2" borderId="6" xfId="0" applyFont="1" applyFill="1" applyBorder="1" applyAlignment="1">
      <alignment vertical="top" wrapText="1"/>
    </xf>
    <xf numFmtId="0" fontId="4" fillId="2" borderId="6" xfId="0" applyFont="1" applyFill="1" applyBorder="1" applyAlignment="1">
      <alignment wrapText="1"/>
    </xf>
    <xf numFmtId="0" fontId="4" fillId="2" borderId="6" xfId="0" applyFont="1" applyFill="1" applyBorder="1" applyAlignment="1">
      <alignment horizontal="left" vertical="top" wrapText="1"/>
    </xf>
    <xf numFmtId="0" fontId="4" fillId="2" borderId="6" xfId="0" applyFont="1" applyFill="1" applyBorder="1" applyAlignment="1">
      <alignment horizontal="left" vertical="center" wrapText="1"/>
    </xf>
    <xf numFmtId="0" fontId="4" fillId="2" borderId="6" xfId="0" applyFont="1" applyFill="1" applyBorder="1" applyAlignment="1">
      <alignment vertical="center" wrapText="1"/>
    </xf>
    <xf numFmtId="0" fontId="3" fillId="2" borderId="6" xfId="0" applyFont="1" applyFill="1" applyBorder="1" applyAlignment="1">
      <alignment horizontal="left" vertical="center" wrapText="1"/>
    </xf>
    <xf numFmtId="0" fontId="0" fillId="0" borderId="6" xfId="0" applyBorder="1" applyAlignment="1">
      <alignment wrapText="1"/>
    </xf>
    <xf numFmtId="0" fontId="0" fillId="2" borderId="6" xfId="0" applyFill="1" applyBorder="1" applyAlignment="1">
      <alignment vertical="center" wrapText="1"/>
    </xf>
    <xf numFmtId="0" fontId="0" fillId="0" borderId="4" xfId="0" applyBorder="1" applyAlignment="1">
      <alignment vertical="top" wrapText="1"/>
    </xf>
    <xf numFmtId="0" fontId="0" fillId="0" borderId="6" xfId="0" applyBorder="1" applyAlignment="1">
      <alignment horizontal="left" vertical="center" wrapText="1"/>
    </xf>
    <xf numFmtId="0" fontId="0" fillId="0" borderId="2" xfId="0" applyBorder="1"/>
    <xf numFmtId="0" fontId="0" fillId="0" borderId="2" xfId="0" applyBorder="1" applyAlignment="1">
      <alignment vertical="center"/>
    </xf>
    <xf numFmtId="0" fontId="1" fillId="2" borderId="2" xfId="0" applyFont="1" applyFill="1" applyBorder="1" applyAlignment="1">
      <alignment horizontal="left" vertical="center" wrapText="1"/>
    </xf>
    <xf numFmtId="0" fontId="0" fillId="0" borderId="2" xfId="0" applyBorder="1" applyAlignment="1">
      <alignment horizontal="left" vertical="center"/>
    </xf>
    <xf numFmtId="0" fontId="3" fillId="0" borderId="6" xfId="0" applyFont="1" applyBorder="1" applyAlignment="1">
      <alignment horizontal="left" vertical="center" wrapText="1"/>
    </xf>
    <xf numFmtId="0" fontId="6" fillId="2" borderId="2" xfId="0" applyFont="1" applyFill="1" applyBorder="1" applyAlignment="1">
      <alignment horizontal="center" wrapText="1"/>
    </xf>
    <xf numFmtId="0" fontId="3" fillId="2" borderId="0" xfId="0" applyFont="1" applyFill="1" applyAlignment="1">
      <alignment horizontal="center" wrapText="1"/>
    </xf>
    <xf numFmtId="0" fontId="1" fillId="2" borderId="2" xfId="0" applyFont="1" applyFill="1" applyBorder="1" applyAlignment="1">
      <alignment horizontal="center" wrapText="1"/>
    </xf>
    <xf numFmtId="0" fontId="0" fillId="0" borderId="2" xfId="0" applyBorder="1" applyAlignment="1">
      <alignment horizontal="left" vertical="top" wrapText="1"/>
    </xf>
    <xf numFmtId="0" fontId="0" fillId="0" borderId="3" xfId="0" applyBorder="1" applyAlignment="1">
      <alignment vertical="top" wrapText="1"/>
    </xf>
    <xf numFmtId="0" fontId="0" fillId="2" borderId="2" xfId="0" applyFill="1" applyBorder="1" applyAlignment="1">
      <alignment horizontal="left" vertical="center" wrapText="1"/>
    </xf>
    <xf numFmtId="0" fontId="3" fillId="0" borderId="2" xfId="0" applyFont="1" applyBorder="1" applyAlignment="1">
      <alignment horizontal="left" vertical="top" wrapText="1"/>
    </xf>
    <xf numFmtId="0" fontId="3" fillId="0" borderId="0" xfId="0" applyFont="1"/>
    <xf numFmtId="0" fontId="3" fillId="0" borderId="0" xfId="0" applyFont="1" applyAlignment="1">
      <alignment horizontal="center"/>
    </xf>
    <xf numFmtId="0" fontId="2" fillId="0" borderId="2" xfId="0" applyFont="1" applyBorder="1" applyAlignment="1">
      <alignment horizontal="center" vertical="center" wrapText="1"/>
    </xf>
    <xf numFmtId="0" fontId="2" fillId="0" borderId="2" xfId="0" applyFont="1" applyBorder="1" applyAlignment="1">
      <alignment horizontal="center" wrapText="1"/>
    </xf>
    <xf numFmtId="0" fontId="2" fillId="0" borderId="2" xfId="0" applyFont="1" applyBorder="1" applyAlignment="1">
      <alignment vertical="center" wrapText="1"/>
    </xf>
    <xf numFmtId="0" fontId="8" fillId="2" borderId="2" xfId="0" applyFont="1" applyFill="1" applyBorder="1" applyAlignment="1">
      <alignment horizontal="left" vertical="center" wrapText="1"/>
    </xf>
    <xf numFmtId="49" fontId="8" fillId="2" borderId="2" xfId="0" applyNumberFormat="1" applyFont="1" applyFill="1" applyBorder="1" applyAlignment="1">
      <alignment horizontal="left" vertical="center" wrapText="1"/>
    </xf>
    <xf numFmtId="0" fontId="3" fillId="2" borderId="0" xfId="0" applyFont="1" applyFill="1"/>
    <xf numFmtId="0" fontId="3" fillId="2" borderId="6" xfId="0" applyFont="1" applyFill="1" applyBorder="1" applyAlignment="1">
      <alignment wrapText="1"/>
    </xf>
    <xf numFmtId="0" fontId="8" fillId="2" borderId="2" xfId="0" applyFont="1" applyFill="1" applyBorder="1" applyAlignment="1">
      <alignment horizontal="left" vertical="center"/>
    </xf>
    <xf numFmtId="0" fontId="3" fillId="0" borderId="6" xfId="0" applyFont="1" applyBorder="1" applyAlignment="1">
      <alignment horizontal="left" vertical="top"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2" xfId="0" applyFont="1" applyBorder="1" applyAlignment="1">
      <alignment horizontal="left" vertical="center" wrapText="1"/>
    </xf>
    <xf numFmtId="0" fontId="0" fillId="0" borderId="2" xfId="0" applyBorder="1" applyAlignment="1">
      <alignment horizontal="center" vertical="center"/>
    </xf>
    <xf numFmtId="0" fontId="0" fillId="0" borderId="2" xfId="0" applyBorder="1" applyAlignment="1">
      <alignment vertical="top" wrapText="1"/>
    </xf>
    <xf numFmtId="0" fontId="2" fillId="3" borderId="2" xfId="0" applyFont="1" applyFill="1" applyBorder="1" applyAlignment="1">
      <alignment horizontal="center" vertical="center" wrapText="1"/>
    </xf>
    <xf numFmtId="0" fontId="2" fillId="3" borderId="2" xfId="0" applyFont="1" applyFill="1" applyBorder="1" applyAlignment="1">
      <alignment horizontal="center" wrapText="1"/>
    </xf>
    <xf numFmtId="0" fontId="3" fillId="3" borderId="0" xfId="0" applyFont="1" applyFill="1"/>
    <xf numFmtId="0" fontId="2" fillId="0" borderId="7" xfId="0" applyFont="1" applyBorder="1" applyAlignment="1">
      <alignment horizontal="center" wrapText="1"/>
    </xf>
    <xf numFmtId="0" fontId="3" fillId="0" borderId="0" xfId="0" applyFont="1" applyAlignment="1">
      <alignment horizontal="center" vertical="center"/>
    </xf>
    <xf numFmtId="0" fontId="0" fillId="0" borderId="0" xfId="0" applyAlignment="1">
      <alignment horizontal="center" vertical="center"/>
    </xf>
    <xf numFmtId="0" fontId="2" fillId="3" borderId="5" xfId="0" applyFont="1" applyFill="1" applyBorder="1" applyAlignment="1">
      <alignment horizontal="center" vertical="center" wrapText="1"/>
    </xf>
    <xf numFmtId="0" fontId="2" fillId="3" borderId="2" xfId="0" applyFont="1" applyFill="1" applyBorder="1" applyAlignment="1">
      <alignment vertical="center" wrapText="1"/>
    </xf>
    <xf numFmtId="0" fontId="0" fillId="3" borderId="6" xfId="0" applyFill="1" applyBorder="1" applyAlignment="1">
      <alignment vertical="top" wrapText="1"/>
    </xf>
    <xf numFmtId="0" fontId="5" fillId="3" borderId="2" xfId="0" applyFont="1" applyFill="1" applyBorder="1" applyAlignment="1">
      <alignment horizontal="center" vertical="center"/>
    </xf>
    <xf numFmtId="0" fontId="0" fillId="0" borderId="2" xfId="0" applyBorder="1" applyAlignment="1">
      <alignment horizontal="center"/>
    </xf>
    <xf numFmtId="0" fontId="0" fillId="0" borderId="0" xfId="0" applyAlignment="1">
      <alignment wrapText="1"/>
    </xf>
    <xf numFmtId="0" fontId="9" fillId="0" borderId="8" xfId="0" applyFont="1" applyBorder="1" applyAlignment="1">
      <alignment horizontal="left" vertical="top" wrapText="1"/>
    </xf>
    <xf numFmtId="0" fontId="10" fillId="0" borderId="2" xfId="0" applyFont="1" applyBorder="1" applyAlignment="1">
      <alignment horizontal="center" vertical="center" wrapText="1"/>
    </xf>
    <xf numFmtId="0" fontId="1" fillId="0" borderId="2" xfId="0" applyFont="1" applyBorder="1" applyAlignment="1">
      <alignment vertical="center"/>
    </xf>
    <xf numFmtId="0" fontId="11" fillId="2" borderId="2" xfId="0" applyFont="1" applyFill="1" applyBorder="1" applyAlignment="1">
      <alignment horizontal="left" vertical="center" wrapText="1"/>
    </xf>
    <xf numFmtId="0" fontId="4" fillId="0" borderId="6" xfId="0" applyFont="1" applyBorder="1" applyAlignment="1">
      <alignment horizontal="left" vertical="top" wrapText="1"/>
    </xf>
    <xf numFmtId="0" fontId="3" fillId="2" borderId="2" xfId="0" applyFont="1" applyFill="1" applyBorder="1" applyAlignment="1">
      <alignment vertical="center" wrapText="1"/>
    </xf>
    <xf numFmtId="0" fontId="4" fillId="0" borderId="2" xfId="0" applyFont="1" applyBorder="1" applyAlignment="1">
      <alignment horizontal="center" vertical="center" wrapText="1"/>
    </xf>
    <xf numFmtId="1" fontId="12" fillId="0" borderId="2" xfId="0" applyNumberFormat="1" applyFont="1" applyBorder="1" applyAlignment="1">
      <alignment horizontal="center" vertical="center" wrapText="1"/>
    </xf>
    <xf numFmtId="0" fontId="9" fillId="0" borderId="2" xfId="0" applyFont="1" applyBorder="1" applyAlignment="1">
      <alignment horizontal="left" vertical="top" wrapText="1"/>
    </xf>
    <xf numFmtId="0" fontId="10" fillId="0" borderId="8" xfId="0" applyFont="1" applyBorder="1" applyAlignment="1">
      <alignment horizontal="left" vertical="top" wrapText="1"/>
    </xf>
    <xf numFmtId="0" fontId="10" fillId="0" borderId="2" xfId="0" applyFont="1" applyBorder="1" applyAlignment="1">
      <alignment horizontal="left" vertical="top" wrapText="1"/>
    </xf>
    <xf numFmtId="0" fontId="3" fillId="0" borderId="3" xfId="0" applyFont="1" applyBorder="1" applyAlignment="1">
      <alignment horizontal="center" vertical="center" wrapText="1"/>
    </xf>
    <xf numFmtId="0" fontId="5" fillId="0" borderId="2" xfId="0" applyFont="1" applyBorder="1" applyAlignment="1">
      <alignment horizontal="left" vertical="center" wrapText="1"/>
    </xf>
    <xf numFmtId="0" fontId="14" fillId="0" borderId="2" xfId="0" applyFont="1" applyBorder="1" applyAlignment="1">
      <alignment horizontal="left" vertical="top" wrapText="1"/>
    </xf>
    <xf numFmtId="0" fontId="4" fillId="2" borderId="2" xfId="0" applyFont="1" applyFill="1" applyBorder="1" applyAlignment="1">
      <alignment horizontal="left" vertical="center" wrapText="1"/>
    </xf>
    <xf numFmtId="0" fontId="15" fillId="0" borderId="2" xfId="0" applyFont="1" applyBorder="1" applyAlignment="1">
      <alignment horizontal="center" vertical="center" wrapText="1"/>
    </xf>
    <xf numFmtId="0" fontId="4" fillId="2" borderId="2" xfId="0" applyFont="1" applyFill="1" applyBorder="1" applyAlignment="1">
      <alignment horizontal="center" vertical="center"/>
    </xf>
    <xf numFmtId="0" fontId="5" fillId="2" borderId="2" xfId="0" applyFont="1" applyFill="1" applyBorder="1" applyAlignment="1">
      <alignment horizontal="left" vertical="center" wrapText="1"/>
    </xf>
    <xf numFmtId="0" fontId="2" fillId="0" borderId="2" xfId="0" applyFont="1" applyBorder="1" applyAlignment="1">
      <alignment horizontal="center" wrapText="1"/>
    </xf>
    <xf numFmtId="0" fontId="16" fillId="0" borderId="0" xfId="0" applyFont="1" applyAlignment="1">
      <alignment horizontal="center" vertical="center"/>
    </xf>
    <xf numFmtId="0" fontId="17" fillId="0" borderId="0" xfId="0" applyFont="1" applyAlignment="1">
      <alignment horizontal="center" vertical="center"/>
    </xf>
    <xf numFmtId="0" fontId="19" fillId="0" borderId="0" xfId="0" applyFont="1" applyAlignment="1">
      <alignment horizontal="center" vertical="center"/>
    </xf>
    <xf numFmtId="0" fontId="11" fillId="0" borderId="0" xfId="0" applyFont="1" applyAlignment="1">
      <alignment horizontal="center" vertical="center"/>
    </xf>
    <xf numFmtId="0" fontId="11" fillId="0" borderId="9" xfId="0" applyFont="1" applyBorder="1" applyAlignment="1">
      <alignment horizontal="center" vertical="center"/>
    </xf>
    <xf numFmtId="17" fontId="11" fillId="0" borderId="0" xfId="0" applyNumberFormat="1" applyFont="1" applyAlignment="1">
      <alignment horizontal="center" vertical="center"/>
    </xf>
    <xf numFmtId="0" fontId="11" fillId="0" borderId="4" xfId="0" applyFont="1" applyBorder="1" applyAlignment="1">
      <alignment horizontal="center" vertical="center"/>
    </xf>
    <xf numFmtId="0" fontId="11" fillId="0" borderId="2" xfId="0" applyFont="1" applyBorder="1" applyAlignment="1">
      <alignment horizontal="center" vertical="center"/>
    </xf>
    <xf numFmtId="0" fontId="19" fillId="0" borderId="2" xfId="0" applyFont="1" applyBorder="1" applyAlignment="1">
      <alignment horizontal="left" vertical="center"/>
    </xf>
    <xf numFmtId="0" fontId="20" fillId="0" borderId="2" xfId="0" applyFont="1" applyBorder="1" applyAlignment="1">
      <alignment horizontal="center" vertical="center" wrapText="1"/>
    </xf>
    <xf numFmtId="0" fontId="19" fillId="0" borderId="2" xfId="0" applyFont="1" applyBorder="1" applyAlignment="1">
      <alignment horizontal="center" vertical="center"/>
    </xf>
    <xf numFmtId="2" fontId="19" fillId="0" borderId="2" xfId="0" applyNumberFormat="1" applyFont="1" applyBorder="1" applyAlignment="1">
      <alignment horizontal="center" vertical="center"/>
    </xf>
    <xf numFmtId="2" fontId="20" fillId="0" borderId="2" xfId="0" applyNumberFormat="1" applyFont="1" applyBorder="1" applyAlignment="1">
      <alignment horizontal="center" vertical="center" wrapText="1"/>
    </xf>
    <xf numFmtId="0" fontId="11" fillId="4" borderId="2" xfId="0" applyFont="1" applyFill="1" applyBorder="1" applyAlignment="1">
      <alignment horizontal="center" vertical="center"/>
    </xf>
    <xf numFmtId="0" fontId="19" fillId="4" borderId="2" xfId="0" applyFont="1" applyFill="1" applyBorder="1" applyAlignment="1">
      <alignment horizontal="left" vertical="center"/>
    </xf>
    <xf numFmtId="0" fontId="20" fillId="4" borderId="2" xfId="0" applyFont="1" applyFill="1" applyBorder="1" applyAlignment="1">
      <alignment horizontal="left" vertical="center" wrapText="1"/>
    </xf>
    <xf numFmtId="0" fontId="20" fillId="4" borderId="2" xfId="0" applyFont="1" applyFill="1" applyBorder="1" applyAlignment="1">
      <alignment horizontal="center" vertical="center" wrapText="1"/>
    </xf>
    <xf numFmtId="0" fontId="19" fillId="4" borderId="2" xfId="0" applyFont="1" applyFill="1" applyBorder="1" applyAlignment="1">
      <alignment horizontal="center" vertical="center"/>
    </xf>
    <xf numFmtId="1" fontId="20" fillId="4" borderId="2" xfId="0" applyNumberFormat="1" applyFont="1" applyFill="1" applyBorder="1" applyAlignment="1">
      <alignment horizontal="center" vertical="center" wrapText="1"/>
    </xf>
    <xf numFmtId="2" fontId="20" fillId="4" borderId="2" xfId="0" applyNumberFormat="1" applyFont="1" applyFill="1" applyBorder="1" applyAlignment="1">
      <alignment horizontal="center" vertical="center" wrapText="1"/>
    </xf>
    <xf numFmtId="0" fontId="3" fillId="4" borderId="2" xfId="0" applyFont="1" applyFill="1" applyBorder="1" applyAlignment="1">
      <alignment horizontal="left" vertical="center" wrapText="1"/>
    </xf>
    <xf numFmtId="164" fontId="7" fillId="4" borderId="2" xfId="0" applyNumberFormat="1" applyFont="1" applyFill="1" applyBorder="1" applyAlignment="1">
      <alignment horizontal="center" vertical="center" wrapText="1"/>
    </xf>
    <xf numFmtId="2" fontId="19" fillId="4" borderId="2" xfId="0" applyNumberFormat="1" applyFont="1" applyFill="1" applyBorder="1" applyAlignment="1">
      <alignment horizontal="center" vertical="center"/>
    </xf>
    <xf numFmtId="49" fontId="21" fillId="0" borderId="2" xfId="0" applyNumberFormat="1" applyFont="1" applyBorder="1" applyAlignment="1">
      <alignment horizontal="left" vertical="center" wrapText="1"/>
    </xf>
    <xf numFmtId="1" fontId="22" fillId="4" borderId="2" xfId="0" applyNumberFormat="1" applyFont="1" applyFill="1" applyBorder="1" applyAlignment="1">
      <alignment horizontal="center" vertical="center" wrapText="1"/>
    </xf>
    <xf numFmtId="2" fontId="7" fillId="4" borderId="2" xfId="0" applyNumberFormat="1" applyFont="1" applyFill="1" applyBorder="1" applyAlignment="1">
      <alignment horizontal="center" vertical="center" wrapText="1"/>
    </xf>
    <xf numFmtId="0" fontId="23" fillId="0" borderId="2" xfId="0" applyFont="1" applyBorder="1" applyAlignment="1">
      <alignment horizontal="left" vertical="center"/>
    </xf>
    <xf numFmtId="0" fontId="19" fillId="2" borderId="2" xfId="0" applyFont="1" applyFill="1" applyBorder="1" applyAlignment="1">
      <alignment horizontal="left" vertical="center"/>
    </xf>
    <xf numFmtId="0" fontId="3" fillId="0" borderId="3" xfId="0" applyFont="1" applyBorder="1" applyAlignment="1">
      <alignment horizontal="left" vertical="center" wrapText="1"/>
    </xf>
    <xf numFmtId="0" fontId="19" fillId="0" borderId="2" xfId="0" applyFont="1" applyBorder="1" applyAlignment="1">
      <alignment vertical="center"/>
    </xf>
    <xf numFmtId="0" fontId="3" fillId="0" borderId="3" xfId="0" applyFont="1" applyBorder="1" applyAlignment="1">
      <alignment vertical="center" wrapText="1"/>
    </xf>
    <xf numFmtId="164" fontId="19" fillId="0" borderId="2" xfId="0" applyNumberFormat="1" applyFont="1" applyBorder="1" applyAlignment="1">
      <alignment horizontal="center" vertical="center"/>
    </xf>
    <xf numFmtId="0" fontId="24" fillId="0" borderId="2" xfId="0" applyFont="1" applyBorder="1" applyAlignment="1">
      <alignment horizontal="left" vertical="center" wrapText="1"/>
    </xf>
    <xf numFmtId="0" fontId="3" fillId="0" borderId="2" xfId="0" applyFont="1" applyBorder="1" applyAlignment="1">
      <alignment horizontal="left" vertical="center"/>
    </xf>
    <xf numFmtId="0" fontId="19" fillId="4" borderId="2" xfId="0" applyFont="1" applyFill="1" applyBorder="1" applyAlignment="1">
      <alignment vertical="center"/>
    </xf>
    <xf numFmtId="0" fontId="0" fillId="4" borderId="2" xfId="0" applyFill="1" applyBorder="1" applyAlignment="1">
      <alignment horizontal="center" vertical="center"/>
    </xf>
    <xf numFmtId="164" fontId="0" fillId="4" borderId="2" xfId="0" applyNumberFormat="1" applyFill="1" applyBorder="1" applyAlignment="1">
      <alignment horizontal="center" vertical="center"/>
    </xf>
    <xf numFmtId="2" fontId="18" fillId="0" borderId="2" xfId="0" applyNumberFormat="1" applyFont="1" applyBorder="1" applyAlignment="1">
      <alignment horizontal="center" vertical="center"/>
    </xf>
    <xf numFmtId="0" fontId="18" fillId="0" borderId="9" xfId="0" applyFont="1" applyBorder="1" applyAlignment="1">
      <alignment horizontal="center" vertical="center"/>
    </xf>
    <xf numFmtId="0" fontId="0" fillId="0" borderId="3" xfId="0" applyBorder="1" applyAlignment="1">
      <alignment horizontal="left" vertical="center" wrapText="1"/>
    </xf>
    <xf numFmtId="2" fontId="3" fillId="0" borderId="2" xfId="0" applyNumberFormat="1" applyFont="1" applyBorder="1" applyAlignment="1">
      <alignment horizontal="center" vertical="center"/>
    </xf>
    <xf numFmtId="2" fontId="0" fillId="0" borderId="2" xfId="0" applyNumberFormat="1" applyBorder="1" applyAlignment="1">
      <alignment horizontal="center" vertical="center"/>
    </xf>
    <xf numFmtId="0" fontId="0" fillId="0" borderId="3" xfId="0" applyBorder="1" applyAlignment="1">
      <alignment horizontal="left" wrapText="1"/>
    </xf>
    <xf numFmtId="0" fontId="0" fillId="0" borderId="3" xfId="0" applyBorder="1" applyAlignment="1">
      <alignment wrapText="1"/>
    </xf>
    <xf numFmtId="0" fontId="11" fillId="0" borderId="3" xfId="0" applyFont="1" applyBorder="1" applyAlignment="1">
      <alignment horizontal="center" vertical="center"/>
    </xf>
    <xf numFmtId="0" fontId="19" fillId="0" borderId="3" xfId="0" applyFont="1" applyBorder="1" applyAlignment="1">
      <alignment horizontal="center" vertical="center"/>
    </xf>
    <xf numFmtId="2" fontId="19" fillId="0" borderId="3" xfId="0" applyNumberFormat="1" applyFont="1" applyBorder="1" applyAlignment="1">
      <alignment horizontal="center" vertical="center"/>
    </xf>
    <xf numFmtId="2" fontId="11" fillId="0" borderId="2" xfId="0" applyNumberFormat="1" applyFont="1" applyBorder="1" applyAlignment="1">
      <alignment horizontal="center" vertical="center"/>
    </xf>
    <xf numFmtId="0" fontId="2" fillId="0" borderId="0" xfId="0" applyFont="1" applyAlignment="1">
      <alignment horizontal="center" wrapText="1"/>
    </xf>
    <xf numFmtId="0" fontId="19" fillId="0" borderId="0" xfId="0" applyFont="1" applyAlignment="1">
      <alignment horizontal="left" vertical="top"/>
    </xf>
    <xf numFmtId="0" fontId="11" fillId="0" borderId="0" xfId="0" applyFont="1" applyAlignment="1">
      <alignment vertical="center"/>
    </xf>
    <xf numFmtId="2" fontId="11" fillId="0" borderId="0" xfId="0" applyNumberFormat="1" applyFont="1" applyAlignment="1">
      <alignment vertical="center"/>
    </xf>
    <xf numFmtId="0" fontId="19" fillId="0" borderId="0" xfId="0" applyFont="1"/>
    <xf numFmtId="0" fontId="11" fillId="0" borderId="0" xfId="0" applyFont="1"/>
    <xf numFmtId="0" fontId="21" fillId="0" borderId="0" xfId="0" applyFont="1"/>
    <xf numFmtId="0" fontId="21" fillId="0" borderId="0" xfId="0" applyFont="1" applyAlignment="1">
      <alignment horizontal="left"/>
    </xf>
    <xf numFmtId="0" fontId="19" fillId="0" borderId="0" xfId="0" applyFont="1" applyAlignment="1">
      <alignment horizontal="left"/>
    </xf>
    <xf numFmtId="0" fontId="19" fillId="0" borderId="9" xfId="0" applyFont="1" applyBorder="1" applyAlignment="1">
      <alignment horizontal="left"/>
    </xf>
    <xf numFmtId="0" fontId="19" fillId="0" borderId="9" xfId="0" applyFont="1" applyBorder="1"/>
    <xf numFmtId="0" fontId="21" fillId="0" borderId="9" xfId="0" applyFont="1" applyBorder="1"/>
    <xf numFmtId="0" fontId="11" fillId="0" borderId="2" xfId="0" applyFont="1" applyBorder="1" applyAlignment="1">
      <alignment horizontal="center" vertical="center" wrapText="1"/>
    </xf>
    <xf numFmtId="0" fontId="26" fillId="2" borderId="2" xfId="0" applyFont="1" applyFill="1" applyBorder="1" applyAlignment="1">
      <alignment horizontal="center" vertical="center"/>
    </xf>
    <xf numFmtId="0" fontId="20" fillId="0" borderId="2" xfId="0" applyFont="1" applyBorder="1" applyAlignment="1">
      <alignment horizontal="left" vertical="center" wrapText="1"/>
    </xf>
    <xf numFmtId="0" fontId="20" fillId="0" borderId="2" xfId="0" applyFont="1" applyBorder="1" applyAlignment="1">
      <alignment horizontal="center" vertical="center"/>
    </xf>
    <xf numFmtId="0" fontId="19" fillId="0" borderId="2" xfId="0" applyFont="1" applyBorder="1"/>
    <xf numFmtId="2" fontId="20" fillId="0" borderId="5" xfId="0" applyNumberFormat="1" applyFont="1" applyBorder="1" applyAlignment="1">
      <alignment horizontal="right" vertical="center" wrapText="1"/>
    </xf>
    <xf numFmtId="2" fontId="19" fillId="0" borderId="2" xfId="0" applyNumberFormat="1" applyFont="1" applyBorder="1" applyAlignment="1">
      <alignment horizontal="right" vertical="center"/>
    </xf>
    <xf numFmtId="0" fontId="20" fillId="2" borderId="5" xfId="0" applyFont="1" applyFill="1" applyBorder="1" applyAlignment="1">
      <alignment horizontal="center" vertical="center"/>
    </xf>
    <xf numFmtId="164" fontId="20" fillId="0" borderId="2" xfId="0" applyNumberFormat="1" applyFont="1" applyBorder="1" applyAlignment="1">
      <alignment horizontal="center" vertical="center"/>
    </xf>
    <xf numFmtId="49" fontId="26" fillId="2" borderId="2" xfId="0" applyNumberFormat="1" applyFont="1" applyFill="1" applyBorder="1" applyAlignment="1">
      <alignment horizontal="center" vertical="center" wrapText="1"/>
    </xf>
    <xf numFmtId="2" fontId="20" fillId="0" borderId="5" xfId="0" applyNumberFormat="1" applyFont="1" applyBorder="1" applyAlignment="1">
      <alignment horizontal="right" vertical="center"/>
    </xf>
    <xf numFmtId="0" fontId="20" fillId="0" borderId="3" xfId="0" applyFont="1" applyBorder="1" applyAlignment="1">
      <alignment horizontal="left" vertical="center" wrapText="1"/>
    </xf>
    <xf numFmtId="0" fontId="26" fillId="2" borderId="3" xfId="0" applyFont="1" applyFill="1" applyBorder="1" applyAlignment="1">
      <alignment horizontal="center" vertical="center"/>
    </xf>
    <xf numFmtId="2" fontId="20" fillId="0" borderId="2" xfId="0" applyNumberFormat="1" applyFont="1" applyBorder="1" applyAlignment="1">
      <alignment horizontal="center" vertical="center"/>
    </xf>
    <xf numFmtId="49" fontId="26" fillId="2" borderId="3" xfId="0" applyNumberFormat="1" applyFont="1" applyFill="1" applyBorder="1" applyAlignment="1">
      <alignment horizontal="center" vertical="center" wrapText="1"/>
    </xf>
    <xf numFmtId="0" fontId="26" fillId="2" borderId="7" xfId="0" applyFont="1" applyFill="1" applyBorder="1" applyAlignment="1">
      <alignment horizontal="center" vertical="center"/>
    </xf>
    <xf numFmtId="0" fontId="20" fillId="0" borderId="7" xfId="0" applyFont="1" applyBorder="1" applyAlignment="1">
      <alignment horizontal="left" vertical="center" wrapText="1"/>
    </xf>
    <xf numFmtId="0" fontId="23" fillId="2" borderId="5" xfId="0" applyFont="1" applyFill="1" applyBorder="1" applyAlignment="1">
      <alignment horizontal="center" vertical="center"/>
    </xf>
    <xf numFmtId="0" fontId="22" fillId="0" borderId="2" xfId="0" applyFont="1" applyBorder="1" applyAlignment="1">
      <alignment horizontal="center" vertical="center" wrapText="1"/>
    </xf>
    <xf numFmtId="0" fontId="20" fillId="0" borderId="2" xfId="0" applyFont="1" applyBorder="1" applyAlignment="1">
      <alignment wrapText="1"/>
    </xf>
    <xf numFmtId="0" fontId="20" fillId="0" borderId="3" xfId="0" applyFont="1" applyBorder="1" applyAlignment="1">
      <alignment wrapText="1"/>
    </xf>
    <xf numFmtId="0" fontId="20" fillId="0" borderId="3" xfId="0" applyFont="1" applyBorder="1" applyAlignment="1">
      <alignment horizontal="center" vertical="center"/>
    </xf>
    <xf numFmtId="2" fontId="20" fillId="0" borderId="11" xfId="0" applyNumberFormat="1" applyFont="1" applyBorder="1" applyAlignment="1">
      <alignment horizontal="right" vertical="center" wrapText="1"/>
    </xf>
    <xf numFmtId="0" fontId="3" fillId="0" borderId="2" xfId="0" applyFont="1" applyBorder="1" applyAlignment="1">
      <alignment horizontal="right" vertical="center"/>
    </xf>
    <xf numFmtId="2" fontId="3" fillId="0" borderId="2" xfId="0" applyNumberFormat="1" applyFont="1" applyBorder="1" applyAlignment="1">
      <alignment horizontal="right" vertical="center"/>
    </xf>
    <xf numFmtId="2" fontId="3" fillId="0" borderId="2" xfId="0" applyNumberFormat="1" applyFont="1" applyBorder="1" applyAlignment="1">
      <alignment vertical="center"/>
    </xf>
    <xf numFmtId="0" fontId="23" fillId="2" borderId="11" xfId="0" applyFont="1" applyFill="1" applyBorder="1" applyAlignment="1">
      <alignment horizontal="center" vertical="center"/>
    </xf>
    <xf numFmtId="0" fontId="23" fillId="0" borderId="2" xfId="0" applyFont="1" applyBorder="1"/>
    <xf numFmtId="0" fontId="23" fillId="2" borderId="3" xfId="0" applyFont="1" applyFill="1" applyBorder="1" applyAlignment="1">
      <alignment horizontal="center" vertical="center"/>
    </xf>
    <xf numFmtId="2" fontId="3" fillId="0" borderId="2" xfId="0" applyNumberFormat="1" applyFont="1" applyBorder="1" applyAlignment="1">
      <alignment horizontal="right" vertical="center" wrapText="1"/>
    </xf>
    <xf numFmtId="0" fontId="23" fillId="2" borderId="4" xfId="0" applyFont="1" applyFill="1" applyBorder="1" applyAlignment="1">
      <alignment horizontal="center" vertical="center"/>
    </xf>
    <xf numFmtId="0" fontId="3" fillId="0" borderId="3" xfId="0" applyFont="1" applyBorder="1" applyAlignment="1">
      <alignment wrapText="1"/>
    </xf>
    <xf numFmtId="2" fontId="3" fillId="0" borderId="2" xfId="0" applyNumberFormat="1" applyFont="1" applyBorder="1" applyAlignment="1">
      <alignment horizontal="center" vertical="center" wrapText="1"/>
    </xf>
    <xf numFmtId="0" fontId="23" fillId="2" borderId="12" xfId="0" applyFont="1" applyFill="1" applyBorder="1" applyAlignment="1">
      <alignment horizontal="center" vertical="center"/>
    </xf>
    <xf numFmtId="0" fontId="23" fillId="0" borderId="3" xfId="0" applyFont="1" applyBorder="1"/>
    <xf numFmtId="2" fontId="19" fillId="0" borderId="3" xfId="0" applyNumberFormat="1" applyFont="1" applyBorder="1" applyAlignment="1">
      <alignment horizontal="right" vertical="center"/>
    </xf>
    <xf numFmtId="0" fontId="23" fillId="2" borderId="2" xfId="0" applyFont="1" applyFill="1" applyBorder="1" applyAlignment="1">
      <alignment horizontal="center" vertical="center"/>
    </xf>
    <xf numFmtId="0" fontId="3" fillId="0" borderId="2" xfId="0" applyFont="1" applyBorder="1" applyAlignment="1">
      <alignment wrapText="1"/>
    </xf>
    <xf numFmtId="2" fontId="20" fillId="0" borderId="2" xfId="0" applyNumberFormat="1" applyFont="1" applyBorder="1" applyAlignment="1">
      <alignment horizontal="center"/>
    </xf>
    <xf numFmtId="0" fontId="4" fillId="0" borderId="3" xfId="0" applyFont="1" applyBorder="1" applyAlignment="1">
      <alignment wrapText="1"/>
    </xf>
    <xf numFmtId="2" fontId="3" fillId="0" borderId="2" xfId="0" applyNumberFormat="1" applyFont="1" applyBorder="1" applyAlignment="1">
      <alignment horizontal="center"/>
    </xf>
    <xf numFmtId="0" fontId="20" fillId="0" borderId="5" xfId="0" applyFont="1" applyBorder="1" applyAlignment="1">
      <alignment horizontal="center" vertical="center"/>
    </xf>
    <xf numFmtId="0" fontId="20" fillId="0" borderId="4" xfId="0" applyFont="1" applyBorder="1" applyAlignment="1">
      <alignment horizontal="center" vertical="center"/>
    </xf>
    <xf numFmtId="0" fontId="3" fillId="0" borderId="2" xfId="0" applyFont="1" applyBorder="1" applyAlignment="1">
      <alignment horizontal="center"/>
    </xf>
    <xf numFmtId="0" fontId="7" fillId="0" borderId="2" xfId="0" applyFont="1" applyBorder="1" applyAlignment="1">
      <alignment wrapText="1"/>
    </xf>
    <xf numFmtId="2" fontId="11" fillId="0" borderId="2" xfId="0" applyNumberFormat="1" applyFont="1" applyBorder="1" applyAlignment="1">
      <alignment horizontal="right" vertical="center"/>
    </xf>
    <xf numFmtId="0" fontId="28" fillId="0" borderId="2" xfId="0" applyFont="1" applyBorder="1" applyAlignment="1">
      <alignment horizontal="center" vertical="center"/>
    </xf>
    <xf numFmtId="1" fontId="28" fillId="0" borderId="2" xfId="0" applyNumberFormat="1" applyFont="1" applyBorder="1" applyAlignment="1">
      <alignment horizontal="center" vertical="center"/>
    </xf>
    <xf numFmtId="2" fontId="19" fillId="0" borderId="2" xfId="0" applyNumberFormat="1" applyFont="1" applyBorder="1"/>
    <xf numFmtId="0" fontId="26" fillId="2" borderId="12" xfId="0" applyFont="1" applyFill="1" applyBorder="1" applyAlignment="1">
      <alignment horizontal="center" vertical="center"/>
    </xf>
    <xf numFmtId="2" fontId="11" fillId="0" borderId="2" xfId="0" applyNumberFormat="1" applyFont="1" applyBorder="1" applyAlignment="1">
      <alignment vertical="center"/>
    </xf>
    <xf numFmtId="0" fontId="28" fillId="0" borderId="2" xfId="0" applyFont="1" applyBorder="1" applyAlignment="1">
      <alignment horizontal="justify" vertical="center" wrapText="1"/>
    </xf>
    <xf numFmtId="0" fontId="28" fillId="0" borderId="2" xfId="0" applyFont="1" applyBorder="1" applyAlignment="1">
      <alignment horizontal="center" vertical="center" wrapText="1"/>
    </xf>
    <xf numFmtId="0" fontId="28" fillId="0" borderId="3" xfId="0" applyFont="1" applyBorder="1" applyAlignment="1">
      <alignment horizontal="justify" vertical="center" wrapText="1"/>
    </xf>
    <xf numFmtId="2" fontId="20" fillId="0" borderId="2" xfId="0" applyNumberFormat="1" applyFont="1" applyBorder="1" applyAlignment="1">
      <alignment horizontal="right" vertical="center"/>
    </xf>
    <xf numFmtId="0" fontId="28" fillId="0" borderId="2" xfId="0" applyFont="1" applyBorder="1" applyAlignment="1">
      <alignment horizontal="justify" vertical="center"/>
    </xf>
    <xf numFmtId="0" fontId="28" fillId="2" borderId="2" xfId="0" applyFont="1" applyFill="1" applyBorder="1" applyAlignment="1">
      <alignment horizontal="center" vertical="center"/>
    </xf>
    <xf numFmtId="0" fontId="20" fillId="0" borderId="3" xfId="0" applyFont="1" applyBorder="1" applyAlignment="1">
      <alignment vertical="center" wrapText="1"/>
    </xf>
    <xf numFmtId="0" fontId="20" fillId="0" borderId="2" xfId="0" applyFont="1" applyBorder="1" applyAlignment="1">
      <alignment vertical="center" wrapText="1"/>
    </xf>
    <xf numFmtId="0" fontId="29" fillId="0" borderId="2" xfId="0" applyFont="1" applyBorder="1" applyAlignment="1">
      <alignment horizontal="center" vertical="center" wrapText="1"/>
    </xf>
    <xf numFmtId="0" fontId="20" fillId="0" borderId="3" xfId="0" applyFont="1" applyBorder="1" applyAlignment="1">
      <alignment vertical="top" wrapText="1"/>
    </xf>
    <xf numFmtId="0" fontId="3" fillId="0" borderId="3" xfId="0" applyFont="1" applyBorder="1" applyAlignment="1">
      <alignment vertical="top" wrapText="1"/>
    </xf>
    <xf numFmtId="0" fontId="3" fillId="0" borderId="2" xfId="0" applyFont="1" applyBorder="1" applyAlignment="1">
      <alignment vertical="top" wrapText="1"/>
    </xf>
    <xf numFmtId="0" fontId="3" fillId="0" borderId="2" xfId="0" applyFont="1" applyBorder="1" applyAlignment="1">
      <alignment vertical="center" wrapText="1"/>
    </xf>
    <xf numFmtId="2" fontId="2" fillId="0" borderId="2" xfId="0" applyNumberFormat="1" applyFont="1" applyBorder="1" applyAlignment="1">
      <alignment horizontal="right" vertical="center"/>
    </xf>
    <xf numFmtId="2" fontId="11" fillId="0" borderId="2" xfId="0" applyNumberFormat="1" applyFont="1" applyBorder="1"/>
    <xf numFmtId="0" fontId="11" fillId="0" borderId="10" xfId="0" applyFont="1" applyBorder="1" applyAlignment="1">
      <alignment horizontal="center" vertical="center"/>
    </xf>
    <xf numFmtId="0" fontId="23" fillId="2" borderId="10" xfId="0" applyFont="1" applyFill="1" applyBorder="1" applyAlignment="1">
      <alignment horizontal="center" vertical="center"/>
    </xf>
    <xf numFmtId="0" fontId="20" fillId="0" borderId="7" xfId="0" applyFont="1" applyBorder="1" applyAlignment="1">
      <alignment wrapText="1"/>
    </xf>
    <xf numFmtId="0" fontId="3" fillId="0" borderId="10" xfId="0" applyFont="1" applyBorder="1" applyAlignment="1">
      <alignment horizontal="center" vertical="center"/>
    </xf>
    <xf numFmtId="0" fontId="23" fillId="0" borderId="10" xfId="0" applyFont="1" applyBorder="1"/>
    <xf numFmtId="0" fontId="3" fillId="0" borderId="10" xfId="0" applyFont="1" applyBorder="1" applyAlignment="1">
      <alignment horizontal="right" vertical="center"/>
    </xf>
    <xf numFmtId="2" fontId="19" fillId="0" borderId="10" xfId="0" applyNumberFormat="1" applyFont="1" applyBorder="1" applyAlignment="1">
      <alignment horizontal="right" vertical="center"/>
    </xf>
    <xf numFmtId="0" fontId="3" fillId="0" borderId="2" xfId="0" applyFont="1" applyBorder="1" applyAlignment="1">
      <alignment horizontal="right"/>
    </xf>
    <xf numFmtId="2" fontId="18" fillId="0" borderId="2" xfId="0" applyNumberFormat="1" applyFont="1" applyBorder="1" applyAlignment="1">
      <alignment vertical="center"/>
    </xf>
    <xf numFmtId="0" fontId="29" fillId="0" borderId="3" xfId="0" applyFont="1" applyBorder="1" applyAlignment="1">
      <alignment vertical="center" wrapText="1"/>
    </xf>
    <xf numFmtId="0" fontId="24" fillId="0" borderId="2" xfId="0" applyFont="1" applyBorder="1" applyAlignment="1">
      <alignment horizontal="center" vertical="center"/>
    </xf>
    <xf numFmtId="0" fontId="19" fillId="0" borderId="2" xfId="0" applyFont="1" applyBorder="1" applyAlignment="1">
      <alignment horizontal="right" vertical="center"/>
    </xf>
    <xf numFmtId="0" fontId="11" fillId="0" borderId="2" xfId="0" applyFont="1" applyBorder="1"/>
    <xf numFmtId="0" fontId="18" fillId="0" borderId="2" xfId="0" applyFont="1" applyBorder="1" applyAlignment="1">
      <alignment horizontal="center" vertical="center"/>
    </xf>
    <xf numFmtId="0" fontId="18" fillId="0" borderId="4" xfId="0" applyFont="1" applyBorder="1" applyAlignment="1">
      <alignment horizontal="center" vertical="center"/>
    </xf>
    <xf numFmtId="0" fontId="7" fillId="0" borderId="2" xfId="0" applyFont="1" applyBorder="1" applyAlignment="1">
      <alignment horizontal="center" vertical="center" wrapText="1"/>
    </xf>
    <xf numFmtId="0" fontId="18" fillId="0" borderId="2" xfId="0" applyFont="1" applyBorder="1" applyAlignment="1">
      <alignment horizontal="left" vertical="center"/>
    </xf>
    <xf numFmtId="2" fontId="0" fillId="0" borderId="2" xfId="0" applyNumberFormat="1" applyBorder="1" applyAlignment="1">
      <alignment horizontal="right" vertical="center" wrapText="1"/>
    </xf>
    <xf numFmtId="2" fontId="3" fillId="0" borderId="6" xfId="0" applyNumberFormat="1" applyFont="1" applyBorder="1" applyAlignment="1">
      <alignment horizontal="right" vertical="center"/>
    </xf>
    <xf numFmtId="0" fontId="18" fillId="0" borderId="5" xfId="0" applyFont="1" applyBorder="1" applyAlignment="1">
      <alignment horizontal="center" vertical="center"/>
    </xf>
    <xf numFmtId="0" fontId="7" fillId="0" borderId="2" xfId="0" applyFont="1" applyBorder="1" applyAlignment="1">
      <alignment horizontal="center" vertical="center"/>
    </xf>
    <xf numFmtId="0" fontId="18" fillId="2" borderId="2" xfId="0" applyFont="1" applyFill="1" applyBorder="1" applyAlignment="1">
      <alignment horizontal="center" vertical="center"/>
    </xf>
    <xf numFmtId="0" fontId="18" fillId="2" borderId="3" xfId="0" applyFont="1" applyFill="1" applyBorder="1" applyAlignment="1">
      <alignment horizontal="center" vertical="center"/>
    </xf>
    <xf numFmtId="0" fontId="3" fillId="0" borderId="2" xfId="0" applyFont="1" applyBorder="1"/>
    <xf numFmtId="0" fontId="3" fillId="0" borderId="7" xfId="0" applyFont="1" applyBorder="1" applyAlignment="1">
      <alignment horizontal="center" vertical="center"/>
    </xf>
    <xf numFmtId="0" fontId="18" fillId="0" borderId="5" xfId="0" applyFont="1" applyBorder="1" applyAlignment="1">
      <alignment horizontal="left" vertical="center"/>
    </xf>
    <xf numFmtId="2" fontId="2" fillId="0" borderId="6" xfId="0" applyNumberFormat="1" applyFont="1" applyBorder="1" applyAlignment="1">
      <alignment horizontal="right" vertical="center"/>
    </xf>
    <xf numFmtId="49" fontId="26" fillId="2" borderId="7" xfId="0" applyNumberFormat="1" applyFont="1" applyFill="1" applyBorder="1" applyAlignment="1">
      <alignment horizontal="center" vertical="center" wrapText="1"/>
    </xf>
    <xf numFmtId="0" fontId="20" fillId="0" borderId="7" xfId="0" applyFont="1" applyBorder="1" applyAlignment="1">
      <alignment vertical="center" wrapText="1"/>
    </xf>
    <xf numFmtId="0" fontId="20" fillId="0" borderId="7" xfId="0" applyFont="1" applyBorder="1" applyAlignment="1">
      <alignment horizontal="center" vertical="center" wrapText="1"/>
    </xf>
    <xf numFmtId="0" fontId="7" fillId="0" borderId="4" xfId="0" applyFont="1" applyBorder="1" applyAlignment="1">
      <alignment horizontal="center" vertical="center"/>
    </xf>
    <xf numFmtId="0" fontId="18" fillId="0" borderId="4" xfId="0" applyFont="1" applyBorder="1" applyAlignment="1">
      <alignment horizontal="left" vertical="center"/>
    </xf>
    <xf numFmtId="0" fontId="20" fillId="0" borderId="10" xfId="0" applyFont="1" applyBorder="1" applyAlignment="1">
      <alignment horizontal="center" vertical="center" wrapText="1"/>
    </xf>
    <xf numFmtId="2" fontId="0" fillId="0" borderId="7" xfId="0" applyNumberFormat="1" applyBorder="1" applyAlignment="1">
      <alignment horizontal="right" vertical="center" wrapText="1"/>
    </xf>
    <xf numFmtId="49" fontId="23" fillId="2" borderId="2" xfId="0" applyNumberFormat="1" applyFont="1" applyFill="1" applyBorder="1" applyAlignment="1">
      <alignment horizontal="center" vertical="center"/>
    </xf>
    <xf numFmtId="0" fontId="20" fillId="0" borderId="3" xfId="0" applyFont="1" applyBorder="1" applyAlignment="1">
      <alignment horizontal="center" vertical="center" wrapText="1"/>
    </xf>
    <xf numFmtId="0" fontId="31" fillId="0" borderId="0" xfId="0" applyFont="1"/>
    <xf numFmtId="0" fontId="32" fillId="0" borderId="0" xfId="0" applyFont="1"/>
    <xf numFmtId="0" fontId="32" fillId="0" borderId="0" xfId="0" applyFont="1" applyAlignment="1">
      <alignment horizontal="left"/>
    </xf>
    <xf numFmtId="0" fontId="32" fillId="0" borderId="0" xfId="0" applyFont="1" applyBorder="1" applyAlignment="1">
      <alignment horizontal="left"/>
    </xf>
    <xf numFmtId="0" fontId="31" fillId="0" borderId="2" xfId="0" applyFont="1" applyBorder="1" applyAlignment="1">
      <alignment horizontal="center" vertical="center"/>
    </xf>
    <xf numFmtId="0" fontId="33" fillId="3" borderId="2" xfId="0" applyFont="1" applyFill="1" applyBorder="1" applyAlignment="1">
      <alignment horizontal="center" vertical="center"/>
    </xf>
    <xf numFmtId="0" fontId="34" fillId="0" borderId="2" xfId="0" applyFont="1" applyFill="1" applyBorder="1" applyAlignment="1">
      <alignment horizontal="left" vertical="center" wrapText="1"/>
    </xf>
    <xf numFmtId="0" fontId="35" fillId="0" borderId="2" xfId="0" applyFont="1" applyBorder="1" applyAlignment="1">
      <alignment horizontal="center" vertical="center" wrapText="1"/>
    </xf>
    <xf numFmtId="0" fontId="36" fillId="0" borderId="2" xfId="0" applyFont="1" applyFill="1" applyBorder="1" applyAlignment="1">
      <alignment horizontal="center" vertical="center"/>
    </xf>
    <xf numFmtId="2" fontId="37" fillId="0" borderId="2" xfId="0" applyNumberFormat="1" applyFont="1" applyBorder="1" applyAlignment="1">
      <alignment horizontal="right" vertical="center" wrapText="1"/>
    </xf>
    <xf numFmtId="2" fontId="38" fillId="0" borderId="2" xfId="0" applyNumberFormat="1" applyFont="1" applyBorder="1" applyAlignment="1">
      <alignment horizontal="center" vertical="center" wrapText="1"/>
    </xf>
    <xf numFmtId="2" fontId="37" fillId="0" borderId="2" xfId="0" applyNumberFormat="1" applyFont="1" applyFill="1" applyBorder="1" applyAlignment="1">
      <alignment horizontal="right" vertical="center" wrapText="1"/>
    </xf>
    <xf numFmtId="2" fontId="38" fillId="0" borderId="2" xfId="0" applyNumberFormat="1" applyFont="1" applyFill="1" applyBorder="1" applyAlignment="1">
      <alignment horizontal="center" vertical="center" wrapText="1"/>
    </xf>
    <xf numFmtId="0" fontId="35" fillId="0" borderId="2" xfId="0" applyFont="1" applyBorder="1" applyAlignment="1">
      <alignment horizontal="center" vertical="center"/>
    </xf>
    <xf numFmtId="0" fontId="39" fillId="0" borderId="2" xfId="0" applyFont="1" applyFill="1" applyBorder="1" applyAlignment="1">
      <alignment horizontal="center" vertical="center"/>
    </xf>
    <xf numFmtId="0" fontId="40" fillId="3" borderId="2" xfId="0" applyFont="1" applyFill="1" applyBorder="1" applyAlignment="1">
      <alignment horizontal="center" vertical="center"/>
    </xf>
    <xf numFmtId="0" fontId="34" fillId="2" borderId="2" xfId="0" applyFont="1" applyFill="1" applyBorder="1" applyAlignment="1">
      <alignment horizontal="left" vertical="center" wrapText="1"/>
    </xf>
    <xf numFmtId="0" fontId="41" fillId="3" borderId="2" xfId="0" applyFont="1" applyFill="1" applyBorder="1" applyAlignment="1">
      <alignment horizontal="center" vertical="center"/>
    </xf>
    <xf numFmtId="0" fontId="40" fillId="3" borderId="2" xfId="0" applyFont="1" applyFill="1" applyBorder="1" applyAlignment="1">
      <alignment horizontal="center"/>
    </xf>
    <xf numFmtId="0" fontId="39" fillId="0" borderId="2" xfId="0" applyFont="1" applyBorder="1" applyAlignment="1">
      <alignment horizontal="center" vertical="center"/>
    </xf>
    <xf numFmtId="2" fontId="38" fillId="2" borderId="2" xfId="0" applyNumberFormat="1" applyFont="1" applyFill="1" applyBorder="1" applyAlignment="1">
      <alignment horizontal="center" vertical="center" wrapText="1"/>
    </xf>
    <xf numFmtId="0" fontId="37" fillId="3" borderId="2" xfId="0" applyFont="1" applyFill="1" applyBorder="1" applyAlignment="1">
      <alignment horizontal="center" vertical="center"/>
    </xf>
    <xf numFmtId="0" fontId="42" fillId="3" borderId="2" xfId="0" applyFont="1" applyFill="1" applyBorder="1" applyAlignment="1">
      <alignment horizontal="center" vertical="center"/>
    </xf>
    <xf numFmtId="0" fontId="32" fillId="0" borderId="2" xfId="0" applyFont="1" applyBorder="1" applyAlignment="1">
      <alignment horizontal="center"/>
    </xf>
    <xf numFmtId="0" fontId="32" fillId="0" borderId="2" xfId="0" applyFont="1" applyBorder="1"/>
    <xf numFmtId="2" fontId="31" fillId="0" borderId="2" xfId="0" applyNumberFormat="1" applyFont="1" applyBorder="1" applyAlignment="1">
      <alignment horizontal="center"/>
    </xf>
    <xf numFmtId="0" fontId="31" fillId="0" borderId="0" xfId="0" applyFont="1" applyBorder="1" applyAlignment="1">
      <alignment horizontal="center" vertical="center"/>
    </xf>
    <xf numFmtId="0" fontId="45" fillId="0" borderId="2" xfId="0" applyFont="1" applyFill="1" applyBorder="1" applyAlignment="1">
      <alignment horizontal="left"/>
    </xf>
    <xf numFmtId="0" fontId="45" fillId="0" borderId="2" xfId="0" applyFont="1" applyBorder="1" applyAlignment="1">
      <alignment horizontal="center" vertical="center"/>
    </xf>
    <xf numFmtId="0" fontId="37" fillId="0" borderId="2" xfId="0" applyFont="1" applyFill="1" applyBorder="1" applyAlignment="1">
      <alignment horizontal="center" wrapText="1"/>
    </xf>
    <xf numFmtId="2" fontId="39" fillId="0" borderId="2" xfId="0" applyNumberFormat="1" applyFont="1" applyBorder="1" applyAlignment="1">
      <alignment vertical="center"/>
    </xf>
    <xf numFmtId="0" fontId="41" fillId="3" borderId="2" xfId="0" applyFont="1" applyFill="1" applyBorder="1" applyAlignment="1">
      <alignment horizontal="center"/>
    </xf>
    <xf numFmtId="0" fontId="45" fillId="0" borderId="2" xfId="0" applyFont="1" applyBorder="1" applyAlignment="1">
      <alignment horizontal="left"/>
    </xf>
    <xf numFmtId="0" fontId="37" fillId="2" borderId="2" xfId="0" applyFont="1" applyFill="1" applyBorder="1" applyAlignment="1">
      <alignment horizontal="center" wrapText="1"/>
    </xf>
    <xf numFmtId="0" fontId="32" fillId="0" borderId="0" xfId="0" applyFont="1" applyBorder="1"/>
    <xf numFmtId="0" fontId="32" fillId="0" borderId="0" xfId="0" applyFont="1" applyBorder="1" applyAlignment="1">
      <alignment horizontal="center"/>
    </xf>
    <xf numFmtId="2" fontId="31" fillId="0" borderId="0" xfId="0" applyNumberFormat="1" applyFont="1" applyBorder="1" applyAlignment="1">
      <alignment horizontal="center"/>
    </xf>
    <xf numFmtId="0" fontId="18" fillId="2" borderId="0" xfId="0" applyFont="1" applyFill="1" applyAlignment="1">
      <alignment vertical="center"/>
    </xf>
    <xf numFmtId="0" fontId="18" fillId="2" borderId="0" xfId="0" applyFont="1" applyFill="1"/>
    <xf numFmtId="0" fontId="18" fillId="2" borderId="2" xfId="0" applyFont="1" applyFill="1" applyBorder="1" applyAlignment="1">
      <alignment horizontal="center" vertical="center" wrapText="1"/>
    </xf>
    <xf numFmtId="0" fontId="18" fillId="2" borderId="2" xfId="0" applyFont="1" applyFill="1" applyBorder="1" applyAlignment="1">
      <alignment horizontal="left" vertical="center" wrapText="1"/>
    </xf>
    <xf numFmtId="0" fontId="2" fillId="2" borderId="2" xfId="0" applyFont="1" applyFill="1" applyBorder="1" applyAlignment="1">
      <alignment horizontal="center" vertical="center"/>
    </xf>
    <xf numFmtId="0" fontId="2" fillId="2" borderId="2" xfId="0" applyFont="1" applyFill="1" applyBorder="1" applyAlignment="1">
      <alignment horizontal="left" vertical="top" wrapText="1"/>
    </xf>
    <xf numFmtId="0" fontId="2" fillId="2" borderId="2" xfId="0" applyFont="1" applyFill="1" applyBorder="1" applyAlignment="1">
      <alignment horizontal="left" wrapText="1"/>
    </xf>
    <xf numFmtId="0" fontId="2" fillId="2" borderId="6" xfId="0" applyFont="1" applyFill="1" applyBorder="1" applyAlignment="1">
      <alignment horizontal="left" vertical="center" wrapText="1"/>
    </xf>
    <xf numFmtId="0" fontId="2" fillId="2" borderId="7"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10" xfId="0" applyFont="1" applyFill="1" applyBorder="1" applyAlignment="1">
      <alignment horizontal="left" vertical="center" wrapText="1"/>
    </xf>
    <xf numFmtId="1" fontId="2" fillId="2" borderId="5" xfId="0" applyNumberFormat="1" applyFont="1" applyFill="1" applyBorder="1" applyAlignment="1">
      <alignment horizontal="center" vertical="center" wrapText="1"/>
    </xf>
    <xf numFmtId="0" fontId="2" fillId="2" borderId="5" xfId="0" applyFont="1" applyFill="1" applyBorder="1" applyAlignment="1">
      <alignment horizontal="center" vertical="center"/>
    </xf>
    <xf numFmtId="0" fontId="2" fillId="2" borderId="7" xfId="0" applyFont="1" applyFill="1" applyBorder="1" applyAlignment="1">
      <alignment wrapText="1"/>
    </xf>
    <xf numFmtId="0" fontId="2" fillId="2" borderId="3" xfId="0" applyFont="1" applyFill="1" applyBorder="1" applyAlignment="1">
      <alignment wrapText="1"/>
    </xf>
    <xf numFmtId="0" fontId="2" fillId="2" borderId="2" xfId="0" applyFont="1" applyFill="1" applyBorder="1" applyAlignment="1">
      <alignment wrapText="1"/>
    </xf>
    <xf numFmtId="0" fontId="2" fillId="2" borderId="6" xfId="0" applyFont="1" applyFill="1" applyBorder="1" applyAlignment="1">
      <alignment horizontal="center" vertical="center" textRotation="90" wrapText="1"/>
    </xf>
    <xf numFmtId="1" fontId="2" fillId="2" borderId="2" xfId="0" applyNumberFormat="1" applyFont="1" applyFill="1" applyBorder="1" applyAlignment="1">
      <alignment horizontal="center" vertical="center" wrapText="1"/>
    </xf>
    <xf numFmtId="0" fontId="18" fillId="2" borderId="0" xfId="0" applyFont="1" applyFill="1" applyAlignment="1">
      <alignment horizontal="left"/>
    </xf>
    <xf numFmtId="0" fontId="23" fillId="2" borderId="0" xfId="0" applyFont="1" applyFill="1"/>
    <xf numFmtId="0" fontId="17" fillId="2" borderId="0" xfId="0" applyFont="1" applyFill="1"/>
    <xf numFmtId="2" fontId="23" fillId="2" borderId="0" xfId="0" applyNumberFormat="1" applyFont="1" applyFill="1"/>
    <xf numFmtId="0" fontId="18" fillId="2" borderId="2" xfId="0" applyFont="1" applyFill="1" applyBorder="1" applyAlignment="1">
      <alignment vertical="center" wrapText="1"/>
    </xf>
    <xf numFmtId="0" fontId="23" fillId="2" borderId="2" xfId="0" applyFont="1" applyFill="1" applyBorder="1" applyAlignment="1">
      <alignment horizontal="center" vertical="center" wrapText="1"/>
    </xf>
    <xf numFmtId="2" fontId="2" fillId="2" borderId="2" xfId="0" applyNumberFormat="1" applyFont="1" applyFill="1" applyBorder="1" applyAlignment="1">
      <alignment horizontal="center" vertical="center"/>
    </xf>
    <xf numFmtId="2" fontId="2" fillId="2" borderId="2" xfId="0" applyNumberFormat="1" applyFont="1" applyFill="1" applyBorder="1" applyAlignment="1">
      <alignment horizontal="center" vertical="center" wrapText="1"/>
    </xf>
    <xf numFmtId="0" fontId="2" fillId="2" borderId="2" xfId="0" applyFont="1" applyFill="1" applyBorder="1"/>
    <xf numFmtId="1" fontId="18" fillId="2" borderId="2" xfId="0" applyNumberFormat="1" applyFont="1" applyFill="1" applyBorder="1" applyAlignment="1">
      <alignment horizontal="center" vertical="center" wrapText="1"/>
    </xf>
    <xf numFmtId="164" fontId="2" fillId="2" borderId="2" xfId="0" applyNumberFormat="1" applyFont="1" applyFill="1" applyBorder="1" applyAlignment="1">
      <alignment horizontal="center" vertical="center" wrapText="1"/>
    </xf>
    <xf numFmtId="1" fontId="47" fillId="2" borderId="2" xfId="0" applyNumberFormat="1" applyFont="1" applyFill="1" applyBorder="1" applyAlignment="1">
      <alignment horizontal="center" vertical="center" wrapText="1"/>
    </xf>
    <xf numFmtId="164" fontId="2" fillId="2" borderId="2" xfId="0" applyNumberFormat="1" applyFont="1" applyFill="1" applyBorder="1" applyAlignment="1">
      <alignment horizontal="center" vertical="center"/>
    </xf>
    <xf numFmtId="1" fontId="2" fillId="2" borderId="6" xfId="0" applyNumberFormat="1" applyFont="1" applyFill="1" applyBorder="1" applyAlignment="1">
      <alignment horizontal="center" vertical="center" wrapText="1"/>
    </xf>
    <xf numFmtId="2" fontId="2" fillId="2" borderId="5" xfId="0" applyNumberFormat="1" applyFont="1" applyFill="1" applyBorder="1" applyAlignment="1">
      <alignment horizontal="center" vertical="center"/>
    </xf>
    <xf numFmtId="0" fontId="2" fillId="2" borderId="2" xfId="0" applyFont="1" applyFill="1" applyBorder="1" applyAlignment="1">
      <alignment horizontal="center" vertical="center" textRotation="90" wrapText="1"/>
    </xf>
    <xf numFmtId="2" fontId="2" fillId="2" borderId="5" xfId="0" applyNumberFormat="1" applyFont="1" applyFill="1" applyBorder="1" applyAlignment="1">
      <alignment horizontal="center" vertical="center" wrapText="1"/>
    </xf>
    <xf numFmtId="2" fontId="2" fillId="2" borderId="3" xfId="0" applyNumberFormat="1" applyFont="1" applyFill="1" applyBorder="1" applyAlignment="1">
      <alignment horizontal="center" vertical="center" wrapText="1"/>
    </xf>
    <xf numFmtId="2" fontId="2" fillId="2" borderId="4" xfId="0" applyNumberFormat="1" applyFont="1" applyFill="1" applyBorder="1" applyAlignment="1">
      <alignment horizontal="center" vertical="center" wrapText="1"/>
    </xf>
    <xf numFmtId="0" fontId="23" fillId="2" borderId="11" xfId="0" applyFont="1" applyFill="1" applyBorder="1" applyAlignment="1">
      <alignment horizontal="center" wrapText="1"/>
    </xf>
    <xf numFmtId="0" fontId="2" fillId="2" borderId="10" xfId="0" applyFont="1" applyFill="1" applyBorder="1" applyAlignment="1">
      <alignment horizontal="left" vertical="top" wrapText="1"/>
    </xf>
    <xf numFmtId="0" fontId="23" fillId="2" borderId="5" xfId="0" applyFont="1" applyFill="1" applyBorder="1" applyAlignment="1">
      <alignment horizontal="center" wrapText="1"/>
    </xf>
    <xf numFmtId="2" fontId="18" fillId="2" borderId="2" xfId="0" applyNumberFormat="1" applyFont="1" applyFill="1" applyBorder="1" applyAlignment="1">
      <alignment horizontal="center" vertical="center" wrapText="1"/>
    </xf>
    <xf numFmtId="2" fontId="23" fillId="2" borderId="2" xfId="0" applyNumberFormat="1" applyFont="1" applyFill="1" applyBorder="1" applyAlignment="1">
      <alignment horizontal="center" vertical="center" wrapText="1"/>
    </xf>
    <xf numFmtId="0" fontId="1" fillId="0" borderId="0" xfId="0" applyFont="1"/>
    <xf numFmtId="17" fontId="1" fillId="0" borderId="0" xfId="0" applyNumberFormat="1" applyFont="1"/>
    <xf numFmtId="0" fontId="0" fillId="0" borderId="2" xfId="0" applyBorder="1" applyAlignment="1">
      <alignment horizontal="center" vertical="center"/>
    </xf>
    <xf numFmtId="0" fontId="0" fillId="0" borderId="2" xfId="0" applyBorder="1" applyAlignment="1">
      <alignment horizontal="center"/>
    </xf>
    <xf numFmtId="0" fontId="48" fillId="2" borderId="2" xfId="0" applyFont="1" applyFill="1" applyBorder="1" applyAlignment="1">
      <alignment vertical="center"/>
    </xf>
    <xf numFmtId="0" fontId="48" fillId="2" borderId="5" xfId="0" applyFont="1" applyFill="1" applyBorder="1" applyAlignment="1">
      <alignment horizontal="center" vertical="center"/>
    </xf>
    <xf numFmtId="0" fontId="48" fillId="2" borderId="2" xfId="0" applyFont="1" applyFill="1" applyBorder="1" applyAlignment="1">
      <alignment horizontal="center" vertical="center"/>
    </xf>
    <xf numFmtId="0" fontId="0" fillId="2" borderId="2" xfId="0" applyFill="1" applyBorder="1"/>
    <xf numFmtId="0" fontId="48" fillId="2" borderId="7" xfId="0" applyFont="1" applyFill="1" applyBorder="1" applyAlignment="1">
      <alignment horizontal="center" vertical="center"/>
    </xf>
    <xf numFmtId="0" fontId="49" fillId="2" borderId="2" xfId="0" applyFont="1" applyFill="1" applyBorder="1" applyAlignment="1">
      <alignment vertical="center" wrapText="1"/>
    </xf>
    <xf numFmtId="0" fontId="49" fillId="2" borderId="5" xfId="0" applyFont="1" applyFill="1" applyBorder="1" applyAlignment="1">
      <alignment horizontal="center" vertical="center"/>
    </xf>
    <xf numFmtId="0" fontId="49" fillId="2" borderId="2" xfId="0" applyFont="1" applyFill="1" applyBorder="1" applyAlignment="1">
      <alignment horizontal="center" vertical="center"/>
    </xf>
    <xf numFmtId="0" fontId="19" fillId="2" borderId="2" xfId="0" applyFont="1" applyFill="1" applyBorder="1" applyAlignment="1">
      <alignment horizontal="center"/>
    </xf>
    <xf numFmtId="0" fontId="49" fillId="2" borderId="2" xfId="0" applyFont="1" applyFill="1" applyBorder="1" applyAlignment="1">
      <alignment vertical="center"/>
    </xf>
    <xf numFmtId="0" fontId="19" fillId="0" borderId="2" xfId="0" applyFont="1" applyBorder="1" applyAlignment="1">
      <alignment horizontal="center"/>
    </xf>
    <xf numFmtId="0" fontId="0" fillId="2" borderId="2" xfId="0" applyFill="1" applyBorder="1" applyAlignment="1">
      <alignment horizontal="center" vertical="center"/>
    </xf>
    <xf numFmtId="0" fontId="49" fillId="2" borderId="5" xfId="0" applyFont="1" applyFill="1" applyBorder="1" applyAlignment="1">
      <alignment horizontal="center" vertical="center" wrapText="1"/>
    </xf>
    <xf numFmtId="0" fontId="49" fillId="2" borderId="2" xfId="0" applyFont="1" applyFill="1" applyBorder="1" applyAlignment="1">
      <alignment vertical="top" wrapText="1"/>
    </xf>
    <xf numFmtId="0" fontId="49" fillId="2" borderId="5" xfId="0" applyFont="1" applyFill="1" applyBorder="1" applyAlignment="1">
      <alignment horizontal="center" vertical="top"/>
    </xf>
    <xf numFmtId="0" fontId="49" fillId="2" borderId="2" xfId="0" applyFont="1" applyFill="1" applyBorder="1" applyAlignment="1">
      <alignment horizontal="center" vertical="top"/>
    </xf>
    <xf numFmtId="0" fontId="49" fillId="2" borderId="2" xfId="0" applyFont="1" applyFill="1" applyBorder="1" applyAlignment="1">
      <alignment wrapText="1"/>
    </xf>
    <xf numFmtId="0" fontId="49" fillId="2" borderId="5" xfId="0" applyFont="1" applyFill="1" applyBorder="1" applyAlignment="1">
      <alignment horizontal="center"/>
    </xf>
    <xf numFmtId="0" fontId="4" fillId="0" borderId="2" xfId="0" applyFont="1" applyFill="1" applyBorder="1" applyAlignment="1">
      <alignment vertical="top" wrapText="1"/>
    </xf>
    <xf numFmtId="0" fontId="1" fillId="0" borderId="5" xfId="0" applyFont="1" applyFill="1" applyBorder="1" applyAlignment="1">
      <alignment horizontal="center" vertical="center"/>
    </xf>
    <xf numFmtId="2" fontId="19" fillId="0" borderId="2" xfId="0" applyNumberFormat="1" applyFont="1" applyFill="1" applyBorder="1" applyAlignment="1">
      <alignment horizontal="center" vertical="center"/>
    </xf>
    <xf numFmtId="0" fontId="4" fillId="0" borderId="2" xfId="0" applyFont="1" applyFill="1" applyBorder="1" applyAlignment="1">
      <alignment horizontal="left" vertical="top" wrapText="1"/>
    </xf>
    <xf numFmtId="0" fontId="12" fillId="0" borderId="2" xfId="0" applyFont="1" applyFill="1" applyBorder="1" applyAlignment="1">
      <alignment horizontal="left" vertical="top" wrapText="1"/>
    </xf>
    <xf numFmtId="0" fontId="18" fillId="0" borderId="5" xfId="0" applyFont="1" applyFill="1" applyBorder="1" applyAlignment="1">
      <alignment horizontal="center" vertical="center"/>
    </xf>
    <xf numFmtId="2" fontId="19" fillId="2" borderId="2" xfId="0" applyNumberFormat="1" applyFont="1" applyFill="1" applyBorder="1" applyAlignment="1">
      <alignment horizontal="center" vertical="center"/>
    </xf>
    <xf numFmtId="0" fontId="18" fillId="0" borderId="5" xfId="0" applyFont="1" applyFill="1" applyBorder="1" applyAlignment="1">
      <alignment horizontal="center" vertical="center" wrapText="1"/>
    </xf>
    <xf numFmtId="0" fontId="4" fillId="0" borderId="2" xfId="0" applyFont="1" applyFill="1" applyBorder="1" applyAlignment="1">
      <alignment wrapText="1"/>
    </xf>
    <xf numFmtId="0" fontId="11" fillId="0" borderId="5" xfId="0" applyFont="1" applyFill="1" applyBorder="1" applyAlignment="1">
      <alignment horizontal="center" vertical="center"/>
    </xf>
    <xf numFmtId="0" fontId="1" fillId="0" borderId="5" xfId="0" applyFont="1" applyFill="1" applyBorder="1" applyAlignment="1">
      <alignment horizontal="center" vertical="center" wrapText="1"/>
    </xf>
    <xf numFmtId="2" fontId="21" fillId="2" borderId="2" xfId="0" applyNumberFormat="1" applyFont="1" applyFill="1" applyBorder="1" applyAlignment="1">
      <alignment horizontal="center" vertical="center"/>
    </xf>
    <xf numFmtId="0" fontId="3" fillId="0" borderId="5" xfId="0" applyFont="1" applyFill="1" applyBorder="1" applyAlignment="1">
      <alignment horizontal="center" vertical="center" wrapText="1"/>
    </xf>
    <xf numFmtId="0" fontId="3" fillId="0" borderId="2" xfId="0" applyFont="1" applyFill="1" applyBorder="1" applyAlignment="1">
      <alignment wrapText="1"/>
    </xf>
    <xf numFmtId="0" fontId="3" fillId="0" borderId="5" xfId="0" applyFont="1" applyFill="1" applyBorder="1" applyAlignment="1">
      <alignment horizontal="center" vertical="center"/>
    </xf>
    <xf numFmtId="0" fontId="0" fillId="0" borderId="5" xfId="0" applyFill="1" applyBorder="1" applyAlignment="1">
      <alignment horizontal="center" vertical="center"/>
    </xf>
    <xf numFmtId="0" fontId="0" fillId="0" borderId="5" xfId="0" applyBorder="1" applyAlignment="1">
      <alignment horizontal="center" vertical="center"/>
    </xf>
    <xf numFmtId="0" fontId="19" fillId="2" borderId="2" xfId="0" applyFont="1" applyFill="1" applyBorder="1" applyAlignment="1">
      <alignment horizontal="center" vertical="center"/>
    </xf>
    <xf numFmtId="0" fontId="0" fillId="0" borderId="2" xfId="0" applyFont="1" applyBorder="1" applyAlignment="1">
      <alignment horizontal="justify" vertical="center" wrapText="1"/>
    </xf>
    <xf numFmtId="0" fontId="0" fillId="0" borderId="2" xfId="0" applyBorder="1" applyAlignment="1">
      <alignment horizontal="justify" vertical="center" wrapText="1"/>
    </xf>
    <xf numFmtId="0" fontId="50" fillId="0" borderId="3" xfId="0" applyFont="1" applyBorder="1" applyAlignment="1">
      <alignment wrapText="1"/>
    </xf>
    <xf numFmtId="0" fontId="51" fillId="0" borderId="5" xfId="0" applyFont="1" applyFill="1" applyBorder="1" applyAlignment="1">
      <alignment horizontal="center" vertical="center"/>
    </xf>
    <xf numFmtId="0" fontId="21" fillId="0" borderId="5" xfId="0" applyFont="1" applyBorder="1" applyAlignment="1">
      <alignment horizontal="justify" vertical="center" wrapText="1"/>
    </xf>
    <xf numFmtId="0" fontId="0" fillId="0" borderId="2" xfId="0" applyFont="1" applyFill="1" applyBorder="1" applyAlignment="1">
      <alignment horizontal="center" vertical="center" wrapText="1"/>
    </xf>
    <xf numFmtId="0" fontId="3" fillId="0" borderId="3" xfId="0" applyFont="1" applyBorder="1" applyAlignment="1">
      <alignment horizontal="left" wrapText="1"/>
    </xf>
    <xf numFmtId="0" fontId="0" fillId="2" borderId="2" xfId="0" applyFont="1" applyFill="1" applyBorder="1" applyAlignment="1">
      <alignment horizontal="center" vertical="center" wrapText="1"/>
    </xf>
    <xf numFmtId="0" fontId="0" fillId="0" borderId="2" xfId="0" applyFill="1" applyBorder="1" applyAlignment="1">
      <alignment vertical="top" wrapText="1"/>
    </xf>
    <xf numFmtId="0" fontId="52" fillId="0" borderId="5" xfId="0" applyFont="1" applyFill="1" applyBorder="1" applyAlignment="1">
      <alignment horizontal="center" vertical="center"/>
    </xf>
    <xf numFmtId="0" fontId="0" fillId="3" borderId="2" xfId="0" applyFill="1" applyBorder="1"/>
    <xf numFmtId="0" fontId="0" fillId="0" borderId="7" xfId="0" applyFill="1" applyBorder="1" applyAlignment="1">
      <alignment wrapText="1"/>
    </xf>
    <xf numFmtId="0" fontId="52" fillId="0" borderId="2" xfId="0" applyFont="1" applyFill="1" applyBorder="1" applyAlignment="1">
      <alignment horizontal="center" vertical="center"/>
    </xf>
    <xf numFmtId="0" fontId="0" fillId="0" borderId="2" xfId="0" applyFont="1" applyBorder="1" applyAlignment="1">
      <alignment horizontal="center" vertical="center" wrapText="1"/>
    </xf>
    <xf numFmtId="0" fontId="0" fillId="0" borderId="2" xfId="0" applyFont="1" applyBorder="1" applyAlignment="1">
      <alignment horizontal="center" vertical="center"/>
    </xf>
    <xf numFmtId="0" fontId="21" fillId="0" borderId="2" xfId="0" applyFont="1" applyBorder="1" applyAlignment="1">
      <alignment horizontal="center" vertical="center" wrapText="1"/>
    </xf>
    <xf numFmtId="0" fontId="0" fillId="2" borderId="10" xfId="0" applyFill="1" applyBorder="1"/>
    <xf numFmtId="0" fontId="0" fillId="0" borderId="10" xfId="0" applyBorder="1" applyAlignment="1">
      <alignment horizontal="center" vertical="center"/>
    </xf>
    <xf numFmtId="0" fontId="0" fillId="2" borderId="2" xfId="0" applyFill="1" applyBorder="1" applyAlignment="1">
      <alignment wrapText="1"/>
    </xf>
    <xf numFmtId="0" fontId="0" fillId="0" borderId="10" xfId="0" applyBorder="1"/>
    <xf numFmtId="0" fontId="0" fillId="2" borderId="7" xfId="0" applyFill="1" applyBorder="1" applyAlignment="1">
      <alignment wrapText="1"/>
    </xf>
    <xf numFmtId="0" fontId="0" fillId="2" borderId="2" xfId="0" applyFill="1" applyBorder="1" applyAlignment="1">
      <alignment vertical="center" wrapText="1"/>
    </xf>
    <xf numFmtId="0" fontId="52" fillId="0" borderId="1" xfId="0" applyFont="1" applyFill="1" applyBorder="1" applyAlignment="1">
      <alignment horizontal="center" vertical="center"/>
    </xf>
    <xf numFmtId="2" fontId="53" fillId="0" borderId="2" xfId="0" applyNumberFormat="1" applyFont="1" applyBorder="1" applyAlignment="1">
      <alignment horizontal="center" vertical="center" wrapText="1"/>
    </xf>
    <xf numFmtId="0" fontId="0" fillId="0" borderId="3" xfId="0" applyFont="1" applyBorder="1" applyAlignment="1">
      <alignment horizontal="center" wrapText="1"/>
    </xf>
    <xf numFmtId="2" fontId="53" fillId="0" borderId="5" xfId="0" applyNumberFormat="1" applyFont="1" applyBorder="1" applyAlignment="1">
      <alignment horizontal="center" vertical="center" wrapText="1"/>
    </xf>
    <xf numFmtId="0" fontId="53" fillId="0" borderId="2" xfId="0" applyFont="1" applyBorder="1" applyAlignment="1">
      <alignment horizontal="center" vertical="center" wrapText="1"/>
    </xf>
    <xf numFmtId="0" fontId="54" fillId="0" borderId="2" xfId="0" applyFont="1" applyBorder="1" applyAlignment="1">
      <alignment horizontal="center" vertical="center" wrapText="1"/>
    </xf>
    <xf numFmtId="0" fontId="3" fillId="0" borderId="3" xfId="0" applyFont="1" applyBorder="1" applyAlignment="1">
      <alignment horizontal="center" wrapText="1"/>
    </xf>
    <xf numFmtId="0" fontId="0" fillId="0" borderId="3" xfId="0" applyFont="1" applyBorder="1" applyAlignment="1">
      <alignment horizontal="center"/>
    </xf>
    <xf numFmtId="0" fontId="53" fillId="0" borderId="3" xfId="0" applyFont="1" applyBorder="1" applyAlignment="1">
      <alignment horizontal="center" wrapText="1"/>
    </xf>
    <xf numFmtId="0" fontId="21" fillId="0" borderId="5" xfId="0" applyFont="1" applyBorder="1" applyAlignment="1">
      <alignment horizontal="center" vertical="center" wrapText="1"/>
    </xf>
    <xf numFmtId="0" fontId="0" fillId="0" borderId="5" xfId="0" applyFont="1" applyBorder="1" applyAlignment="1">
      <alignment horizontal="center" vertical="center" wrapText="1"/>
    </xf>
    <xf numFmtId="0" fontId="0" fillId="0" borderId="7" xfId="0" applyFill="1" applyBorder="1" applyAlignment="1">
      <alignment horizontal="center" vertical="center"/>
    </xf>
    <xf numFmtId="0" fontId="53" fillId="0" borderId="3" xfId="0" applyFont="1" applyBorder="1" applyAlignment="1">
      <alignment horizontal="left" wrapText="1"/>
    </xf>
    <xf numFmtId="0" fontId="0" fillId="2" borderId="0" xfId="0" applyFill="1" applyBorder="1"/>
    <xf numFmtId="0" fontId="0" fillId="0" borderId="0" xfId="0" applyBorder="1"/>
    <xf numFmtId="0" fontId="19" fillId="2" borderId="3" xfId="0" applyFont="1" applyFill="1" applyBorder="1" applyAlignment="1">
      <alignment horizontal="center" wrapText="1"/>
    </xf>
    <xf numFmtId="0" fontId="53" fillId="0" borderId="3" xfId="1" applyFont="1" applyBorder="1" applyAlignment="1" applyProtection="1">
      <alignment horizontal="center" wrapText="1"/>
    </xf>
    <xf numFmtId="0" fontId="53" fillId="0" borderId="2" xfId="0" applyFont="1" applyBorder="1" applyAlignment="1">
      <alignment horizontal="center" wrapText="1"/>
    </xf>
    <xf numFmtId="0" fontId="0" fillId="5" borderId="10" xfId="0" applyFill="1" applyBorder="1"/>
    <xf numFmtId="0" fontId="0" fillId="0" borderId="2" xfId="0" applyFont="1" applyFill="1" applyBorder="1" applyAlignment="1">
      <alignment vertical="center" wrapText="1"/>
    </xf>
    <xf numFmtId="165" fontId="0" fillId="0" borderId="2" xfId="0" applyNumberFormat="1" applyFont="1" applyFill="1" applyBorder="1" applyAlignment="1">
      <alignment horizontal="center" vertical="center"/>
    </xf>
    <xf numFmtId="1" fontId="0" fillId="0" borderId="2" xfId="0" applyNumberFormat="1" applyFont="1" applyFill="1" applyBorder="1" applyAlignment="1">
      <alignment horizontal="center" vertical="center"/>
    </xf>
    <xf numFmtId="0" fontId="0" fillId="0" borderId="2" xfId="0" applyFill="1" applyBorder="1" applyAlignment="1">
      <alignment vertical="center" wrapText="1"/>
    </xf>
    <xf numFmtId="0" fontId="0" fillId="0" borderId="2" xfId="0" applyBorder="1" applyAlignment="1">
      <alignment vertical="center" wrapText="1"/>
    </xf>
    <xf numFmtId="165" fontId="0" fillId="0" borderId="2" xfId="0" applyNumberFormat="1" applyFont="1" applyBorder="1" applyAlignment="1">
      <alignment horizontal="center" vertical="center"/>
    </xf>
    <xf numFmtId="1" fontId="0" fillId="2" borderId="2" xfId="0" applyNumberFormat="1" applyFont="1" applyFill="1" applyBorder="1" applyAlignment="1">
      <alignment horizontal="center" vertical="center" wrapText="1"/>
    </xf>
    <xf numFmtId="165" fontId="0" fillId="0" borderId="2" xfId="0" applyNumberFormat="1" applyFont="1" applyFill="1" applyBorder="1" applyAlignment="1">
      <alignment horizontal="center" vertical="center" wrapText="1"/>
    </xf>
    <xf numFmtId="0" fontId="0" fillId="0" borderId="2" xfId="0" applyFont="1" applyBorder="1" applyAlignment="1">
      <alignment vertical="center" wrapText="1"/>
    </xf>
    <xf numFmtId="0" fontId="0" fillId="0" borderId="2" xfId="0" applyFont="1" applyFill="1" applyBorder="1" applyAlignment="1">
      <alignment horizontal="center" vertical="center"/>
    </xf>
    <xf numFmtId="0" fontId="0" fillId="2" borderId="2" xfId="0" applyFont="1" applyFill="1" applyBorder="1" applyAlignment="1">
      <alignment vertical="center" wrapText="1"/>
    </xf>
    <xf numFmtId="1" fontId="0" fillId="2" borderId="2" xfId="0" applyNumberFormat="1" applyFont="1" applyFill="1" applyBorder="1" applyAlignment="1">
      <alignment horizontal="center" vertical="center"/>
    </xf>
    <xf numFmtId="0" fontId="0" fillId="0" borderId="2" xfId="0" applyFill="1" applyBorder="1" applyAlignment="1">
      <alignment horizontal="center" vertical="center"/>
    </xf>
    <xf numFmtId="165" fontId="0" fillId="2" borderId="2" xfId="0" applyNumberFormat="1" applyFont="1" applyFill="1" applyBorder="1" applyAlignment="1">
      <alignment horizontal="center" vertical="center"/>
    </xf>
    <xf numFmtId="0" fontId="0" fillId="3" borderId="2" xfId="0" applyFill="1" applyBorder="1" applyAlignment="1">
      <alignment wrapText="1"/>
    </xf>
    <xf numFmtId="0" fontId="0" fillId="2" borderId="3" xfId="0" applyFill="1" applyBorder="1" applyAlignment="1">
      <alignment wrapText="1"/>
    </xf>
    <xf numFmtId="0" fontId="52" fillId="0" borderId="3" xfId="0" applyFont="1" applyFill="1" applyBorder="1" applyAlignment="1">
      <alignment horizontal="center" vertical="center"/>
    </xf>
    <xf numFmtId="0" fontId="0" fillId="0" borderId="3" xfId="0" applyBorder="1" applyAlignment="1">
      <alignment horizontal="center" vertical="center"/>
    </xf>
    <xf numFmtId="165" fontId="0" fillId="0" borderId="10" xfId="0" applyNumberFormat="1" applyFont="1" applyFill="1" applyBorder="1" applyAlignment="1">
      <alignment horizontal="center" vertical="center"/>
    </xf>
    <xf numFmtId="0" fontId="0" fillId="0" borderId="2" xfId="0" applyFill="1" applyBorder="1"/>
    <xf numFmtId="0" fontId="53" fillId="0" borderId="7" xfId="0" applyFont="1" applyBorder="1" applyAlignment="1">
      <alignment horizontal="center" wrapText="1"/>
    </xf>
    <xf numFmtId="165" fontId="0" fillId="0" borderId="10" xfId="0" applyNumberFormat="1" applyBorder="1"/>
    <xf numFmtId="0" fontId="52" fillId="0" borderId="0" xfId="0" applyFont="1" applyFill="1" applyBorder="1" applyAlignment="1">
      <alignment horizontal="center" vertical="center"/>
    </xf>
    <xf numFmtId="165" fontId="1" fillId="0" borderId="2" xfId="0" applyNumberFormat="1" applyFont="1" applyBorder="1"/>
    <xf numFmtId="165" fontId="1" fillId="0" borderId="0" xfId="0" applyNumberFormat="1" applyFont="1" applyBorder="1"/>
    <xf numFmtId="0" fontId="0" fillId="2" borderId="0" xfId="0" applyFill="1" applyBorder="1" applyAlignment="1">
      <alignment wrapText="1"/>
    </xf>
    <xf numFmtId="0" fontId="46" fillId="0" borderId="0" xfId="0" applyFont="1"/>
    <xf numFmtId="0" fontId="49" fillId="2" borderId="2" xfId="0" applyFont="1" applyFill="1" applyBorder="1" applyAlignment="1">
      <alignment horizontal="left" vertical="center" wrapText="1"/>
    </xf>
    <xf numFmtId="0" fontId="49" fillId="2" borderId="2" xfId="0" applyFont="1" applyFill="1" applyBorder="1" applyAlignment="1">
      <alignment horizontal="center" vertical="center" wrapText="1"/>
    </xf>
    <xf numFmtId="0" fontId="1" fillId="0" borderId="2" xfId="0" applyFont="1" applyFill="1" applyBorder="1" applyAlignment="1">
      <alignment horizontal="center" vertical="center"/>
    </xf>
    <xf numFmtId="1" fontId="18" fillId="0" borderId="2" xfId="0" applyNumberFormat="1" applyFont="1" applyFill="1" applyBorder="1" applyAlignment="1">
      <alignment horizontal="center" vertical="center"/>
    </xf>
    <xf numFmtId="2" fontId="1" fillId="0" borderId="2" xfId="0" applyNumberFormat="1" applyFont="1" applyFill="1" applyBorder="1" applyAlignment="1">
      <alignment horizontal="center" vertical="center"/>
    </xf>
    <xf numFmtId="0" fontId="3" fillId="0" borderId="2" xfId="0" applyFont="1" applyFill="1" applyBorder="1" applyAlignment="1">
      <alignment horizontal="center" vertical="center" wrapText="1"/>
    </xf>
    <xf numFmtId="0" fontId="18" fillId="0" borderId="2" xfId="0" applyFont="1" applyFill="1" applyBorder="1" applyAlignment="1">
      <alignment horizontal="center" vertical="center"/>
    </xf>
    <xf numFmtId="0" fontId="1" fillId="0" borderId="2" xfId="0" applyFont="1" applyFill="1" applyBorder="1" applyAlignment="1">
      <alignment horizontal="center"/>
    </xf>
    <xf numFmtId="0" fontId="11" fillId="0" borderId="2" xfId="0" applyFont="1" applyFill="1" applyBorder="1" applyAlignment="1">
      <alignment horizontal="center"/>
    </xf>
    <xf numFmtId="0" fontId="11" fillId="0" borderId="2" xfId="0" applyFont="1" applyFill="1" applyBorder="1" applyAlignment="1">
      <alignment horizontal="center" vertical="center"/>
    </xf>
    <xf numFmtId="0" fontId="0" fillId="0" borderId="0" xfId="0" applyFill="1" applyAlignment="1">
      <alignment horizontal="center"/>
    </xf>
    <xf numFmtId="0" fontId="0" fillId="0" borderId="2" xfId="0" applyFill="1" applyBorder="1" applyAlignment="1">
      <alignment horizontal="center"/>
    </xf>
    <xf numFmtId="0" fontId="26" fillId="0" borderId="0" xfId="0" applyFont="1" applyFill="1" applyAlignment="1">
      <alignment horizontal="center" vertical="center"/>
    </xf>
    <xf numFmtId="0" fontId="26" fillId="0" borderId="0" xfId="0" applyFont="1" applyFill="1" applyAlignment="1">
      <alignment vertical="top"/>
    </xf>
    <xf numFmtId="0" fontId="57" fillId="0" borderId="0" xfId="0" applyFont="1" applyFill="1" applyBorder="1" applyAlignment="1"/>
    <xf numFmtId="0" fontId="57" fillId="0" borderId="0" xfId="0" applyFont="1" applyFill="1" applyBorder="1" applyAlignment="1">
      <alignment horizontal="left" vertical="center"/>
    </xf>
    <xf numFmtId="0" fontId="58" fillId="0" borderId="0" xfId="0" applyFont="1" applyFill="1" applyBorder="1" applyAlignment="1">
      <alignment horizontal="center" vertical="center"/>
    </xf>
    <xf numFmtId="0" fontId="58" fillId="0" borderId="0" xfId="0" applyFont="1" applyFill="1" applyBorder="1" applyAlignment="1"/>
    <xf numFmtId="0" fontId="57" fillId="0" borderId="9" xfId="0" applyFont="1" applyFill="1" applyBorder="1" applyAlignment="1">
      <alignment horizontal="left"/>
    </xf>
    <xf numFmtId="0" fontId="57" fillId="0" borderId="9" xfId="0" applyFont="1" applyFill="1" applyBorder="1" applyAlignment="1">
      <alignment horizontal="center" vertical="center"/>
    </xf>
    <xf numFmtId="0" fontId="57" fillId="0" borderId="9" xfId="0" applyFont="1" applyFill="1" applyBorder="1" applyAlignment="1">
      <alignment horizontal="left" vertical="center"/>
    </xf>
    <xf numFmtId="0" fontId="58" fillId="0" borderId="0" xfId="0" applyFont="1" applyFill="1" applyBorder="1" applyAlignment="1">
      <alignment horizontal="left"/>
    </xf>
    <xf numFmtId="0" fontId="20" fillId="0" borderId="6" xfId="0" applyFont="1" applyFill="1" applyBorder="1" applyAlignment="1">
      <alignment horizontal="center" vertical="center"/>
    </xf>
    <xf numFmtId="0" fontId="20" fillId="0" borderId="2" xfId="0" applyFont="1" applyFill="1" applyBorder="1" applyAlignment="1">
      <alignment horizontal="center" vertical="center"/>
    </xf>
    <xf numFmtId="0" fontId="59" fillId="0" borderId="2" xfId="0" applyFont="1" applyFill="1" applyBorder="1" applyAlignment="1">
      <alignment horizontal="center" vertical="center" wrapText="1"/>
    </xf>
    <xf numFmtId="0" fontId="20" fillId="0" borderId="2" xfId="0" applyFont="1" applyFill="1" applyBorder="1" applyAlignment="1">
      <alignment horizontal="center" vertical="center" wrapText="1"/>
    </xf>
    <xf numFmtId="0" fontId="26" fillId="0" borderId="2" xfId="0" applyFont="1" applyFill="1" applyBorder="1" applyAlignment="1">
      <alignment horizontal="center" vertical="center"/>
    </xf>
    <xf numFmtId="0" fontId="12" fillId="0" borderId="6" xfId="0" applyFont="1" applyFill="1" applyBorder="1" applyAlignment="1">
      <alignment horizontal="center" vertical="center"/>
    </xf>
    <xf numFmtId="0" fontId="12" fillId="0" borderId="2" xfId="0" applyFont="1" applyFill="1" applyBorder="1" applyAlignment="1">
      <alignment horizontal="center" vertical="center"/>
    </xf>
    <xf numFmtId="0" fontId="12" fillId="0" borderId="2" xfId="0" applyFont="1" applyFill="1" applyBorder="1" applyAlignment="1">
      <alignment horizontal="left" vertical="center"/>
    </xf>
    <xf numFmtId="0" fontId="12" fillId="0" borderId="2" xfId="0" applyFont="1" applyFill="1" applyBorder="1" applyAlignment="1">
      <alignment horizontal="center"/>
    </xf>
    <xf numFmtId="0" fontId="60" fillId="0" borderId="2" xfId="0" applyFont="1" applyFill="1" applyBorder="1" applyAlignment="1">
      <alignment vertical="center"/>
    </xf>
    <xf numFmtId="49" fontId="12" fillId="0" borderId="2" xfId="0" applyNumberFormat="1" applyFont="1" applyFill="1" applyBorder="1" applyAlignment="1">
      <alignment horizontal="center" vertical="center" wrapText="1"/>
    </xf>
    <xf numFmtId="0" fontId="12" fillId="0" borderId="2" xfId="0" applyFont="1" applyFill="1" applyBorder="1" applyAlignment="1">
      <alignment horizontal="left" vertical="center" wrapText="1"/>
    </xf>
    <xf numFmtId="0" fontId="12" fillId="0" borderId="2" xfId="0" applyFont="1" applyFill="1" applyBorder="1" applyAlignment="1">
      <alignment vertical="top"/>
    </xf>
    <xf numFmtId="0" fontId="12" fillId="0" borderId="2" xfId="0" applyFont="1" applyFill="1" applyBorder="1" applyAlignment="1">
      <alignment horizontal="center" vertical="center" wrapText="1"/>
    </xf>
    <xf numFmtId="0" fontId="12" fillId="0" borderId="6" xfId="0" applyFont="1" applyFill="1" applyBorder="1" applyAlignment="1">
      <alignment horizontal="center" vertical="top"/>
    </xf>
    <xf numFmtId="0" fontId="12" fillId="0" borderId="2" xfId="0" applyFont="1" applyFill="1" applyBorder="1"/>
    <xf numFmtId="0" fontId="60" fillId="0" borderId="2" xfId="0" applyFont="1" applyFill="1" applyBorder="1" applyAlignment="1">
      <alignment horizontal="center" vertical="center"/>
    </xf>
    <xf numFmtId="0" fontId="60" fillId="0" borderId="2" xfId="0" applyFont="1" applyFill="1" applyBorder="1" applyAlignment="1">
      <alignment horizontal="left" vertical="center" wrapText="1"/>
    </xf>
    <xf numFmtId="0" fontId="60" fillId="0" borderId="2" xfId="0" applyFont="1" applyFill="1" applyBorder="1" applyAlignment="1">
      <alignment horizontal="center" vertical="center" wrapText="1"/>
    </xf>
    <xf numFmtId="0" fontId="12" fillId="0" borderId="0" xfId="0" applyFont="1" applyFill="1" applyAlignment="1">
      <alignment horizontal="center" vertical="center"/>
    </xf>
    <xf numFmtId="0" fontId="20" fillId="0" borderId="2" xfId="0" applyFont="1" applyFill="1" applyBorder="1" applyAlignment="1">
      <alignment vertical="top"/>
    </xf>
    <xf numFmtId="0" fontId="12" fillId="0" borderId="2" xfId="0" applyFont="1" applyFill="1" applyBorder="1" applyAlignment="1">
      <alignment vertical="top" wrapText="1"/>
    </xf>
    <xf numFmtId="0" fontId="7" fillId="0" borderId="2" xfId="0" applyFont="1" applyFill="1" applyBorder="1" applyAlignment="1">
      <alignment horizontal="center" vertical="center"/>
    </xf>
    <xf numFmtId="0" fontId="26" fillId="0" borderId="2" xfId="0" applyFont="1" applyFill="1" applyBorder="1" applyAlignment="1">
      <alignment vertical="top"/>
    </xf>
    <xf numFmtId="49" fontId="26" fillId="0" borderId="2" xfId="0" applyNumberFormat="1" applyFont="1" applyFill="1" applyBorder="1" applyAlignment="1">
      <alignment horizontal="center" vertical="center" wrapText="1"/>
    </xf>
    <xf numFmtId="0" fontId="12" fillId="0" borderId="3" xfId="0" applyFont="1" applyFill="1" applyBorder="1" applyAlignment="1">
      <alignment vertical="center" wrapText="1"/>
    </xf>
    <xf numFmtId="0" fontId="12" fillId="0" borderId="5" xfId="0" applyFont="1" applyFill="1" applyBorder="1" applyAlignment="1">
      <alignment horizontal="center" vertical="center"/>
    </xf>
    <xf numFmtId="0" fontId="61" fillId="0" borderId="2" xfId="0" applyFont="1" applyFill="1" applyBorder="1" applyAlignment="1">
      <alignment horizontal="center" vertical="center"/>
    </xf>
    <xf numFmtId="2" fontId="20" fillId="0" borderId="2" xfId="0" applyNumberFormat="1" applyFont="1" applyFill="1" applyBorder="1" applyAlignment="1">
      <alignment horizontal="center" vertical="center"/>
    </xf>
    <xf numFmtId="0" fontId="60" fillId="0" borderId="2" xfId="0" applyFont="1" applyFill="1" applyBorder="1" applyAlignment="1">
      <alignment horizontal="right" vertical="center"/>
    </xf>
    <xf numFmtId="0" fontId="12" fillId="0" borderId="2" xfId="0" applyFont="1" applyFill="1" applyBorder="1" applyAlignment="1">
      <alignment vertical="center"/>
    </xf>
    <xf numFmtId="0" fontId="12" fillId="0" borderId="6" xfId="0" applyFont="1" applyFill="1" applyBorder="1" applyAlignment="1">
      <alignment horizontal="left" vertical="center" wrapText="1"/>
    </xf>
    <xf numFmtId="0" fontId="12" fillId="0" borderId="6" xfId="0" applyFont="1" applyFill="1" applyBorder="1" applyAlignment="1">
      <alignment horizontal="center" vertical="center" wrapText="1"/>
    </xf>
    <xf numFmtId="0" fontId="12" fillId="0" borderId="3" xfId="0" applyFont="1" applyFill="1" applyBorder="1" applyAlignment="1">
      <alignment horizontal="center" vertical="center"/>
    </xf>
    <xf numFmtId="0" fontId="7" fillId="0" borderId="2" xfId="0" applyFont="1" applyFill="1" applyBorder="1"/>
    <xf numFmtId="0" fontId="62" fillId="0" borderId="2" xfId="0" applyFont="1" applyFill="1" applyBorder="1" applyAlignment="1">
      <alignment vertical="top"/>
    </xf>
    <xf numFmtId="0" fontId="20" fillId="0" borderId="2" xfId="0" applyFont="1" applyFill="1" applyBorder="1" applyAlignment="1">
      <alignment horizontal="left" vertical="center" wrapText="1"/>
    </xf>
    <xf numFmtId="0" fontId="20" fillId="0" borderId="3" xfId="0" applyFont="1" applyFill="1" applyBorder="1" applyAlignment="1">
      <alignment wrapText="1"/>
    </xf>
    <xf numFmtId="0" fontId="20" fillId="0" borderId="3" xfId="0" applyFont="1" applyFill="1" applyBorder="1" applyAlignment="1">
      <alignment horizontal="left" vertical="center"/>
    </xf>
    <xf numFmtId="0" fontId="20" fillId="0" borderId="3" xfId="0" applyFont="1" applyFill="1" applyBorder="1" applyAlignment="1">
      <alignment horizontal="left" vertical="center" wrapText="1"/>
    </xf>
    <xf numFmtId="0" fontId="20" fillId="0" borderId="3" xfId="0" applyFont="1" applyFill="1" applyBorder="1" applyAlignment="1">
      <alignment vertical="center" wrapText="1"/>
    </xf>
    <xf numFmtId="0" fontId="20" fillId="0" borderId="2" xfId="0" applyFont="1" applyFill="1" applyBorder="1" applyAlignment="1">
      <alignment wrapText="1"/>
    </xf>
    <xf numFmtId="0" fontId="20" fillId="0" borderId="2" xfId="0" applyFont="1" applyFill="1" applyBorder="1" applyAlignment="1">
      <alignment vertical="center" wrapText="1"/>
    </xf>
    <xf numFmtId="0" fontId="3" fillId="0" borderId="3" xfId="0" applyFont="1" applyFill="1" applyBorder="1" applyAlignment="1">
      <alignment horizontal="left" vertical="center" wrapText="1"/>
    </xf>
    <xf numFmtId="0" fontId="3" fillId="0" borderId="3" xfId="0" applyFont="1" applyFill="1" applyBorder="1" applyAlignment="1">
      <alignment wrapText="1"/>
    </xf>
    <xf numFmtId="1" fontId="20" fillId="0" borderId="2" xfId="0" applyNumberFormat="1" applyFont="1" applyFill="1" applyBorder="1" applyAlignment="1">
      <alignment horizontal="center" vertical="center"/>
    </xf>
    <xf numFmtId="0" fontId="4" fillId="0" borderId="2" xfId="0" applyFont="1" applyBorder="1" applyAlignment="1">
      <alignment horizontal="center" vertical="center"/>
    </xf>
    <xf numFmtId="0" fontId="3" fillId="0" borderId="3" xfId="0" applyFont="1" applyFill="1" applyBorder="1" applyAlignment="1">
      <alignment vertical="center" wrapText="1"/>
    </xf>
    <xf numFmtId="0" fontId="26" fillId="0" borderId="5" xfId="0" applyFont="1" applyFill="1" applyBorder="1" applyAlignment="1">
      <alignment horizontal="center" vertical="center"/>
    </xf>
    <xf numFmtId="0" fontId="3" fillId="0" borderId="2" xfId="0" applyFont="1" applyFill="1" applyBorder="1" applyAlignment="1">
      <alignment vertical="center" wrapText="1"/>
    </xf>
    <xf numFmtId="49" fontId="12" fillId="0" borderId="2" xfId="1" applyNumberFormat="1" applyFont="1" applyFill="1" applyBorder="1" applyAlignment="1" applyProtection="1">
      <alignment horizontal="center" vertical="center"/>
    </xf>
    <xf numFmtId="0" fontId="20" fillId="0" borderId="5" xfId="0" applyFont="1" applyFill="1" applyBorder="1" applyAlignment="1">
      <alignment horizontal="center" vertical="center"/>
    </xf>
    <xf numFmtId="0" fontId="26" fillId="0" borderId="6" xfId="0" applyFont="1" applyFill="1" applyBorder="1" applyAlignment="1">
      <alignment horizontal="center" vertical="center"/>
    </xf>
    <xf numFmtId="0" fontId="12" fillId="0" borderId="11" xfId="0" applyFont="1" applyFill="1" applyBorder="1" applyAlignment="1">
      <alignment horizontal="left" vertical="center" wrapText="1"/>
    </xf>
    <xf numFmtId="1" fontId="60" fillId="0" borderId="2" xfId="0" applyNumberFormat="1" applyFont="1" applyFill="1" applyBorder="1" applyAlignment="1">
      <alignment horizontal="center" vertical="center"/>
    </xf>
    <xf numFmtId="2" fontId="60" fillId="0" borderId="2" xfId="0" applyNumberFormat="1" applyFont="1" applyFill="1" applyBorder="1" applyAlignment="1">
      <alignment horizontal="right" vertical="center"/>
    </xf>
    <xf numFmtId="0" fontId="12" fillId="0" borderId="0" xfId="0" applyFont="1" applyFill="1" applyBorder="1" applyAlignment="1">
      <alignment horizontal="center" vertical="center"/>
    </xf>
    <xf numFmtId="0" fontId="26" fillId="0" borderId="0" xfId="0" applyFont="1" applyFill="1" applyBorder="1" applyAlignment="1"/>
    <xf numFmtId="0" fontId="61" fillId="0" borderId="0" xfId="0" applyFont="1" applyFill="1" applyBorder="1" applyAlignment="1">
      <alignment horizontal="left" vertical="center" wrapText="1"/>
    </xf>
    <xf numFmtId="1" fontId="60" fillId="0" borderId="0" xfId="0" applyNumberFormat="1" applyFont="1" applyFill="1" applyBorder="1" applyAlignment="1">
      <alignment horizontal="center" vertical="center"/>
    </xf>
    <xf numFmtId="0" fontId="60" fillId="0" borderId="0" xfId="0" applyFont="1" applyFill="1" applyBorder="1" applyAlignment="1">
      <alignment horizontal="center" vertical="center"/>
    </xf>
    <xf numFmtId="0" fontId="26" fillId="0" borderId="0" xfId="0" applyFont="1" applyFill="1" applyBorder="1" applyAlignment="1">
      <alignment horizontal="center" vertical="center"/>
    </xf>
    <xf numFmtId="2" fontId="60" fillId="0" borderId="0" xfId="0" applyNumberFormat="1" applyFont="1" applyFill="1" applyBorder="1" applyAlignment="1">
      <alignment horizontal="right" vertical="center"/>
    </xf>
    <xf numFmtId="0" fontId="66" fillId="6" borderId="6" xfId="2" applyFont="1" applyFill="1" applyBorder="1" applyAlignment="1" applyProtection="1">
      <alignment horizontal="right" vertical="center" wrapText="1"/>
    </xf>
    <xf numFmtId="0" fontId="66" fillId="6" borderId="6" xfId="2" applyFont="1" applyFill="1" applyBorder="1" applyAlignment="1" applyProtection="1">
      <alignment horizontal="right" wrapText="1"/>
    </xf>
    <xf numFmtId="0" fontId="67" fillId="6" borderId="6" xfId="2" applyFont="1" applyFill="1" applyBorder="1" applyAlignment="1" applyProtection="1">
      <alignment horizontal="right" wrapText="1"/>
    </xf>
    <xf numFmtId="0" fontId="66" fillId="6" borderId="2" xfId="2" applyFont="1" applyFill="1" applyBorder="1" applyAlignment="1" applyProtection="1">
      <alignment horizontal="right" vertical="center" wrapText="1"/>
    </xf>
    <xf numFmtId="0" fontId="68" fillId="2" borderId="2" xfId="0" applyFont="1" applyFill="1" applyBorder="1" applyAlignment="1">
      <alignment horizontal="left" vertical="center" wrapText="1"/>
    </xf>
    <xf numFmtId="0" fontId="68" fillId="2" borderId="2" xfId="0" applyFont="1" applyFill="1" applyBorder="1" applyAlignment="1">
      <alignment horizontal="center" vertical="center" wrapText="1"/>
    </xf>
    <xf numFmtId="2" fontId="68" fillId="2" borderId="2" xfId="0" applyNumberFormat="1" applyFont="1" applyFill="1" applyBorder="1" applyAlignment="1">
      <alignment horizontal="center" vertical="center" wrapText="1"/>
    </xf>
    <xf numFmtId="0" fontId="69" fillId="2" borderId="2" xfId="2" applyFont="1" applyFill="1" applyBorder="1" applyAlignment="1">
      <alignment horizontal="center" vertical="center" wrapText="1"/>
    </xf>
    <xf numFmtId="0" fontId="3" fillId="2" borderId="2" xfId="0" applyFont="1" applyFill="1" applyBorder="1"/>
    <xf numFmtId="0" fontId="69" fillId="2" borderId="4" xfId="2" applyFont="1" applyFill="1" applyBorder="1" applyAlignment="1">
      <alignment horizontal="center" vertical="center" wrapText="1"/>
    </xf>
    <xf numFmtId="0" fontId="69" fillId="2" borderId="2" xfId="2" applyFont="1" applyFill="1" applyBorder="1" applyAlignment="1">
      <alignment horizontal="right" vertical="center" wrapText="1"/>
    </xf>
    <xf numFmtId="2" fontId="68" fillId="2" borderId="2" xfId="2" applyNumberFormat="1" applyFont="1" applyFill="1" applyBorder="1" applyAlignment="1">
      <alignment horizontal="center" vertical="center" wrapText="1"/>
    </xf>
    <xf numFmtId="0" fontId="68" fillId="2" borderId="2" xfId="2" applyFont="1" applyFill="1" applyBorder="1" applyAlignment="1">
      <alignment horizontal="center" vertical="center" wrapText="1"/>
    </xf>
    <xf numFmtId="0" fontId="70" fillId="2" borderId="2" xfId="2" applyFont="1" applyFill="1" applyBorder="1" applyAlignment="1">
      <alignment horizontal="center" vertical="center" wrapText="1"/>
    </xf>
    <xf numFmtId="0" fontId="70" fillId="2" borderId="6" xfId="2" applyFont="1" applyFill="1" applyBorder="1" applyAlignment="1">
      <alignment horizontal="left" wrapText="1"/>
    </xf>
    <xf numFmtId="0" fontId="70" fillId="2" borderId="2" xfId="2" applyFont="1" applyFill="1" applyBorder="1" applyAlignment="1">
      <alignment horizontal="right" vertical="center" wrapText="1"/>
    </xf>
    <xf numFmtId="2" fontId="66" fillId="2" borderId="2" xfId="2" applyNumberFormat="1" applyFont="1" applyFill="1" applyBorder="1" applyAlignment="1">
      <alignment horizontal="center" vertical="center" wrapText="1"/>
    </xf>
    <xf numFmtId="49" fontId="66" fillId="2" borderId="2" xfId="2" applyNumberFormat="1" applyFont="1" applyFill="1" applyBorder="1" applyAlignment="1">
      <alignment horizontal="center" vertical="center" wrapText="1"/>
    </xf>
    <xf numFmtId="0" fontId="66" fillId="2" borderId="2" xfId="2" applyFont="1" applyFill="1" applyBorder="1" applyAlignment="1">
      <alignment horizontal="center" vertical="center" wrapText="1"/>
    </xf>
    <xf numFmtId="0" fontId="71" fillId="2" borderId="6" xfId="2" applyFont="1" applyFill="1" applyBorder="1" applyAlignment="1">
      <alignment horizontal="center" vertical="center" wrapText="1"/>
    </xf>
    <xf numFmtId="0" fontId="70" fillId="2" borderId="6" xfId="2" applyFont="1" applyFill="1" applyBorder="1" applyAlignment="1">
      <alignment wrapText="1"/>
    </xf>
    <xf numFmtId="0" fontId="70" fillId="2" borderId="6" xfId="2" applyFont="1" applyFill="1" applyBorder="1" applyAlignment="1">
      <alignment vertical="center" wrapText="1"/>
    </xf>
    <xf numFmtId="0" fontId="72" fillId="2" borderId="0" xfId="0" applyFont="1" applyFill="1" applyAlignment="1">
      <alignment horizontal="center" vertical="center" wrapText="1"/>
    </xf>
    <xf numFmtId="0" fontId="70" fillId="2" borderId="6" xfId="2" applyFont="1" applyFill="1" applyBorder="1" applyAlignment="1">
      <alignment horizontal="left" vertical="center" wrapText="1"/>
    </xf>
    <xf numFmtId="0" fontId="70" fillId="2" borderId="2" xfId="2" applyFont="1" applyFill="1" applyBorder="1" applyAlignment="1">
      <alignment horizontal="right" wrapText="1"/>
    </xf>
    <xf numFmtId="0" fontId="70" fillId="2" borderId="6" xfId="2" applyFont="1" applyFill="1" applyBorder="1" applyAlignment="1">
      <alignment horizontal="left" vertical="top" wrapText="1"/>
    </xf>
    <xf numFmtId="0" fontId="70" fillId="2" borderId="2" xfId="2" applyFont="1" applyFill="1" applyBorder="1" applyAlignment="1">
      <alignment horizontal="right" vertical="top" wrapText="1"/>
    </xf>
    <xf numFmtId="0" fontId="70" fillId="2" borderId="2" xfId="2" applyFont="1" applyFill="1" applyBorder="1" applyAlignment="1">
      <alignment horizontal="left" wrapText="1"/>
    </xf>
    <xf numFmtId="0" fontId="71" fillId="2" borderId="0" xfId="2" applyFont="1" applyFill="1" applyAlignment="1">
      <alignment horizontal="center" vertical="center" wrapText="1"/>
    </xf>
    <xf numFmtId="2" fontId="66" fillId="2" borderId="10" xfId="2" applyNumberFormat="1" applyFont="1" applyFill="1" applyBorder="1" applyAlignment="1">
      <alignment horizontal="center" vertical="center" wrapText="1"/>
    </xf>
    <xf numFmtId="0" fontId="66" fillId="0" borderId="2" xfId="0" applyFont="1" applyBorder="1" applyAlignment="1">
      <alignment horizontal="left" vertical="center" wrapText="1"/>
    </xf>
    <xf numFmtId="2" fontId="66" fillId="6" borderId="2" xfId="2" applyNumberFormat="1" applyFont="1" applyFill="1" applyBorder="1" applyAlignment="1" applyProtection="1">
      <alignment horizontal="center" vertical="center" wrapText="1"/>
    </xf>
    <xf numFmtId="0" fontId="66" fillId="6" borderId="2" xfId="2" applyFont="1" applyFill="1" applyBorder="1" applyAlignment="1" applyProtection="1">
      <alignment horizontal="center" vertical="center" wrapText="1"/>
    </xf>
    <xf numFmtId="0" fontId="70" fillId="3" borderId="6" xfId="2" applyFont="1" applyFill="1" applyBorder="1" applyAlignment="1">
      <alignment wrapText="1"/>
    </xf>
    <xf numFmtId="0" fontId="70" fillId="3" borderId="2" xfId="2" applyFont="1" applyFill="1" applyBorder="1" applyAlignment="1">
      <alignment horizontal="right" wrapText="1"/>
    </xf>
    <xf numFmtId="2" fontId="66" fillId="3" borderId="2" xfId="2" applyNumberFormat="1" applyFont="1" applyFill="1" applyBorder="1" applyAlignment="1">
      <alignment horizontal="center" vertical="center" wrapText="1"/>
    </xf>
    <xf numFmtId="49" fontId="66" fillId="3" borderId="2" xfId="2" applyNumberFormat="1" applyFont="1" applyFill="1" applyBorder="1" applyAlignment="1">
      <alignment horizontal="center" vertical="center" wrapText="1"/>
    </xf>
    <xf numFmtId="0" fontId="70" fillId="3" borderId="6" xfId="2" applyFont="1" applyFill="1" applyBorder="1" applyAlignment="1">
      <alignment horizontal="left" wrapText="1"/>
    </xf>
    <xf numFmtId="0" fontId="70" fillId="3" borderId="2" xfId="2" applyFont="1" applyFill="1" applyBorder="1" applyAlignment="1">
      <alignment horizontal="right" vertical="center" wrapText="1"/>
    </xf>
    <xf numFmtId="0" fontId="66" fillId="3" borderId="2" xfId="2" applyFont="1" applyFill="1" applyBorder="1" applyAlignment="1">
      <alignment horizontal="center" vertical="center" wrapText="1"/>
    </xf>
    <xf numFmtId="0" fontId="23" fillId="2" borderId="6" xfId="2" applyFont="1" applyFill="1" applyBorder="1" applyAlignment="1">
      <alignment wrapText="1"/>
    </xf>
    <xf numFmtId="2" fontId="70" fillId="2" borderId="2" xfId="2" applyNumberFormat="1" applyFont="1" applyFill="1" applyBorder="1" applyAlignment="1">
      <alignment horizontal="center" vertical="center" wrapText="1"/>
    </xf>
    <xf numFmtId="2" fontId="3" fillId="2" borderId="0" xfId="0" applyNumberFormat="1" applyFont="1" applyFill="1"/>
    <xf numFmtId="0" fontId="70" fillId="2" borderId="2" xfId="2" applyFont="1" applyFill="1" applyBorder="1" applyAlignment="1">
      <alignment horizontal="left" vertical="center" wrapText="1"/>
    </xf>
    <xf numFmtId="0" fontId="2" fillId="2" borderId="0" xfId="0" applyFont="1" applyFill="1" applyAlignment="1">
      <alignment horizontal="center" vertical="center"/>
    </xf>
    <xf numFmtId="0" fontId="70" fillId="2" borderId="0" xfId="2" applyFont="1" applyFill="1" applyAlignment="1">
      <alignment horizontal="center" vertical="center" wrapText="1"/>
    </xf>
    <xf numFmtId="0" fontId="70" fillId="2" borderId="0" xfId="2" applyFont="1" applyFill="1" applyAlignment="1">
      <alignment horizontal="left" wrapText="1"/>
    </xf>
    <xf numFmtId="0" fontId="70" fillId="2" borderId="0" xfId="2" applyFont="1" applyFill="1" applyAlignment="1">
      <alignment horizontal="right" vertical="center" wrapText="1"/>
    </xf>
    <xf numFmtId="2" fontId="66" fillId="2" borderId="0" xfId="2" applyNumberFormat="1" applyFont="1" applyFill="1" applyAlignment="1">
      <alignment horizontal="center" vertical="center" wrapText="1"/>
    </xf>
    <xf numFmtId="49" fontId="66" fillId="2" borderId="0" xfId="2" applyNumberFormat="1" applyFont="1" applyFill="1" applyAlignment="1">
      <alignment horizontal="center" vertical="center" wrapText="1"/>
    </xf>
    <xf numFmtId="2" fontId="68" fillId="2" borderId="0" xfId="2" applyNumberFormat="1" applyFont="1" applyFill="1" applyAlignment="1">
      <alignment horizontal="center" vertical="center" wrapText="1"/>
    </xf>
    <xf numFmtId="0" fontId="66" fillId="6" borderId="2" xfId="2" applyFont="1" applyFill="1" applyBorder="1" applyAlignment="1" applyProtection="1">
      <alignment horizontal="left" wrapText="1"/>
    </xf>
    <xf numFmtId="49" fontId="66" fillId="6" borderId="2" xfId="2" applyNumberFormat="1" applyFont="1" applyFill="1" applyBorder="1" applyAlignment="1" applyProtection="1">
      <alignment horizontal="center" vertical="center" wrapText="1"/>
    </xf>
    <xf numFmtId="49" fontId="66" fillId="7" borderId="2" xfId="2" applyNumberFormat="1" applyFont="1" applyFill="1" applyBorder="1" applyAlignment="1" applyProtection="1">
      <alignment horizontal="center" vertical="center" wrapText="1"/>
    </xf>
    <xf numFmtId="0" fontId="66" fillId="7" borderId="2" xfId="2" applyFont="1" applyFill="1" applyBorder="1" applyAlignment="1" applyProtection="1">
      <alignment horizontal="center" vertical="center" wrapText="1"/>
    </xf>
    <xf numFmtId="0" fontId="66" fillId="6" borderId="2" xfId="2" applyFont="1" applyFill="1" applyBorder="1" applyAlignment="1" applyProtection="1">
      <alignment horizontal="left" vertical="top" wrapText="1"/>
    </xf>
    <xf numFmtId="0" fontId="66" fillId="6" borderId="2" xfId="2" applyFont="1" applyFill="1" applyBorder="1" applyAlignment="1" applyProtection="1">
      <alignment wrapText="1"/>
    </xf>
    <xf numFmtId="0" fontId="66" fillId="6" borderId="2" xfId="2" applyFont="1" applyFill="1" applyBorder="1" applyAlignment="1" applyProtection="1">
      <alignment horizontal="left" vertical="center" wrapText="1"/>
    </xf>
    <xf numFmtId="0" fontId="25" fillId="0" borderId="0" xfId="0" applyFont="1"/>
    <xf numFmtId="0" fontId="77" fillId="0" borderId="2" xfId="0" applyFont="1" applyBorder="1" applyAlignment="1">
      <alignment horizontal="center" vertical="center"/>
    </xf>
    <xf numFmtId="0" fontId="77" fillId="0" borderId="2" xfId="0" applyFont="1" applyBorder="1" applyAlignment="1">
      <alignment horizontal="center" vertical="center" wrapText="1"/>
    </xf>
    <xf numFmtId="0" fontId="53" fillId="0" borderId="2" xfId="0" applyFont="1" applyBorder="1"/>
    <xf numFmtId="0" fontId="21" fillId="0" borderId="2" xfId="0" applyFont="1" applyBorder="1"/>
    <xf numFmtId="0" fontId="21" fillId="0" borderId="2" xfId="0" applyFont="1" applyBorder="1" applyAlignment="1">
      <alignment horizontal="center" vertical="center"/>
    </xf>
    <xf numFmtId="0" fontId="79" fillId="0" borderId="2" xfId="0" applyFont="1" applyFill="1" applyBorder="1" applyAlignment="1">
      <alignment horizontal="left" vertical="top" wrapText="1"/>
    </xf>
    <xf numFmtId="0" fontId="53" fillId="0" borderId="2" xfId="0" applyFont="1" applyBorder="1" applyAlignment="1">
      <alignment vertical="top"/>
    </xf>
    <xf numFmtId="0" fontId="53" fillId="0" borderId="2" xfId="0" applyFont="1" applyBorder="1" applyAlignment="1">
      <alignment horizontal="left" vertical="top"/>
    </xf>
    <xf numFmtId="2" fontId="53" fillId="0" borderId="2" xfId="0" applyNumberFormat="1" applyFont="1" applyBorder="1" applyAlignment="1">
      <alignment horizontal="left"/>
    </xf>
    <xf numFmtId="0" fontId="53" fillId="0" borderId="2" xfId="0" applyFont="1" applyBorder="1" applyAlignment="1">
      <alignment horizontal="left"/>
    </xf>
    <xf numFmtId="2" fontId="21" fillId="0" borderId="2" xfId="0" applyNumberFormat="1" applyFont="1" applyBorder="1"/>
    <xf numFmtId="0" fontId="53" fillId="0" borderId="2" xfId="0" applyFont="1" applyBorder="1" applyAlignment="1">
      <alignment horizontal="center" vertical="center"/>
    </xf>
    <xf numFmtId="0" fontId="53" fillId="0" borderId="2" xfId="0" applyFont="1" applyBorder="1" applyAlignment="1">
      <alignment horizontal="left" vertical="center"/>
    </xf>
    <xf numFmtId="2" fontId="53" fillId="0" borderId="2" xfId="0" applyNumberFormat="1" applyFont="1" applyBorder="1" applyAlignment="1">
      <alignment horizontal="left" vertical="center"/>
    </xf>
    <xf numFmtId="0" fontId="79" fillId="0" borderId="2" xfId="0" applyFont="1" applyFill="1" applyBorder="1" applyAlignment="1">
      <alignment horizontal="left" vertical="center" wrapText="1"/>
    </xf>
    <xf numFmtId="2" fontId="53" fillId="0" borderId="2" xfId="0" applyNumberFormat="1" applyFont="1" applyBorder="1" applyAlignment="1">
      <alignment horizontal="left" vertical="top"/>
    </xf>
    <xf numFmtId="166" fontId="53" fillId="0" borderId="2" xfId="0" applyNumberFormat="1" applyFont="1" applyBorder="1" applyAlignment="1">
      <alignment horizontal="left" vertical="top"/>
    </xf>
    <xf numFmtId="0" fontId="21" fillId="0" borderId="2" xfId="0" applyFont="1" applyFill="1" applyBorder="1" applyAlignment="1">
      <alignment horizontal="center" vertical="center"/>
    </xf>
    <xf numFmtId="0" fontId="80" fillId="0" borderId="2" xfId="0" applyFont="1" applyFill="1" applyBorder="1" applyAlignment="1">
      <alignment wrapText="1"/>
    </xf>
    <xf numFmtId="0" fontId="53" fillId="0" borderId="2" xfId="0" applyFont="1" applyFill="1" applyBorder="1" applyAlignment="1">
      <alignment vertical="top"/>
    </xf>
    <xf numFmtId="0" fontId="53" fillId="0" borderId="2" xfId="0" applyFont="1" applyFill="1" applyBorder="1" applyAlignment="1">
      <alignment horizontal="left"/>
    </xf>
    <xf numFmtId="0" fontId="21" fillId="0" borderId="2" xfId="0" applyFont="1" applyFill="1" applyBorder="1"/>
    <xf numFmtId="2" fontId="0" fillId="0" borderId="2" xfId="0" applyNumberFormat="1" applyFont="1" applyFill="1" applyBorder="1" applyAlignment="1">
      <alignment horizontal="left" vertical="center"/>
    </xf>
    <xf numFmtId="0" fontId="19" fillId="0" borderId="2" xfId="0" applyFont="1" applyFill="1" applyBorder="1" applyAlignment="1">
      <alignment horizontal="center" vertical="center"/>
    </xf>
    <xf numFmtId="0" fontId="79" fillId="0" borderId="2" xfId="0" applyFont="1" applyFill="1" applyBorder="1" applyAlignment="1">
      <alignment wrapText="1"/>
    </xf>
    <xf numFmtId="0" fontId="79" fillId="0" borderId="2" xfId="0" applyFont="1" applyBorder="1" applyAlignment="1">
      <alignment horizontal="left" vertical="top" wrapText="1"/>
    </xf>
    <xf numFmtId="166" fontId="53" fillId="0" borderId="2" xfId="0" applyNumberFormat="1" applyFont="1" applyBorder="1" applyAlignment="1">
      <alignment horizontal="left" vertical="center"/>
    </xf>
    <xf numFmtId="0" fontId="21" fillId="0" borderId="2" xfId="0" applyFont="1" applyBorder="1" applyAlignment="1">
      <alignment horizontal="center"/>
    </xf>
    <xf numFmtId="0" fontId="21" fillId="0" borderId="3" xfId="0" applyFont="1" applyFill="1" applyBorder="1" applyAlignment="1">
      <alignment horizontal="center" vertical="center"/>
    </xf>
    <xf numFmtId="0" fontId="80" fillId="0" borderId="6" xfId="0" applyFont="1" applyFill="1" applyBorder="1" applyAlignment="1">
      <alignment vertical="center" wrapText="1"/>
    </xf>
    <xf numFmtId="0" fontId="0" fillId="0" borderId="2" xfId="0" applyFill="1" applyBorder="1" applyAlignment="1">
      <alignment horizontal="left" vertical="center"/>
    </xf>
    <xf numFmtId="0" fontId="53" fillId="0" borderId="2" xfId="0" applyFont="1" applyBorder="1" applyAlignment="1">
      <alignment vertical="top" wrapText="1"/>
    </xf>
    <xf numFmtId="0" fontId="0" fillId="0" borderId="2" xfId="0" applyFont="1" applyBorder="1" applyAlignment="1"/>
    <xf numFmtId="0" fontId="53" fillId="0" borderId="2" xfId="0" applyFont="1" applyFill="1" applyBorder="1" applyAlignment="1">
      <alignment wrapText="1"/>
    </xf>
    <xf numFmtId="164" fontId="53" fillId="0" borderId="2" xfId="0" applyNumberFormat="1" applyFont="1" applyBorder="1" applyAlignment="1">
      <alignment horizontal="left"/>
    </xf>
    <xf numFmtId="167" fontId="53" fillId="0" borderId="2" xfId="0" applyNumberFormat="1" applyFont="1" applyBorder="1" applyAlignment="1">
      <alignment horizontal="left" wrapText="1"/>
    </xf>
    <xf numFmtId="0" fontId="21" fillId="0" borderId="3" xfId="0" applyFont="1" applyFill="1" applyBorder="1" applyAlignment="1">
      <alignment vertical="center"/>
    </xf>
    <xf numFmtId="0" fontId="79" fillId="0" borderId="2" xfId="0" applyFont="1" applyBorder="1" applyAlignment="1">
      <alignment horizontal="left" vertical="center" wrapText="1"/>
    </xf>
    <xf numFmtId="2" fontId="53" fillId="0" borderId="2" xfId="0" applyNumberFormat="1" applyFont="1" applyBorder="1" applyAlignment="1">
      <alignment horizontal="left" vertical="center" wrapText="1"/>
    </xf>
    <xf numFmtId="166" fontId="53" fillId="0" borderId="2" xfId="0" applyNumberFormat="1" applyFont="1" applyBorder="1" applyAlignment="1">
      <alignment horizontal="left"/>
    </xf>
    <xf numFmtId="2" fontId="53" fillId="0" borderId="2" xfId="0" applyNumberFormat="1" applyFont="1" applyBorder="1" applyAlignment="1">
      <alignment horizontal="left" vertical="top" wrapText="1"/>
    </xf>
    <xf numFmtId="0" fontId="53" fillId="0" borderId="2" xfId="0" applyFont="1" applyBorder="1" applyAlignment="1">
      <alignment wrapText="1"/>
    </xf>
    <xf numFmtId="2" fontId="53" fillId="0" borderId="2" xfId="0" applyNumberFormat="1" applyFont="1" applyBorder="1" applyAlignment="1">
      <alignment horizontal="left" wrapText="1"/>
    </xf>
    <xf numFmtId="0" fontId="79" fillId="0" borderId="2" xfId="0" applyFont="1" applyBorder="1" applyAlignment="1">
      <alignment wrapText="1"/>
    </xf>
    <xf numFmtId="165" fontId="21" fillId="0" borderId="2" xfId="0" applyNumberFormat="1" applyFont="1" applyBorder="1"/>
    <xf numFmtId="0" fontId="21" fillId="0" borderId="3" xfId="0" applyFont="1" applyBorder="1" applyAlignment="1">
      <alignment horizontal="center" vertical="center"/>
    </xf>
    <xf numFmtId="0" fontId="79" fillId="0" borderId="6" xfId="0" applyFont="1" applyBorder="1" applyAlignment="1">
      <alignment horizontal="left" vertical="top" wrapText="1"/>
    </xf>
    <xf numFmtId="164" fontId="53" fillId="0" borderId="2" xfId="0" applyNumberFormat="1" applyFont="1" applyBorder="1" applyAlignment="1">
      <alignment horizontal="left" vertical="top" wrapText="1"/>
    </xf>
    <xf numFmtId="0" fontId="21" fillId="0" borderId="13" xfId="0" applyFont="1" applyFill="1" applyBorder="1" applyAlignment="1">
      <alignment horizontal="center" vertical="center"/>
    </xf>
    <xf numFmtId="164" fontId="21" fillId="0" borderId="2" xfId="0" applyNumberFormat="1" applyFont="1" applyBorder="1"/>
    <xf numFmtId="0" fontId="79" fillId="9" borderId="2" xfId="0" applyFont="1" applyFill="1" applyBorder="1" applyAlignment="1">
      <alignment horizontal="left" vertical="top" wrapText="1"/>
    </xf>
    <xf numFmtId="0" fontId="53" fillId="10" borderId="2" xfId="0" applyFont="1" applyFill="1" applyBorder="1" applyAlignment="1">
      <alignment horizontal="left" vertical="top"/>
    </xf>
    <xf numFmtId="2" fontId="53" fillId="10" borderId="2" xfId="0" applyNumberFormat="1" applyFont="1" applyFill="1" applyBorder="1" applyAlignment="1">
      <alignment horizontal="left" wrapText="1"/>
    </xf>
    <xf numFmtId="0" fontId="21" fillId="0" borderId="2" xfId="0" applyFont="1" applyBorder="1" applyAlignment="1">
      <alignment horizontal="left"/>
    </xf>
    <xf numFmtId="2" fontId="53" fillId="10" borderId="2" xfId="0" applyNumberFormat="1" applyFont="1" applyFill="1" applyBorder="1" applyAlignment="1">
      <alignment horizontal="left" vertical="top"/>
    </xf>
    <xf numFmtId="0" fontId="53" fillId="10" borderId="2" xfId="0" applyFont="1" applyFill="1" applyBorder="1" applyAlignment="1">
      <alignment horizontal="left"/>
    </xf>
    <xf numFmtId="2" fontId="53" fillId="10" borderId="2" xfId="0" applyNumberFormat="1" applyFont="1" applyFill="1" applyBorder="1" applyAlignment="1">
      <alignment horizontal="left" vertical="center"/>
    </xf>
    <xf numFmtId="0" fontId="21" fillId="0" borderId="2" xfId="0" applyFont="1" applyBorder="1" applyAlignment="1">
      <alignment horizontal="left" vertical="center"/>
    </xf>
    <xf numFmtId="0" fontId="21" fillId="11" borderId="2" xfId="0" applyFont="1" applyFill="1" applyBorder="1" applyAlignment="1">
      <alignment horizontal="center" vertical="center"/>
    </xf>
    <xf numFmtId="0" fontId="79" fillId="11" borderId="2" xfId="0" applyFont="1" applyFill="1" applyBorder="1" applyAlignment="1">
      <alignment horizontal="left" vertical="top" wrapText="1"/>
    </xf>
    <xf numFmtId="0" fontId="19" fillId="7" borderId="2" xfId="0" applyFont="1" applyFill="1" applyBorder="1" applyAlignment="1">
      <alignment horizontal="center" vertical="center"/>
    </xf>
    <xf numFmtId="0" fontId="82" fillId="2" borderId="2" xfId="0" applyFont="1" applyFill="1" applyBorder="1" applyAlignment="1">
      <alignment horizontal="center" vertical="center"/>
    </xf>
    <xf numFmtId="0" fontId="82" fillId="2" borderId="2" xfId="0" applyFont="1" applyFill="1" applyBorder="1" applyAlignment="1">
      <alignment vertical="center"/>
    </xf>
    <xf numFmtId="0" fontId="83" fillId="2" borderId="2" xfId="0" applyFont="1" applyFill="1" applyBorder="1" applyAlignment="1">
      <alignment horizontal="center" vertical="center"/>
    </xf>
    <xf numFmtId="2" fontId="84" fillId="0" borderId="2" xfId="0" applyNumberFormat="1" applyFont="1" applyBorder="1" applyAlignment="1">
      <alignment horizontal="right" vertical="center" wrapText="1"/>
    </xf>
    <xf numFmtId="0" fontId="48" fillId="2" borderId="2" xfId="0" applyFont="1" applyFill="1" applyBorder="1" applyAlignment="1">
      <alignment vertical="center" wrapText="1"/>
    </xf>
    <xf numFmtId="49" fontId="85" fillId="2" borderId="5" xfId="0" applyNumberFormat="1" applyFont="1" applyFill="1" applyBorder="1" applyAlignment="1">
      <alignment horizontal="center" vertical="center" wrapText="1"/>
    </xf>
    <xf numFmtId="0" fontId="49" fillId="0" borderId="2" xfId="0" applyFont="1" applyFill="1" applyBorder="1" applyAlignment="1">
      <alignment vertical="center" wrapText="1"/>
    </xf>
    <xf numFmtId="2" fontId="84" fillId="0" borderId="2" xfId="0" applyNumberFormat="1" applyFont="1" applyBorder="1" applyAlignment="1">
      <alignment horizontal="right" vertical="center"/>
    </xf>
    <xf numFmtId="2" fontId="84" fillId="0" borderId="2" xfId="0" applyNumberFormat="1" applyFont="1" applyBorder="1" applyAlignment="1">
      <alignment horizontal="right" vertical="top"/>
    </xf>
    <xf numFmtId="0" fontId="84" fillId="0" borderId="2" xfId="0" applyFont="1" applyBorder="1" applyAlignment="1">
      <alignment horizontal="center" vertical="center"/>
    </xf>
    <xf numFmtId="0" fontId="49" fillId="0" borderId="2" xfId="0" applyFont="1" applyFill="1" applyBorder="1" applyAlignment="1">
      <alignment vertical="center"/>
    </xf>
    <xf numFmtId="0" fontId="49" fillId="0" borderId="2" xfId="0" applyFont="1" applyFill="1" applyBorder="1" applyAlignment="1">
      <alignment horizontal="center" vertical="center"/>
    </xf>
    <xf numFmtId="0" fontId="7" fillId="0" borderId="2" xfId="0" applyFont="1" applyFill="1" applyBorder="1" applyAlignment="1">
      <alignment horizontal="left" wrapText="1"/>
    </xf>
    <xf numFmtId="0" fontId="7" fillId="0" borderId="2" xfId="0" applyFont="1" applyFill="1" applyBorder="1" applyAlignment="1">
      <alignment horizontal="left" vertical="top" wrapText="1"/>
    </xf>
    <xf numFmtId="0" fontId="86" fillId="0" borderId="5" xfId="0" applyFont="1" applyBorder="1" applyAlignment="1">
      <alignment horizontal="left" vertical="center" wrapText="1"/>
    </xf>
    <xf numFmtId="0" fontId="21" fillId="0" borderId="2" xfId="0" applyFont="1" applyBorder="1" applyAlignment="1">
      <alignment horizontal="left" vertical="center" wrapText="1"/>
    </xf>
    <xf numFmtId="0" fontId="80" fillId="0" borderId="2" xfId="0" applyFont="1" applyBorder="1" applyAlignment="1">
      <alignment horizontal="center"/>
    </xf>
    <xf numFmtId="0" fontId="7" fillId="0" borderId="2" xfId="0" applyFont="1" applyBorder="1" applyAlignment="1">
      <alignment horizontal="left" wrapText="1"/>
    </xf>
    <xf numFmtId="1" fontId="0" fillId="0" borderId="2" xfId="0" applyNumberFormat="1" applyBorder="1" applyAlignment="1">
      <alignment horizontal="center" vertical="center" wrapText="1"/>
    </xf>
    <xf numFmtId="49" fontId="85" fillId="2" borderId="5" xfId="0" applyNumberFormat="1" applyFont="1" applyFill="1" applyBorder="1" applyAlignment="1">
      <alignment horizontal="center" vertical="top" wrapText="1"/>
    </xf>
    <xf numFmtId="0" fontId="84" fillId="0" borderId="2" xfId="0" applyFont="1" applyBorder="1" applyAlignment="1">
      <alignment horizontal="center" vertical="center" wrapText="1"/>
    </xf>
    <xf numFmtId="0" fontId="49" fillId="2" borderId="2" xfId="0" applyFont="1" applyFill="1" applyBorder="1" applyAlignment="1">
      <alignment vertical="top"/>
    </xf>
    <xf numFmtId="0" fontId="49" fillId="2" borderId="2" xfId="0" applyFont="1" applyFill="1" applyBorder="1"/>
    <xf numFmtId="164" fontId="0" fillId="0" borderId="2" xfId="0" applyNumberFormat="1" applyBorder="1" applyAlignment="1">
      <alignment horizontal="center" vertical="center" wrapText="1"/>
    </xf>
    <xf numFmtId="0" fontId="14" fillId="0" borderId="5" xfId="0" applyFont="1" applyFill="1" applyBorder="1" applyAlignment="1">
      <alignment horizontal="left" vertical="center"/>
    </xf>
    <xf numFmtId="0" fontId="21" fillId="0" borderId="5" xfId="0" applyFont="1" applyBorder="1" applyAlignment="1">
      <alignment horizontal="left" vertical="center" wrapText="1"/>
    </xf>
    <xf numFmtId="0" fontId="14" fillId="0" borderId="2" xfId="0" applyFont="1" applyFill="1" applyBorder="1" applyAlignment="1">
      <alignment horizontal="left" vertical="center" wrapText="1"/>
    </xf>
    <xf numFmtId="0" fontId="49" fillId="2" borderId="2" xfId="0" applyFont="1" applyFill="1" applyBorder="1" applyAlignment="1">
      <alignment horizontal="left" wrapText="1"/>
    </xf>
    <xf numFmtId="0" fontId="7" fillId="0" borderId="2" xfId="0" applyFont="1" applyFill="1" applyBorder="1" applyAlignment="1">
      <alignment vertical="center" wrapText="1"/>
    </xf>
    <xf numFmtId="0" fontId="84" fillId="0" borderId="2" xfId="0" applyFont="1" applyBorder="1" applyAlignment="1">
      <alignment horizontal="center"/>
    </xf>
    <xf numFmtId="1" fontId="0" fillId="0" borderId="2" xfId="0" applyNumberFormat="1" applyBorder="1" applyAlignment="1">
      <alignment horizontal="center" wrapText="1"/>
    </xf>
    <xf numFmtId="2" fontId="84" fillId="0" borderId="2" xfId="0" applyNumberFormat="1" applyFont="1" applyBorder="1" applyAlignment="1">
      <alignment horizontal="center" vertical="center"/>
    </xf>
    <xf numFmtId="0" fontId="11" fillId="2" borderId="5" xfId="0" applyFont="1" applyFill="1" applyBorder="1" applyAlignment="1">
      <alignment horizontal="center" wrapText="1"/>
    </xf>
    <xf numFmtId="0" fontId="19" fillId="2" borderId="5" xfId="0" applyFont="1" applyFill="1" applyBorder="1" applyAlignment="1">
      <alignment wrapText="1"/>
    </xf>
    <xf numFmtId="0" fontId="7" fillId="0" borderId="5" xfId="0" applyFont="1" applyFill="1" applyBorder="1" applyAlignment="1">
      <alignment horizontal="center" wrapText="1"/>
    </xf>
    <xf numFmtId="0" fontId="75" fillId="0" borderId="2" xfId="3" applyFont="1" applyFill="1" applyBorder="1" applyAlignment="1">
      <alignment horizontal="justify" vertical="center" wrapText="1"/>
    </xf>
    <xf numFmtId="0" fontId="75" fillId="0" borderId="2" xfId="3" applyFont="1" applyFill="1" applyBorder="1" applyAlignment="1">
      <alignment horizontal="center" vertical="center"/>
    </xf>
    <xf numFmtId="168" fontId="75" fillId="0" borderId="2" xfId="4" applyNumberFormat="1" applyFont="1" applyBorder="1" applyAlignment="1">
      <alignment horizontal="center" vertical="center" wrapText="1"/>
    </xf>
    <xf numFmtId="0" fontId="19" fillId="0" borderId="2" xfId="0" applyFont="1" applyBorder="1" applyAlignment="1">
      <alignment horizontal="left" vertical="center" wrapText="1"/>
    </xf>
    <xf numFmtId="2" fontId="80" fillId="0" borderId="2" xfId="0" applyNumberFormat="1" applyFont="1" applyBorder="1" applyAlignment="1">
      <alignment horizontal="center" vertical="center"/>
    </xf>
    <xf numFmtId="0" fontId="80" fillId="0" borderId="2" xfId="0" applyFont="1" applyBorder="1" applyAlignment="1">
      <alignment horizontal="center" vertical="center"/>
    </xf>
    <xf numFmtId="0" fontId="14" fillId="0" borderId="2" xfId="0" applyFont="1" applyFill="1" applyBorder="1" applyAlignment="1">
      <alignment horizontal="left" vertical="center"/>
    </xf>
    <xf numFmtId="0" fontId="49" fillId="2" borderId="2" xfId="0" applyFont="1" applyFill="1" applyBorder="1" applyAlignment="1">
      <alignment horizontal="center"/>
    </xf>
    <xf numFmtId="0" fontId="84" fillId="0" borderId="2" xfId="0" applyFont="1" applyBorder="1"/>
    <xf numFmtId="0" fontId="20" fillId="2" borderId="2" xfId="0" applyFont="1" applyFill="1" applyBorder="1" applyAlignment="1">
      <alignment horizontal="left" vertical="center" wrapText="1"/>
    </xf>
    <xf numFmtId="0" fontId="3" fillId="0" borderId="2" xfId="0" applyFont="1" applyFill="1" applyBorder="1" applyAlignment="1">
      <alignment horizontal="left" vertical="center" wrapText="1"/>
    </xf>
    <xf numFmtId="0" fontId="23" fillId="0" borderId="2" xfId="0" applyFont="1" applyBorder="1" applyAlignment="1">
      <alignment horizontal="center" vertical="center"/>
    </xf>
    <xf numFmtId="0" fontId="3" fillId="0" borderId="2" xfId="0" applyFont="1" applyFill="1" applyBorder="1" applyAlignment="1">
      <alignment horizontal="center"/>
    </xf>
    <xf numFmtId="0" fontId="48" fillId="0" borderId="2" xfId="0" applyFont="1" applyFill="1" applyBorder="1" applyAlignment="1">
      <alignment horizontal="center" vertical="center"/>
    </xf>
    <xf numFmtId="0" fontId="23" fillId="0" borderId="5" xfId="0" applyFont="1" applyFill="1" applyBorder="1" applyAlignment="1">
      <alignment horizontal="left" vertical="center"/>
    </xf>
    <xf numFmtId="0" fontId="23" fillId="0" borderId="2" xfId="0" applyFont="1" applyFill="1" applyBorder="1" applyAlignment="1">
      <alignment horizontal="left" vertical="center" wrapText="1"/>
    </xf>
    <xf numFmtId="0" fontId="23" fillId="0" borderId="2" xfId="0" applyFont="1" applyBorder="1" applyAlignment="1">
      <alignment horizontal="left" vertical="center" wrapText="1"/>
    </xf>
    <xf numFmtId="0" fontId="48" fillId="0" borderId="5" xfId="0" applyFont="1" applyFill="1" applyBorder="1" applyAlignment="1">
      <alignment horizontal="center" vertical="center"/>
    </xf>
    <xf numFmtId="0" fontId="0" fillId="0" borderId="2" xfId="0" applyFill="1" applyBorder="1" applyAlignment="1">
      <alignment wrapText="1"/>
    </xf>
    <xf numFmtId="0" fontId="19" fillId="0" borderId="2" xfId="0" applyFont="1" applyFill="1" applyBorder="1" applyAlignment="1">
      <alignment horizontal="left" vertical="center" wrapText="1"/>
    </xf>
    <xf numFmtId="0" fontId="23" fillId="0" borderId="5" xfId="0" applyFont="1" applyFill="1" applyBorder="1" applyAlignment="1">
      <alignment horizontal="left" vertical="center" wrapText="1"/>
    </xf>
    <xf numFmtId="0" fontId="21" fillId="0" borderId="2" xfId="0" applyFont="1" applyBorder="1" applyAlignment="1">
      <alignment horizontal="left" wrapText="1"/>
    </xf>
    <xf numFmtId="0" fontId="48" fillId="0" borderId="4" xfId="0" applyFont="1" applyFill="1" applyBorder="1" applyAlignment="1">
      <alignment horizontal="center" vertical="center"/>
    </xf>
    <xf numFmtId="0" fontId="21" fillId="0" borderId="4" xfId="0" applyFont="1" applyBorder="1" applyAlignment="1">
      <alignment horizontal="left" wrapText="1"/>
    </xf>
    <xf numFmtId="0" fontId="23" fillId="0" borderId="4" xfId="0" applyFont="1" applyBorder="1" applyAlignment="1">
      <alignment horizontal="center" vertical="center"/>
    </xf>
    <xf numFmtId="0" fontId="3" fillId="0" borderId="4" xfId="0" applyFont="1" applyBorder="1" applyAlignment="1">
      <alignment horizontal="center"/>
    </xf>
    <xf numFmtId="0" fontId="3" fillId="0" borderId="4" xfId="0" applyFont="1" applyBorder="1" applyAlignment="1">
      <alignment horizontal="center" vertical="center"/>
    </xf>
    <xf numFmtId="0" fontId="3" fillId="0" borderId="4" xfId="0" applyFont="1" applyFill="1" applyBorder="1" applyAlignment="1">
      <alignment horizontal="center"/>
    </xf>
    <xf numFmtId="0" fontId="49" fillId="0" borderId="4" xfId="0" applyFont="1" applyFill="1" applyBorder="1" applyAlignment="1">
      <alignment horizontal="center" vertical="center"/>
    </xf>
    <xf numFmtId="2" fontId="19" fillId="2" borderId="6" xfId="0" applyNumberFormat="1" applyFont="1" applyFill="1" applyBorder="1" applyAlignment="1">
      <alignment horizontal="center" vertical="center"/>
    </xf>
    <xf numFmtId="0" fontId="27" fillId="2" borderId="11" xfId="0" applyFont="1" applyFill="1" applyBorder="1" applyAlignment="1">
      <alignment horizontal="left" vertical="center"/>
    </xf>
    <xf numFmtId="0" fontId="27" fillId="2" borderId="12" xfId="0" applyFont="1" applyFill="1" applyBorder="1" applyAlignment="1">
      <alignment horizontal="left" vertical="center"/>
    </xf>
    <xf numFmtId="0" fontId="27" fillId="2" borderId="4" xfId="0" applyFont="1" applyFill="1" applyBorder="1" applyAlignment="1">
      <alignment horizontal="left" vertical="center"/>
    </xf>
    <xf numFmtId="0" fontId="27" fillId="2" borderId="15" xfId="0" applyFont="1" applyFill="1" applyBorder="1" applyAlignment="1">
      <alignment horizontal="left" vertical="center"/>
    </xf>
    <xf numFmtId="0" fontId="80" fillId="2" borderId="2" xfId="0" applyFont="1" applyFill="1" applyBorder="1" applyAlignment="1">
      <alignment horizontal="center" vertical="center"/>
    </xf>
    <xf numFmtId="1" fontId="0" fillId="0" borderId="2" xfId="0" applyNumberFormat="1" applyBorder="1" applyAlignment="1"/>
    <xf numFmtId="0" fontId="0" fillId="0" borderId="5" xfId="0" applyBorder="1" applyAlignment="1">
      <alignment horizontal="center"/>
    </xf>
    <xf numFmtId="0" fontId="88" fillId="0" borderId="2" xfId="0" applyFont="1" applyBorder="1" applyAlignment="1">
      <alignment horizontal="left" vertical="center" wrapText="1"/>
    </xf>
    <xf numFmtId="0" fontId="88" fillId="0" borderId="2" xfId="0" applyFont="1" applyFill="1" applyBorder="1" applyAlignment="1">
      <alignment horizontal="left" vertical="center"/>
    </xf>
    <xf numFmtId="1" fontId="88" fillId="0" borderId="2" xfId="0" applyNumberFormat="1" applyFont="1" applyBorder="1" applyAlignment="1">
      <alignment horizontal="center" vertical="center"/>
    </xf>
    <xf numFmtId="0" fontId="88" fillId="0" borderId="2" xfId="0" applyFont="1" applyBorder="1" applyAlignment="1">
      <alignment horizontal="left" vertical="center"/>
    </xf>
    <xf numFmtId="0" fontId="88" fillId="0" borderId="5" xfId="0" applyFont="1" applyBorder="1" applyAlignment="1">
      <alignment horizontal="left" vertical="center" wrapText="1"/>
    </xf>
    <xf numFmtId="0" fontId="89" fillId="0" borderId="2" xfId="0" applyFont="1" applyBorder="1" applyAlignment="1">
      <alignment horizontal="center" vertical="center"/>
    </xf>
    <xf numFmtId="0" fontId="90" fillId="0" borderId="2" xfId="0" applyFont="1" applyBorder="1" applyAlignment="1">
      <alignment horizontal="center" vertical="center"/>
    </xf>
    <xf numFmtId="0" fontId="23" fillId="0" borderId="5" xfId="0" applyFont="1" applyBorder="1" applyAlignment="1">
      <alignment horizontal="left" vertical="center"/>
    </xf>
    <xf numFmtId="0" fontId="88" fillId="0" borderId="2" xfId="0" applyFont="1" applyBorder="1" applyAlignment="1">
      <alignment horizontal="center" vertical="center"/>
    </xf>
    <xf numFmtId="0" fontId="19" fillId="0" borderId="5" xfId="0" applyFont="1" applyBorder="1" applyAlignment="1">
      <alignment horizontal="left" vertical="center"/>
    </xf>
    <xf numFmtId="0" fontId="19" fillId="0" borderId="5" xfId="0" applyFont="1" applyBorder="1" applyAlignment="1">
      <alignment horizontal="left" vertical="center" wrapText="1"/>
    </xf>
    <xf numFmtId="2" fontId="91" fillId="0" borderId="2" xfId="0" applyNumberFormat="1" applyFont="1" applyBorder="1" applyAlignment="1">
      <alignment horizontal="center" vertical="center"/>
    </xf>
    <xf numFmtId="0" fontId="0" fillId="0" borderId="17" xfId="0" applyBorder="1" applyAlignment="1">
      <alignment horizontal="center"/>
    </xf>
    <xf numFmtId="0" fontId="0" fillId="0" borderId="18" xfId="0" applyBorder="1"/>
    <xf numFmtId="0" fontId="0" fillId="0" borderId="18" xfId="0" applyBorder="1" applyAlignment="1">
      <alignment horizontal="center"/>
    </xf>
    <xf numFmtId="1" fontId="49" fillId="2" borderId="2" xfId="0" applyNumberFormat="1" applyFont="1" applyFill="1" applyBorder="1" applyAlignment="1">
      <alignment vertical="center"/>
    </xf>
    <xf numFmtId="0" fontId="88" fillId="0" borderId="2" xfId="0" applyNumberFormat="1" applyFont="1" applyBorder="1" applyAlignment="1">
      <alignment horizontal="center" vertical="center"/>
    </xf>
    <xf numFmtId="0" fontId="49" fillId="2" borderId="0" xfId="0" applyFont="1" applyFill="1"/>
    <xf numFmtId="0" fontId="93" fillId="2" borderId="2" xfId="0" applyFont="1" applyFill="1" applyBorder="1" applyAlignment="1">
      <alignment horizontal="center" vertical="center"/>
    </xf>
    <xf numFmtId="0" fontId="93" fillId="2" borderId="5" xfId="0" applyFont="1" applyFill="1" applyBorder="1" applyAlignment="1">
      <alignment horizontal="center" vertical="center"/>
    </xf>
    <xf numFmtId="0" fontId="59" fillId="0" borderId="2" xfId="0" applyFont="1" applyFill="1" applyBorder="1" applyAlignment="1">
      <alignment horizontal="left" wrapText="1"/>
    </xf>
    <xf numFmtId="49" fontId="84" fillId="0" borderId="2" xfId="0" applyNumberFormat="1" applyFont="1" applyBorder="1" applyAlignment="1">
      <alignment horizontal="center" vertical="center" wrapText="1"/>
    </xf>
    <xf numFmtId="49" fontId="49" fillId="2" borderId="2" xfId="0" applyNumberFormat="1" applyFont="1" applyFill="1" applyBorder="1" applyAlignment="1">
      <alignment horizontal="center" vertical="center"/>
    </xf>
    <xf numFmtId="0" fontId="93" fillId="0" borderId="5" xfId="0" applyFont="1" applyBorder="1" applyAlignment="1">
      <alignment horizontal="center" vertical="center"/>
    </xf>
    <xf numFmtId="0" fontId="84" fillId="0" borderId="2" xfId="0" applyFont="1" applyFill="1" applyBorder="1" applyAlignment="1">
      <alignment horizontal="left" wrapText="1"/>
    </xf>
    <xf numFmtId="164" fontId="84" fillId="0" borderId="2" xfId="0" applyNumberFormat="1" applyFont="1" applyBorder="1" applyAlignment="1">
      <alignment horizontal="right" vertical="center" wrapText="1"/>
    </xf>
    <xf numFmtId="0" fontId="84" fillId="0" borderId="2" xfId="0" applyFont="1" applyFill="1" applyBorder="1" applyAlignment="1">
      <alignment horizontal="center" vertical="center" wrapText="1"/>
    </xf>
    <xf numFmtId="2" fontId="84" fillId="0" borderId="2" xfId="0" applyNumberFormat="1" applyFont="1" applyFill="1" applyBorder="1" applyAlignment="1">
      <alignment horizontal="right" vertical="center" wrapText="1"/>
    </xf>
    <xf numFmtId="49" fontId="84" fillId="2" borderId="2" xfId="0" applyNumberFormat="1" applyFont="1" applyFill="1" applyBorder="1" applyAlignment="1">
      <alignment horizontal="center" vertical="center" wrapText="1"/>
    </xf>
    <xf numFmtId="0" fontId="93" fillId="2" borderId="5" xfId="0" applyFont="1" applyFill="1" applyBorder="1" applyAlignment="1">
      <alignment horizontal="center"/>
    </xf>
    <xf numFmtId="0" fontId="84" fillId="0" borderId="10" xfId="0" applyFont="1" applyBorder="1" applyAlignment="1">
      <alignment wrapText="1"/>
    </xf>
    <xf numFmtId="0" fontId="19" fillId="2" borderId="2" xfId="0" applyFont="1" applyFill="1" applyBorder="1"/>
    <xf numFmtId="0" fontId="84" fillId="0" borderId="10" xfId="0" applyFont="1" applyBorder="1" applyAlignment="1"/>
    <xf numFmtId="0" fontId="84" fillId="0" borderId="2" xfId="0" applyFont="1" applyFill="1" applyBorder="1" applyAlignment="1">
      <alignment wrapText="1"/>
    </xf>
    <xf numFmtId="0" fontId="84" fillId="0" borderId="2" xfId="0" applyFont="1" applyBorder="1" applyAlignment="1">
      <alignment wrapText="1"/>
    </xf>
    <xf numFmtId="0" fontId="84" fillId="0" borderId="10" xfId="0" applyFont="1" applyFill="1" applyBorder="1" applyAlignment="1"/>
    <xf numFmtId="0" fontId="84" fillId="0" borderId="10" xfId="0" applyFont="1" applyBorder="1" applyAlignment="1">
      <alignment vertical="center" wrapText="1"/>
    </xf>
    <xf numFmtId="0" fontId="84" fillId="0" borderId="4" xfId="0" applyFont="1" applyBorder="1" applyAlignment="1">
      <alignment horizontal="center" vertical="center" wrapText="1"/>
    </xf>
    <xf numFmtId="0" fontId="19" fillId="2" borderId="4" xfId="0" applyFont="1" applyFill="1" applyBorder="1" applyAlignment="1">
      <alignment horizontal="center"/>
    </xf>
    <xf numFmtId="0" fontId="49" fillId="2" borderId="4" xfId="0" applyFont="1" applyFill="1" applyBorder="1"/>
    <xf numFmtId="49" fontId="49" fillId="2" borderId="4" xfId="0" applyNumberFormat="1" applyFont="1" applyFill="1" applyBorder="1" applyAlignment="1">
      <alignment horizontal="center" vertical="center"/>
    </xf>
    <xf numFmtId="0" fontId="19" fillId="2" borderId="4" xfId="0" applyFont="1" applyFill="1" applyBorder="1"/>
    <xf numFmtId="0" fontId="49" fillId="2" borderId="6" xfId="0" applyFont="1" applyFill="1" applyBorder="1" applyAlignment="1">
      <alignment horizontal="center" vertical="center"/>
    </xf>
    <xf numFmtId="0" fontId="84" fillId="2" borderId="2" xfId="0" applyFont="1" applyFill="1" applyBorder="1" applyAlignment="1">
      <alignment horizontal="center"/>
    </xf>
    <xf numFmtId="49" fontId="84" fillId="2" borderId="2" xfId="0" applyNumberFormat="1" applyFont="1" applyFill="1" applyBorder="1" applyAlignment="1">
      <alignment horizontal="center" vertical="center"/>
    </xf>
    <xf numFmtId="2" fontId="84" fillId="2" borderId="2" xfId="0" applyNumberFormat="1" applyFont="1" applyFill="1" applyBorder="1" applyAlignment="1">
      <alignment horizontal="center"/>
    </xf>
    <xf numFmtId="0" fontId="84" fillId="2" borderId="2" xfId="0" applyFont="1" applyFill="1" applyBorder="1" applyAlignment="1">
      <alignment horizontal="center" vertical="center"/>
    </xf>
    <xf numFmtId="1" fontId="0" fillId="0" borderId="2" xfId="0" applyNumberFormat="1" applyBorder="1" applyAlignment="1">
      <alignment horizontal="center"/>
    </xf>
    <xf numFmtId="0" fontId="94" fillId="0" borderId="2" xfId="0" applyFont="1" applyFill="1" applyBorder="1" applyAlignment="1">
      <alignment horizontal="left" vertical="center" wrapText="1"/>
    </xf>
    <xf numFmtId="0" fontId="88" fillId="2" borderId="2" xfId="0" applyFont="1" applyFill="1" applyBorder="1" applyAlignment="1">
      <alignment horizontal="center" vertical="center"/>
    </xf>
    <xf numFmtId="2" fontId="88" fillId="2" borderId="2" xfId="0" applyNumberFormat="1" applyFont="1" applyFill="1" applyBorder="1" applyAlignment="1">
      <alignment horizontal="left" vertical="center"/>
    </xf>
    <xf numFmtId="2" fontId="14" fillId="2" borderId="2" xfId="0" applyNumberFormat="1" applyFont="1" applyFill="1" applyBorder="1" applyAlignment="1">
      <alignment horizontal="center" vertical="center"/>
    </xf>
    <xf numFmtId="0" fontId="31" fillId="2" borderId="0" xfId="0" applyFont="1" applyFill="1" applyAlignment="1"/>
    <xf numFmtId="0" fontId="96" fillId="2" borderId="0" xfId="0" applyFont="1" applyFill="1" applyAlignment="1"/>
    <xf numFmtId="0" fontId="32" fillId="2" borderId="0" xfId="0" applyFont="1" applyFill="1" applyAlignment="1"/>
    <xf numFmtId="0" fontId="31" fillId="2" borderId="0" xfId="0" applyFont="1" applyFill="1" applyAlignment="1">
      <alignment horizontal="left"/>
    </xf>
    <xf numFmtId="0" fontId="31" fillId="2" borderId="0" xfId="0" applyFont="1" applyFill="1" applyBorder="1" applyAlignment="1">
      <alignment horizontal="left"/>
    </xf>
    <xf numFmtId="0" fontId="31" fillId="2" borderId="0" xfId="0" applyFont="1" applyFill="1" applyAlignment="1">
      <alignment horizontal="center"/>
    </xf>
    <xf numFmtId="0" fontId="43" fillId="2" borderId="0" xfId="0" applyFont="1" applyFill="1" applyAlignment="1"/>
    <xf numFmtId="0" fontId="43" fillId="2" borderId="9" xfId="0" applyFont="1" applyFill="1" applyBorder="1" applyAlignment="1">
      <alignment horizontal="left"/>
    </xf>
    <xf numFmtId="0" fontId="97" fillId="2" borderId="9" xfId="0" applyFont="1" applyFill="1" applyBorder="1" applyAlignment="1">
      <alignment horizontal="left"/>
    </xf>
    <xf numFmtId="0" fontId="43" fillId="2" borderId="0" xfId="0" applyFont="1" applyFill="1" applyBorder="1" applyAlignment="1">
      <alignment horizontal="left"/>
    </xf>
    <xf numFmtId="0" fontId="98" fillId="12" borderId="2" xfId="0" applyFont="1" applyFill="1" applyBorder="1" applyAlignment="1">
      <alignment horizontal="center" vertical="center"/>
    </xf>
    <xf numFmtId="0" fontId="98" fillId="12" borderId="2" xfId="0" applyFont="1" applyFill="1" applyBorder="1" applyAlignment="1">
      <alignment horizontal="center" vertical="center" wrapText="1"/>
    </xf>
    <xf numFmtId="0" fontId="98" fillId="0" borderId="2" xfId="0" applyFont="1" applyFill="1" applyBorder="1" applyAlignment="1">
      <alignment horizontal="center" vertical="center"/>
    </xf>
    <xf numFmtId="0" fontId="99" fillId="13" borderId="2" xfId="0" applyFont="1" applyFill="1" applyBorder="1" applyAlignment="1">
      <alignment vertical="center"/>
    </xf>
    <xf numFmtId="0" fontId="98" fillId="0" borderId="2" xfId="0" applyFont="1" applyFill="1" applyBorder="1" applyAlignment="1">
      <alignment vertical="center"/>
    </xf>
    <xf numFmtId="0" fontId="99" fillId="0" borderId="2" xfId="0" applyFont="1" applyFill="1" applyBorder="1" applyAlignment="1">
      <alignment horizontal="center" vertical="center"/>
    </xf>
    <xf numFmtId="2" fontId="98" fillId="0" borderId="2" xfId="0" applyNumberFormat="1" applyFont="1" applyFill="1" applyBorder="1" applyAlignment="1">
      <alignment horizontal="center" vertical="center"/>
    </xf>
    <xf numFmtId="0" fontId="99" fillId="0" borderId="5" xfId="0" applyFont="1" applyFill="1" applyBorder="1" applyAlignment="1">
      <alignment horizontal="center" vertical="center"/>
    </xf>
    <xf numFmtId="0" fontId="98" fillId="0" borderId="3" xfId="0" applyFont="1" applyFill="1" applyBorder="1" applyAlignment="1">
      <alignment vertical="center"/>
    </xf>
    <xf numFmtId="2" fontId="100" fillId="0" borderId="2" xfId="0" applyNumberFormat="1" applyFont="1" applyFill="1" applyBorder="1" applyAlignment="1">
      <alignment horizontal="center" vertical="center"/>
    </xf>
    <xf numFmtId="0" fontId="98" fillId="0" borderId="2" xfId="0" applyFont="1" applyFill="1" applyBorder="1" applyAlignment="1">
      <alignment horizontal="left" vertical="center"/>
    </xf>
    <xf numFmtId="0" fontId="101" fillId="0" borderId="5" xfId="0" applyFont="1" applyFill="1" applyBorder="1" applyAlignment="1">
      <alignment horizontal="center" vertical="center"/>
    </xf>
    <xf numFmtId="0" fontId="99" fillId="0" borderId="3" xfId="0" applyFont="1" applyFill="1" applyBorder="1" applyAlignment="1">
      <alignment horizontal="center" vertical="center"/>
    </xf>
    <xf numFmtId="0" fontId="99" fillId="0" borderId="11" xfId="0" applyFont="1" applyFill="1" applyBorder="1" applyAlignment="1">
      <alignment horizontal="center" vertical="center"/>
    </xf>
    <xf numFmtId="0" fontId="101" fillId="0" borderId="11" xfId="0" applyFont="1" applyFill="1" applyBorder="1" applyAlignment="1">
      <alignment horizontal="center" vertical="center"/>
    </xf>
    <xf numFmtId="0" fontId="102" fillId="13" borderId="2" xfId="0" applyFont="1" applyFill="1" applyBorder="1" applyAlignment="1">
      <alignment vertical="center"/>
    </xf>
    <xf numFmtId="0" fontId="98" fillId="0" borderId="3" xfId="0" applyFont="1" applyFill="1" applyBorder="1" applyAlignment="1">
      <alignment horizontal="center" vertical="center"/>
    </xf>
    <xf numFmtId="0" fontId="98" fillId="0" borderId="5" xfId="0" applyFont="1" applyFill="1" applyBorder="1" applyAlignment="1">
      <alignment horizontal="center" vertical="center"/>
    </xf>
    <xf numFmtId="169" fontId="98" fillId="0" borderId="2" xfId="0" applyNumberFormat="1" applyFont="1" applyFill="1" applyBorder="1" applyAlignment="1">
      <alignment horizontal="center" vertical="center"/>
    </xf>
    <xf numFmtId="0" fontId="102" fillId="0" borderId="2" xfId="0" applyFont="1" applyFill="1" applyBorder="1" applyAlignment="1">
      <alignment vertical="center"/>
    </xf>
    <xf numFmtId="0" fontId="98" fillId="0" borderId="5" xfId="0" applyFont="1" applyFill="1" applyBorder="1" applyAlignment="1">
      <alignment vertical="center"/>
    </xf>
    <xf numFmtId="0" fontId="99" fillId="3" borderId="2" xfId="0" applyFont="1" applyFill="1" applyBorder="1" applyAlignment="1">
      <alignment horizontal="left" vertical="center"/>
    </xf>
    <xf numFmtId="0" fontId="98" fillId="0" borderId="2" xfId="0" applyFont="1" applyFill="1" applyBorder="1" applyAlignment="1">
      <alignment vertical="center" wrapText="1"/>
    </xf>
    <xf numFmtId="2" fontId="100" fillId="2" borderId="2" xfId="0" applyNumberFormat="1" applyFont="1" applyFill="1" applyBorder="1" applyAlignment="1">
      <alignment horizontal="center" vertical="center"/>
    </xf>
    <xf numFmtId="0" fontId="102" fillId="0" borderId="2" xfId="0" applyFont="1" applyFill="1" applyBorder="1" applyAlignment="1">
      <alignment horizontal="left" vertical="center"/>
    </xf>
    <xf numFmtId="0" fontId="100" fillId="0" borderId="2" xfId="0" applyFont="1" applyFill="1" applyBorder="1" applyAlignment="1">
      <alignment horizontal="center" vertical="center"/>
    </xf>
    <xf numFmtId="49" fontId="99" fillId="5" borderId="3" xfId="0" applyNumberFormat="1" applyFont="1" applyFill="1" applyBorder="1" applyAlignment="1">
      <alignment horizontal="left" vertical="center" wrapText="1"/>
    </xf>
    <xf numFmtId="0" fontId="100" fillId="0" borderId="3" xfId="0" applyFont="1" applyFill="1" applyBorder="1" applyAlignment="1">
      <alignment horizontal="left" vertical="center" wrapText="1"/>
    </xf>
    <xf numFmtId="169" fontId="99" fillId="0" borderId="2" xfId="0" applyNumberFormat="1" applyFont="1" applyFill="1" applyBorder="1" applyAlignment="1">
      <alignment horizontal="center" vertical="center"/>
    </xf>
    <xf numFmtId="0" fontId="100" fillId="0" borderId="5" xfId="0" applyFont="1" applyFill="1" applyBorder="1" applyAlignment="1">
      <alignment horizontal="center" vertical="center"/>
    </xf>
    <xf numFmtId="49" fontId="99" fillId="5" borderId="2" xfId="0" applyNumberFormat="1" applyFont="1" applyFill="1" applyBorder="1" applyAlignment="1">
      <alignment horizontal="left" vertical="center" wrapText="1"/>
    </xf>
    <xf numFmtId="0" fontId="100" fillId="0" borderId="2" xfId="0" applyFont="1" applyFill="1" applyBorder="1" applyAlignment="1">
      <alignment vertical="center" wrapText="1"/>
    </xf>
    <xf numFmtId="0" fontId="99" fillId="5" borderId="2" xfId="0" applyFont="1" applyFill="1" applyBorder="1" applyAlignment="1">
      <alignment horizontal="left" vertical="center"/>
    </xf>
    <xf numFmtId="0" fontId="99" fillId="14" borderId="2" xfId="0" applyFont="1" applyFill="1" applyBorder="1" applyAlignment="1">
      <alignment vertical="center"/>
    </xf>
    <xf numFmtId="0" fontId="100" fillId="0" borderId="2" xfId="0" applyFont="1" applyFill="1" applyBorder="1" applyAlignment="1">
      <alignment vertical="center"/>
    </xf>
    <xf numFmtId="0" fontId="100" fillId="0" borderId="5" xfId="0" applyFont="1" applyFill="1" applyBorder="1" applyAlignment="1">
      <alignment vertical="center"/>
    </xf>
    <xf numFmtId="0" fontId="99" fillId="14" borderId="3" xfId="0" applyFont="1" applyFill="1" applyBorder="1" applyAlignment="1">
      <alignment vertical="center"/>
    </xf>
    <xf numFmtId="0" fontId="100" fillId="0" borderId="0" xfId="0" applyFont="1" applyFill="1" applyBorder="1" applyAlignment="1">
      <alignment horizontal="center" vertical="center"/>
    </xf>
    <xf numFmtId="169" fontId="99" fillId="0" borderId="5" xfId="0" applyNumberFormat="1" applyFont="1" applyFill="1" applyBorder="1" applyAlignment="1">
      <alignment horizontal="center" vertical="center"/>
    </xf>
    <xf numFmtId="0" fontId="99" fillId="14" borderId="2" xfId="0" applyFont="1" applyFill="1" applyBorder="1" applyAlignment="1">
      <alignment horizontal="left" vertical="center"/>
    </xf>
    <xf numFmtId="0" fontId="100" fillId="0" borderId="2" xfId="0" applyFont="1" applyFill="1" applyBorder="1" applyAlignment="1">
      <alignment horizontal="left" vertical="center"/>
    </xf>
    <xf numFmtId="0" fontId="103" fillId="14" borderId="2" xfId="0" applyFont="1" applyFill="1" applyBorder="1" applyAlignment="1">
      <alignment vertical="center"/>
    </xf>
    <xf numFmtId="0" fontId="100" fillId="0" borderId="2" xfId="0" applyFont="1" applyFill="1" applyBorder="1" applyAlignment="1">
      <alignment horizontal="center"/>
    </xf>
    <xf numFmtId="0" fontId="103" fillId="14" borderId="2" xfId="0" applyFont="1" applyFill="1" applyBorder="1" applyAlignment="1"/>
    <xf numFmtId="0" fontId="100" fillId="0" borderId="2" xfId="0" applyFont="1" applyFill="1" applyBorder="1" applyAlignment="1"/>
    <xf numFmtId="0" fontId="100" fillId="0" borderId="10" xfId="0" applyFont="1" applyFill="1" applyBorder="1" applyAlignment="1">
      <alignment horizontal="left" vertical="center"/>
    </xf>
    <xf numFmtId="0" fontId="104" fillId="0" borderId="2" xfId="0" applyFont="1" applyFill="1" applyBorder="1" applyAlignment="1">
      <alignment horizontal="center" vertical="center"/>
    </xf>
    <xf numFmtId="49" fontId="105" fillId="15" borderId="2" xfId="0" applyNumberFormat="1" applyFont="1" applyFill="1" applyBorder="1" applyAlignment="1">
      <alignment horizontal="left" vertical="center" wrapText="1"/>
    </xf>
    <xf numFmtId="0" fontId="104" fillId="0" borderId="2" xfId="0" applyFont="1" applyFill="1" applyBorder="1" applyAlignment="1">
      <alignment vertical="center" wrapText="1"/>
    </xf>
    <xf numFmtId="0" fontId="104" fillId="0" borderId="2" xfId="0" applyFont="1" applyFill="1" applyBorder="1" applyAlignment="1">
      <alignment horizontal="center" vertical="center" wrapText="1"/>
    </xf>
    <xf numFmtId="0" fontId="105" fillId="0" borderId="2" xfId="0" applyFont="1" applyFill="1" applyBorder="1" applyAlignment="1">
      <alignment horizontal="center" vertical="center"/>
    </xf>
    <xf numFmtId="0" fontId="106" fillId="0" borderId="2" xfId="0" applyFont="1" applyFill="1" applyBorder="1" applyAlignment="1">
      <alignment horizontal="center" vertical="center"/>
    </xf>
    <xf numFmtId="49" fontId="107" fillId="15" borderId="2" xfId="0" applyNumberFormat="1" applyFont="1" applyFill="1" applyBorder="1" applyAlignment="1">
      <alignment horizontal="left" vertical="center" wrapText="1"/>
    </xf>
    <xf numFmtId="49" fontId="102" fillId="0" borderId="2" xfId="0" applyNumberFormat="1" applyFont="1" applyFill="1" applyBorder="1" applyAlignment="1">
      <alignment horizontal="left" vertical="center" wrapText="1"/>
    </xf>
    <xf numFmtId="0" fontId="100" fillId="0" borderId="2" xfId="0" applyFont="1" applyFill="1" applyBorder="1" applyAlignment="1">
      <alignment horizontal="center" vertical="center" wrapText="1"/>
    </xf>
    <xf numFmtId="0" fontId="108" fillId="16" borderId="2" xfId="0" applyFont="1" applyFill="1" applyBorder="1" applyAlignment="1">
      <alignment vertical="center"/>
    </xf>
    <xf numFmtId="0" fontId="99" fillId="0" borderId="2" xfId="0" applyFont="1" applyFill="1" applyBorder="1" applyAlignment="1">
      <alignment vertical="center" wrapText="1"/>
    </xf>
    <xf numFmtId="0" fontId="99" fillId="16" borderId="2" xfId="0" applyFont="1" applyFill="1" applyBorder="1" applyAlignment="1">
      <alignment vertical="center"/>
    </xf>
    <xf numFmtId="0" fontId="99" fillId="16" borderId="3" xfId="0" applyFont="1" applyFill="1" applyBorder="1" applyAlignment="1">
      <alignment horizontal="left" vertical="center"/>
    </xf>
    <xf numFmtId="0" fontId="99" fillId="0" borderId="3" xfId="0" applyFont="1" applyFill="1" applyBorder="1" applyAlignment="1">
      <alignment horizontal="left" vertical="center" wrapText="1"/>
    </xf>
    <xf numFmtId="0" fontId="99" fillId="0" borderId="2" xfId="0" applyFont="1" applyFill="1" applyBorder="1" applyAlignment="1">
      <alignment horizontal="left" vertical="center" wrapText="1"/>
    </xf>
    <xf numFmtId="0" fontId="99" fillId="0" borderId="3" xfId="0" applyFont="1" applyFill="1" applyBorder="1" applyAlignment="1">
      <alignment vertical="center"/>
    </xf>
    <xf numFmtId="0" fontId="99" fillId="16" borderId="3" xfId="0" applyFont="1" applyFill="1" applyBorder="1" applyAlignment="1">
      <alignment vertical="center"/>
    </xf>
    <xf numFmtId="0" fontId="99" fillId="0" borderId="3" xfId="0" applyFont="1" applyFill="1" applyBorder="1" applyAlignment="1">
      <alignment vertical="center" wrapText="1"/>
    </xf>
    <xf numFmtId="0" fontId="34" fillId="0" borderId="2" xfId="0" applyFont="1" applyFill="1" applyBorder="1" applyAlignment="1">
      <alignment vertical="center"/>
    </xf>
    <xf numFmtId="0" fontId="109" fillId="16" borderId="2" xfId="0" applyFont="1" applyFill="1" applyBorder="1" applyAlignment="1">
      <alignment horizontal="center" vertical="center"/>
    </xf>
    <xf numFmtId="2" fontId="0" fillId="2" borderId="2" xfId="0" applyNumberFormat="1" applyFont="1" applyFill="1" applyBorder="1" applyAlignment="1">
      <alignment horizontal="center" vertical="center"/>
    </xf>
    <xf numFmtId="0" fontId="34" fillId="0" borderId="2" xfId="0" applyFont="1" applyFill="1" applyBorder="1" applyAlignment="1">
      <alignment horizontal="center" vertical="center"/>
    </xf>
    <xf numFmtId="0" fontId="34" fillId="0" borderId="5" xfId="0" applyFont="1" applyFill="1" applyBorder="1" applyAlignment="1">
      <alignment horizontal="center" vertical="center"/>
    </xf>
    <xf numFmtId="0" fontId="110" fillId="0" borderId="2" xfId="0" applyFont="1" applyFill="1" applyBorder="1" applyAlignment="1">
      <alignment horizontal="center" vertical="center"/>
    </xf>
    <xf numFmtId="49" fontId="99" fillId="17" borderId="2" xfId="0" applyNumberFormat="1" applyFont="1" applyFill="1" applyBorder="1" applyAlignment="1">
      <alignment horizontal="left" vertical="center" wrapText="1"/>
    </xf>
    <xf numFmtId="49" fontId="102" fillId="17" borderId="2" xfId="0" applyNumberFormat="1" applyFont="1" applyFill="1" applyBorder="1" applyAlignment="1">
      <alignment horizontal="left" vertical="center" wrapText="1"/>
    </xf>
    <xf numFmtId="0" fontId="99" fillId="17" borderId="2" xfId="0" applyFont="1" applyFill="1" applyBorder="1" applyAlignment="1">
      <alignment horizontal="left" vertical="center"/>
    </xf>
    <xf numFmtId="0" fontId="32" fillId="0" borderId="2" xfId="0" applyFont="1" applyFill="1" applyBorder="1" applyAlignment="1">
      <alignment horizontal="center" vertical="center"/>
    </xf>
    <xf numFmtId="0" fontId="102" fillId="17" borderId="2" xfId="0" applyFont="1" applyFill="1" applyBorder="1" applyAlignment="1">
      <alignment horizontal="left" vertical="center"/>
    </xf>
    <xf numFmtId="0" fontId="100" fillId="0" borderId="2" xfId="0" applyFont="1" applyFill="1" applyBorder="1" applyAlignment="1">
      <alignment horizontal="center" vertical="top"/>
    </xf>
    <xf numFmtId="0" fontId="100" fillId="0" borderId="2" xfId="0" applyFont="1" applyFill="1" applyBorder="1" applyAlignment="1">
      <alignment vertical="top" wrapText="1"/>
    </xf>
    <xf numFmtId="49" fontId="99" fillId="18" borderId="2" xfId="0" applyNumberFormat="1" applyFont="1" applyFill="1" applyBorder="1" applyAlignment="1">
      <alignment horizontal="left" vertical="center" wrapText="1"/>
    </xf>
    <xf numFmtId="0" fontId="99" fillId="2" borderId="2" xfId="0" applyFont="1" applyFill="1" applyBorder="1" applyAlignment="1">
      <alignment horizontal="center" vertical="center"/>
    </xf>
    <xf numFmtId="0" fontId="99" fillId="2" borderId="2" xfId="0" applyFont="1" applyFill="1" applyBorder="1" applyAlignment="1">
      <alignment vertical="center" wrapText="1"/>
    </xf>
    <xf numFmtId="0" fontId="99" fillId="0" borderId="2" xfId="0" applyFont="1" applyFill="1" applyBorder="1" applyAlignment="1">
      <alignment horizontal="center" vertical="center" wrapText="1"/>
    </xf>
    <xf numFmtId="0" fontId="100" fillId="0" borderId="3" xfId="0" applyFont="1" applyFill="1" applyBorder="1" applyAlignment="1">
      <alignment horizontal="center" vertical="center"/>
    </xf>
    <xf numFmtId="49" fontId="102" fillId="18" borderId="2" xfId="0" applyNumberFormat="1" applyFont="1" applyFill="1" applyBorder="1" applyAlignment="1">
      <alignment horizontal="left" vertical="center" wrapText="1"/>
    </xf>
    <xf numFmtId="49" fontId="102" fillId="18" borderId="3" xfId="0" applyNumberFormat="1" applyFont="1" applyFill="1" applyBorder="1" applyAlignment="1">
      <alignment vertical="center" wrapText="1"/>
    </xf>
    <xf numFmtId="49" fontId="102" fillId="18" borderId="3" xfId="0" applyNumberFormat="1" applyFont="1" applyFill="1" applyBorder="1" applyAlignment="1">
      <alignment horizontal="left" vertical="center" wrapText="1"/>
    </xf>
    <xf numFmtId="49" fontId="99" fillId="19" borderId="2" xfId="0" applyNumberFormat="1" applyFont="1" applyFill="1" applyBorder="1" applyAlignment="1">
      <alignment horizontal="left" vertical="center" wrapText="1"/>
    </xf>
    <xf numFmtId="0" fontId="34" fillId="0" borderId="2" xfId="0" applyFont="1" applyFill="1" applyBorder="1" applyAlignment="1">
      <alignment horizontal="center" vertical="center" wrapText="1"/>
    </xf>
    <xf numFmtId="0" fontId="34" fillId="0" borderId="5" xfId="0" applyFont="1" applyFill="1" applyBorder="1" applyAlignment="1">
      <alignment horizontal="center" vertical="center" wrapText="1"/>
    </xf>
    <xf numFmtId="0" fontId="99" fillId="20" borderId="2" xfId="0" applyFont="1" applyFill="1" applyBorder="1" applyAlignment="1">
      <alignment vertical="center"/>
    </xf>
    <xf numFmtId="169" fontId="100" fillId="0" borderId="2" xfId="0" applyNumberFormat="1" applyFont="1" applyFill="1" applyBorder="1" applyAlignment="1">
      <alignment horizontal="center" vertical="center"/>
    </xf>
    <xf numFmtId="0" fontId="102" fillId="21" borderId="3" xfId="0" applyFont="1" applyFill="1" applyBorder="1" applyAlignment="1">
      <alignment horizontal="left" vertical="center"/>
    </xf>
    <xf numFmtId="0" fontId="99" fillId="21" borderId="2" xfId="0" applyFont="1" applyFill="1" applyBorder="1" applyAlignment="1">
      <alignment vertical="center"/>
    </xf>
    <xf numFmtId="0" fontId="102" fillId="21" borderId="2" xfId="0" applyFont="1" applyFill="1" applyBorder="1" applyAlignment="1">
      <alignment vertical="center"/>
    </xf>
    <xf numFmtId="0" fontId="100" fillId="0" borderId="2" xfId="0" applyFont="1" applyFill="1" applyBorder="1" applyAlignment="1">
      <alignment horizontal="left" vertical="center" wrapText="1"/>
    </xf>
    <xf numFmtId="0" fontId="100" fillId="0" borderId="10" xfId="0" applyFont="1" applyFill="1" applyBorder="1" applyAlignment="1">
      <alignment horizontal="center" vertical="center"/>
    </xf>
    <xf numFmtId="0" fontId="100" fillId="0" borderId="10" xfId="0" applyFont="1" applyFill="1" applyBorder="1" applyAlignment="1">
      <alignment horizontal="left" vertical="center" wrapText="1"/>
    </xf>
    <xf numFmtId="49" fontId="99" fillId="22" borderId="2" xfId="0" applyNumberFormat="1" applyFont="1" applyFill="1" applyBorder="1" applyAlignment="1">
      <alignment horizontal="left" vertical="center" wrapText="1"/>
    </xf>
    <xf numFmtId="49" fontId="102" fillId="22" borderId="2" xfId="0" applyNumberFormat="1" applyFont="1" applyFill="1" applyBorder="1" applyAlignment="1">
      <alignment horizontal="left" vertical="center" wrapText="1"/>
    </xf>
    <xf numFmtId="0" fontId="102" fillId="22" borderId="2" xfId="0" applyFont="1" applyFill="1" applyBorder="1" applyAlignment="1">
      <alignment vertical="top"/>
    </xf>
    <xf numFmtId="0" fontId="100" fillId="0" borderId="5" xfId="0" applyFont="1" applyFill="1" applyBorder="1" applyAlignment="1">
      <alignment horizontal="center" vertical="top"/>
    </xf>
    <xf numFmtId="0" fontId="99" fillId="23" borderId="2" xfId="0" applyFont="1" applyFill="1" applyBorder="1" applyAlignment="1">
      <alignment horizontal="left" vertical="center"/>
    </xf>
    <xf numFmtId="0" fontId="100" fillId="0" borderId="2" xfId="0" applyFont="1" applyFill="1" applyBorder="1" applyAlignment="1">
      <alignment wrapText="1"/>
    </xf>
    <xf numFmtId="0" fontId="102" fillId="23" borderId="2" xfId="0" applyFont="1" applyFill="1" applyBorder="1" applyAlignment="1">
      <alignment vertical="center"/>
    </xf>
    <xf numFmtId="0" fontId="99" fillId="23" borderId="3" xfId="0" applyFont="1" applyFill="1" applyBorder="1" applyAlignment="1">
      <alignment horizontal="left" vertical="center"/>
    </xf>
    <xf numFmtId="0" fontId="99" fillId="23" borderId="3" xfId="0" applyFont="1" applyFill="1" applyBorder="1" applyAlignment="1">
      <alignment vertical="center"/>
    </xf>
    <xf numFmtId="0" fontId="99" fillId="0" borderId="3" xfId="0" applyFont="1" applyFill="1" applyBorder="1" applyAlignment="1">
      <alignment horizontal="center" vertical="center" wrapText="1"/>
    </xf>
    <xf numFmtId="2" fontId="100" fillId="0" borderId="3" xfId="0" applyNumberFormat="1" applyFont="1" applyFill="1" applyBorder="1" applyAlignment="1">
      <alignment horizontal="center" vertical="center"/>
    </xf>
    <xf numFmtId="0" fontId="34" fillId="0" borderId="3" xfId="0" applyFont="1" applyFill="1" applyBorder="1" applyAlignment="1">
      <alignment horizontal="center" vertical="center"/>
    </xf>
    <xf numFmtId="0" fontId="34" fillId="0" borderId="11" xfId="0" applyFont="1" applyFill="1" applyBorder="1" applyAlignment="1">
      <alignment horizontal="center" vertical="center"/>
    </xf>
    <xf numFmtId="49" fontId="99" fillId="24" borderId="2" xfId="0" applyNumberFormat="1" applyFont="1" applyFill="1" applyBorder="1" applyAlignment="1">
      <alignment horizontal="left" vertical="center" wrapText="1"/>
    </xf>
    <xf numFmtId="0" fontId="99" fillId="0" borderId="10" xfId="0" applyFont="1" applyFill="1" applyBorder="1" applyAlignment="1">
      <alignment horizontal="center" vertical="center"/>
    </xf>
    <xf numFmtId="49" fontId="99" fillId="0" borderId="2" xfId="0" applyNumberFormat="1" applyFont="1" applyFill="1" applyBorder="1" applyAlignment="1">
      <alignment horizontal="left" vertical="center" wrapText="1"/>
    </xf>
    <xf numFmtId="0" fontId="111" fillId="0" borderId="2" xfId="0" applyFont="1" applyFill="1" applyBorder="1" applyAlignment="1">
      <alignment horizontal="center" vertical="center"/>
    </xf>
    <xf numFmtId="169" fontId="111" fillId="0" borderId="2" xfId="0" applyNumberFormat="1" applyFont="1" applyFill="1" applyBorder="1" applyAlignment="1">
      <alignment horizontal="center" vertical="center"/>
    </xf>
    <xf numFmtId="0" fontId="99" fillId="0" borderId="0" xfId="0" applyFont="1" applyFill="1" applyBorder="1" applyAlignment="1">
      <alignment horizontal="center" vertical="center"/>
    </xf>
    <xf numFmtId="49" fontId="102" fillId="0" borderId="0" xfId="0" applyNumberFormat="1" applyFont="1" applyFill="1" applyBorder="1" applyAlignment="1">
      <alignment horizontal="left" vertical="center" wrapText="1"/>
    </xf>
    <xf numFmtId="0" fontId="99" fillId="0" borderId="0" xfId="0" applyFont="1" applyFill="1" applyBorder="1" applyAlignment="1">
      <alignment vertical="center" wrapText="1"/>
    </xf>
    <xf numFmtId="2" fontId="100" fillId="2" borderId="0" xfId="0" applyNumberFormat="1" applyFont="1" applyFill="1" applyBorder="1" applyAlignment="1">
      <alignment horizontal="center" vertical="center"/>
    </xf>
    <xf numFmtId="2" fontId="99" fillId="0" borderId="0" xfId="0" applyNumberFormat="1" applyFont="1" applyFill="1" applyBorder="1" applyAlignment="1">
      <alignment horizontal="center" vertical="center"/>
    </xf>
    <xf numFmtId="0" fontId="113" fillId="2" borderId="2" xfId="0" applyFont="1" applyFill="1" applyBorder="1" applyAlignment="1">
      <alignment vertical="center"/>
    </xf>
    <xf numFmtId="0" fontId="97" fillId="2" borderId="2" xfId="0" applyFont="1" applyFill="1" applyBorder="1" applyAlignment="1">
      <alignment vertical="center"/>
    </xf>
    <xf numFmtId="0" fontId="113" fillId="2" borderId="5" xfId="0" applyFont="1" applyFill="1" applyBorder="1" applyAlignment="1">
      <alignment vertical="center"/>
    </xf>
    <xf numFmtId="0" fontId="113" fillId="2" borderId="5" xfId="0" applyFont="1" applyFill="1" applyBorder="1" applyAlignment="1">
      <alignment horizontal="center" vertical="center"/>
    </xf>
    <xf numFmtId="0" fontId="113" fillId="2" borderId="2" xfId="0" applyFont="1" applyFill="1" applyBorder="1" applyAlignment="1">
      <alignment horizontal="center" vertical="center"/>
    </xf>
    <xf numFmtId="49" fontId="105" fillId="25" borderId="2" xfId="0" applyNumberFormat="1" applyFont="1" applyFill="1" applyBorder="1" applyAlignment="1">
      <alignment horizontal="left" vertical="center" wrapText="1"/>
    </xf>
    <xf numFmtId="2" fontId="0" fillId="0" borderId="2" xfId="0" applyNumberFormat="1" applyFont="1" applyFill="1" applyBorder="1" applyAlignment="1">
      <alignment horizontal="center" vertical="center"/>
    </xf>
    <xf numFmtId="0" fontId="113" fillId="0" borderId="2" xfId="0" applyFont="1" applyFill="1" applyBorder="1" applyAlignment="1">
      <alignment horizontal="center" vertical="center" wrapText="1"/>
    </xf>
    <xf numFmtId="0" fontId="105" fillId="25" borderId="2" xfId="0" applyFont="1" applyFill="1" applyBorder="1" applyAlignment="1">
      <alignment horizontal="left" vertical="center"/>
    </xf>
    <xf numFmtId="0" fontId="0" fillId="0" borderId="0" xfId="0" applyFont="1" applyFill="1" applyBorder="1" applyAlignment="1">
      <alignment horizontal="center" vertical="center"/>
    </xf>
    <xf numFmtId="0" fontId="0" fillId="0" borderId="0" xfId="0" applyFont="1" applyFill="1" applyBorder="1" applyAlignment="1">
      <alignment vertical="center"/>
    </xf>
    <xf numFmtId="0" fontId="110" fillId="0" borderId="0" xfId="0" applyFont="1" applyFill="1" applyBorder="1" applyAlignment="1">
      <alignment horizontal="center" vertical="center"/>
    </xf>
    <xf numFmtId="0" fontId="45" fillId="0" borderId="0" xfId="0" applyFont="1" applyFill="1" applyBorder="1" applyAlignment="1">
      <alignment horizontal="center" vertical="center"/>
    </xf>
    <xf numFmtId="0" fontId="45" fillId="0" borderId="0" xfId="0" applyFont="1" applyFill="1" applyAlignment="1">
      <alignment horizontal="center" vertical="center"/>
    </xf>
    <xf numFmtId="0" fontId="0" fillId="0" borderId="0" xfId="0" applyFont="1" applyFill="1" applyAlignment="1">
      <alignment horizontal="center" vertical="center"/>
    </xf>
    <xf numFmtId="0" fontId="114" fillId="0" borderId="0" xfId="0" applyFont="1" applyAlignment="1">
      <alignment vertical="center" wrapText="1"/>
    </xf>
    <xf numFmtId="0" fontId="116" fillId="2" borderId="9" xfId="0" applyFont="1" applyFill="1" applyBorder="1" applyAlignment="1">
      <alignment vertical="center" wrapText="1"/>
    </xf>
    <xf numFmtId="0" fontId="117" fillId="0" borderId="9" xfId="0" applyFont="1" applyBorder="1" applyAlignment="1">
      <alignment vertical="center" wrapText="1"/>
    </xf>
    <xf numFmtId="0" fontId="117" fillId="0" borderId="9" xfId="0" applyFont="1" applyBorder="1" applyAlignment="1">
      <alignment horizontal="center" vertical="center" wrapText="1"/>
    </xf>
    <xf numFmtId="0" fontId="119" fillId="0" borderId="19" xfId="0" applyFont="1" applyBorder="1" applyAlignment="1">
      <alignment horizontal="center" vertical="center"/>
    </xf>
    <xf numFmtId="0" fontId="119" fillId="0" borderId="19" xfId="0" applyFont="1" applyBorder="1" applyAlignment="1">
      <alignment horizontal="center" vertical="center" wrapText="1"/>
    </xf>
    <xf numFmtId="0" fontId="119" fillId="0" borderId="2" xfId="0" applyFont="1" applyBorder="1" applyAlignment="1">
      <alignment horizontal="center" vertical="center" wrapText="1"/>
    </xf>
    <xf numFmtId="0" fontId="119" fillId="0" borderId="10" xfId="0" applyFont="1" applyBorder="1" applyAlignment="1">
      <alignment horizontal="center" vertical="center" wrapText="1"/>
    </xf>
    <xf numFmtId="0" fontId="24" fillId="2" borderId="2" xfId="0" applyFont="1" applyFill="1" applyBorder="1" applyAlignment="1">
      <alignment horizontal="center" vertical="center"/>
    </xf>
    <xf numFmtId="0" fontId="24" fillId="0" borderId="2" xfId="0" applyFont="1" applyBorder="1" applyAlignment="1">
      <alignment vertical="center" wrapText="1"/>
    </xf>
    <xf numFmtId="0" fontId="24" fillId="17" borderId="2" xfId="0" applyFont="1" applyFill="1" applyBorder="1" applyAlignment="1">
      <alignment horizontal="center" vertical="center"/>
    </xf>
    <xf numFmtId="2" fontId="24" fillId="0" borderId="2" xfId="0" applyNumberFormat="1" applyFont="1" applyBorder="1" applyAlignment="1">
      <alignment horizontal="center" vertical="center"/>
    </xf>
    <xf numFmtId="2" fontId="120" fillId="2" borderId="2" xfId="0" applyNumberFormat="1" applyFont="1" applyFill="1" applyBorder="1" applyAlignment="1">
      <alignment horizontal="center" vertical="center"/>
    </xf>
    <xf numFmtId="0" fontId="24" fillId="2" borderId="10" xfId="0" applyFont="1" applyFill="1" applyBorder="1" applyAlignment="1">
      <alignment horizontal="center" vertical="center"/>
    </xf>
    <xf numFmtId="2" fontId="24" fillId="0" borderId="2" xfId="0" applyNumberFormat="1" applyFont="1" applyFill="1" applyBorder="1" applyAlignment="1">
      <alignment horizontal="center" vertical="center"/>
    </xf>
    <xf numFmtId="0" fontId="24" fillId="2" borderId="5" xfId="0" applyFont="1" applyFill="1" applyBorder="1" applyAlignment="1">
      <alignment horizontal="left" vertical="center"/>
    </xf>
    <xf numFmtId="0" fontId="121" fillId="17" borderId="2" xfId="0" applyFont="1" applyFill="1" applyBorder="1" applyAlignment="1">
      <alignment horizontal="center" vertical="center"/>
    </xf>
    <xf numFmtId="2" fontId="24" fillId="2" borderId="2" xfId="0" applyNumberFormat="1" applyFont="1" applyFill="1" applyBorder="1" applyAlignment="1">
      <alignment horizontal="center" vertical="center"/>
    </xf>
    <xf numFmtId="0" fontId="0" fillId="3" borderId="5" xfId="0" applyFill="1" applyBorder="1"/>
    <xf numFmtId="0" fontId="24" fillId="0" borderId="2" xfId="0" applyFont="1" applyBorder="1" applyAlignment="1">
      <alignment horizontal="left" wrapText="1"/>
    </xf>
    <xf numFmtId="0" fontId="0" fillId="17" borderId="2" xfId="0" applyFill="1" applyBorder="1"/>
    <xf numFmtId="2" fontId="24" fillId="2" borderId="6" xfId="0" applyNumberFormat="1" applyFont="1" applyFill="1" applyBorder="1" applyAlignment="1">
      <alignment horizontal="center" vertical="center"/>
    </xf>
    <xf numFmtId="0" fontId="23" fillId="2" borderId="5" xfId="0" applyFont="1" applyFill="1" applyBorder="1" applyAlignment="1"/>
    <xf numFmtId="0" fontId="121" fillId="20" borderId="2" xfId="0" applyFont="1" applyFill="1" applyBorder="1" applyAlignment="1">
      <alignment horizontal="center" vertical="center"/>
    </xf>
    <xf numFmtId="0" fontId="122" fillId="0" borderId="2" xfId="0" applyFont="1" applyBorder="1" applyAlignment="1">
      <alignment horizontal="center" vertical="center"/>
    </xf>
    <xf numFmtId="49" fontId="9" fillId="0" borderId="2" xfId="0" applyNumberFormat="1" applyFont="1" applyBorder="1" applyAlignment="1">
      <alignment horizontal="center" vertical="center" wrapText="1"/>
    </xf>
    <xf numFmtId="0" fontId="120" fillId="0" borderId="2" xfId="0" applyFont="1" applyBorder="1" applyAlignment="1">
      <alignment vertical="top" wrapText="1"/>
    </xf>
    <xf numFmtId="0" fontId="120" fillId="0" borderId="2" xfId="0" applyFont="1" applyBorder="1" applyAlignment="1">
      <alignment horizontal="center" vertical="top"/>
    </xf>
    <xf numFmtId="0" fontId="120" fillId="0" borderId="2" xfId="0" applyFont="1" applyBorder="1" applyAlignment="1">
      <alignment horizontal="center" vertical="center" wrapText="1"/>
    </xf>
    <xf numFmtId="0" fontId="120" fillId="0" borderId="2" xfId="0" applyFont="1" applyBorder="1" applyAlignment="1">
      <alignment horizontal="center" vertical="center"/>
    </xf>
    <xf numFmtId="0" fontId="120" fillId="2" borderId="2" xfId="0" applyFont="1" applyFill="1" applyBorder="1" applyAlignment="1">
      <alignment horizontal="center" vertical="center"/>
    </xf>
    <xf numFmtId="0" fontId="120" fillId="2" borderId="2" xfId="0" applyFont="1" applyFill="1" applyBorder="1"/>
    <xf numFmtId="0" fontId="120" fillId="20" borderId="2" xfId="0" applyFont="1" applyFill="1" applyBorder="1" applyAlignment="1">
      <alignment horizontal="center" vertical="center"/>
    </xf>
    <xf numFmtId="1" fontId="120" fillId="2" borderId="2" xfId="0" applyNumberFormat="1" applyFont="1" applyFill="1" applyBorder="1" applyAlignment="1">
      <alignment horizontal="center" vertical="center"/>
    </xf>
    <xf numFmtId="49" fontId="120" fillId="0" borderId="6" xfId="0" applyNumberFormat="1" applyFont="1" applyBorder="1" applyAlignment="1">
      <alignment horizontal="center" vertical="center" wrapText="1"/>
    </xf>
    <xf numFmtId="0" fontId="120" fillId="0" borderId="2" xfId="0" applyFont="1" applyBorder="1" applyAlignment="1">
      <alignment vertical="center" wrapText="1"/>
    </xf>
    <xf numFmtId="0" fontId="120" fillId="0" borderId="2" xfId="0" applyFont="1" applyBorder="1" applyAlignment="1">
      <alignment horizontal="center"/>
    </xf>
    <xf numFmtId="0" fontId="120" fillId="0" borderId="2" xfId="0" applyFont="1" applyBorder="1"/>
    <xf numFmtId="0" fontId="123" fillId="0" borderId="2" xfId="0" applyFont="1" applyBorder="1" applyAlignment="1">
      <alignment horizontal="center" vertical="center" wrapText="1"/>
    </xf>
    <xf numFmtId="2" fontId="120" fillId="0" borderId="2" xfId="0" applyNumberFormat="1" applyFont="1" applyBorder="1" applyAlignment="1">
      <alignment horizontal="center" vertical="center"/>
    </xf>
    <xf numFmtId="0" fontId="24" fillId="0" borderId="5" xfId="0" applyFont="1" applyBorder="1" applyAlignment="1">
      <alignment wrapText="1"/>
    </xf>
    <xf numFmtId="0" fontId="24" fillId="0" borderId="2" xfId="0" applyFont="1" applyBorder="1" applyAlignment="1">
      <alignment wrapText="1"/>
    </xf>
    <xf numFmtId="2" fontId="118" fillId="2" borderId="2" xfId="0" applyNumberFormat="1" applyFont="1" applyFill="1" applyBorder="1" applyAlignment="1">
      <alignment horizontal="center" vertical="center"/>
    </xf>
    <xf numFmtId="0" fontId="124" fillId="2" borderId="2" xfId="0" applyFont="1" applyFill="1" applyBorder="1" applyAlignment="1">
      <alignment horizontal="center" vertical="center"/>
    </xf>
    <xf numFmtId="49" fontId="9" fillId="0" borderId="6" xfId="0" applyNumberFormat="1" applyFont="1" applyBorder="1" applyAlignment="1">
      <alignment horizontal="center" vertical="center" wrapText="1"/>
    </xf>
    <xf numFmtId="0" fontId="125" fillId="2" borderId="2" xfId="0" applyFont="1" applyFill="1" applyBorder="1" applyAlignment="1">
      <alignment horizontal="center" vertical="center"/>
    </xf>
    <xf numFmtId="0" fontId="120" fillId="2" borderId="10" xfId="0" applyFont="1" applyFill="1" applyBorder="1" applyAlignment="1">
      <alignment horizontal="center" vertical="center"/>
    </xf>
    <xf numFmtId="0" fontId="123" fillId="0" borderId="2" xfId="0" applyFont="1" applyBorder="1" applyAlignment="1">
      <alignment horizontal="center" vertical="center"/>
    </xf>
    <xf numFmtId="0" fontId="120" fillId="3" borderId="2" xfId="0" applyFont="1" applyFill="1" applyBorder="1" applyAlignment="1">
      <alignment horizontal="center" vertical="center"/>
    </xf>
    <xf numFmtId="0" fontId="24" fillId="0" borderId="5" xfId="0" applyFont="1" applyBorder="1" applyAlignment="1">
      <alignment horizontal="left" wrapText="1"/>
    </xf>
    <xf numFmtId="0" fontId="24" fillId="3" borderId="2" xfId="0" applyFont="1" applyFill="1" applyBorder="1" applyAlignment="1">
      <alignment horizontal="center" wrapText="1"/>
    </xf>
    <xf numFmtId="0" fontId="121" fillId="2" borderId="2" xfId="0" applyFont="1" applyFill="1" applyBorder="1"/>
    <xf numFmtId="0" fontId="121" fillId="3" borderId="2" xfId="0" applyFont="1" applyFill="1" applyBorder="1" applyAlignment="1">
      <alignment horizontal="center" vertical="center"/>
    </xf>
    <xf numFmtId="0" fontId="120" fillId="2" borderId="2" xfId="0" applyFont="1" applyFill="1" applyBorder="1" applyAlignment="1">
      <alignment vertical="center"/>
    </xf>
    <xf numFmtId="0" fontId="120" fillId="0" borderId="2" xfId="0" applyFont="1" applyBorder="1" applyAlignment="1">
      <alignment wrapText="1"/>
    </xf>
    <xf numFmtId="1" fontId="120" fillId="0" borderId="2" xfId="0" applyNumberFormat="1" applyFont="1" applyBorder="1" applyAlignment="1">
      <alignment horizontal="center" vertical="center"/>
    </xf>
    <xf numFmtId="2" fontId="120" fillId="3" borderId="2" xfId="0" applyNumberFormat="1" applyFont="1" applyFill="1" applyBorder="1" applyAlignment="1">
      <alignment horizontal="center" vertical="center"/>
    </xf>
    <xf numFmtId="0" fontId="80" fillId="0" borderId="0" xfId="0" applyFont="1" applyAlignment="1">
      <alignment wrapText="1"/>
    </xf>
    <xf numFmtId="0" fontId="80" fillId="3" borderId="2" xfId="0" applyFont="1" applyFill="1" applyBorder="1" applyAlignment="1">
      <alignment horizontal="center" vertical="center"/>
    </xf>
    <xf numFmtId="0" fontId="120" fillId="0" borderId="2" xfId="0" applyFont="1" applyFill="1" applyBorder="1" applyAlignment="1">
      <alignment vertical="top" wrapText="1"/>
    </xf>
    <xf numFmtId="0" fontId="120" fillId="0" borderId="2" xfId="0" applyFont="1" applyFill="1" applyBorder="1" applyAlignment="1">
      <alignment horizontal="center" vertical="center"/>
    </xf>
    <xf numFmtId="0" fontId="120" fillId="0" borderId="0" xfId="0" applyFont="1" applyFill="1" applyBorder="1" applyAlignment="1">
      <alignment vertical="top" wrapText="1"/>
    </xf>
    <xf numFmtId="0" fontId="80" fillId="0" borderId="2" xfId="0" applyFont="1" applyFill="1" applyBorder="1" applyAlignment="1">
      <alignment horizontal="center" vertical="center"/>
    </xf>
    <xf numFmtId="0" fontId="120" fillId="0" borderId="3" xfId="0" applyFont="1" applyBorder="1" applyAlignment="1">
      <alignment wrapText="1"/>
    </xf>
    <xf numFmtId="2" fontId="24" fillId="0" borderId="2" xfId="0" applyNumberFormat="1" applyFont="1" applyBorder="1" applyAlignment="1">
      <alignment horizontal="center"/>
    </xf>
    <xf numFmtId="2" fontId="120" fillId="0" borderId="2" xfId="0" applyNumberFormat="1" applyFont="1" applyBorder="1" applyAlignment="1">
      <alignment horizontal="center"/>
    </xf>
    <xf numFmtId="0" fontId="24" fillId="0" borderId="0" xfId="0" applyFont="1" applyAlignment="1">
      <alignment horizontal="center"/>
    </xf>
    <xf numFmtId="0" fontId="120" fillId="0" borderId="0" xfId="0" applyFont="1" applyBorder="1" applyAlignment="1">
      <alignment textRotation="90" wrapText="1"/>
    </xf>
    <xf numFmtId="2" fontId="24" fillId="0" borderId="2" xfId="0" applyNumberFormat="1" applyFont="1" applyBorder="1" applyAlignment="1">
      <alignment horizontal="center" textRotation="90"/>
    </xf>
    <xf numFmtId="0" fontId="126" fillId="2" borderId="2" xfId="0" applyFont="1" applyFill="1" applyBorder="1" applyAlignment="1">
      <alignment horizontal="right" vertical="center"/>
    </xf>
    <xf numFmtId="0" fontId="126" fillId="0" borderId="2" xfId="0" applyFont="1" applyBorder="1" applyAlignment="1">
      <alignment horizontal="center" vertical="center"/>
    </xf>
    <xf numFmtId="0" fontId="127" fillId="3" borderId="6" xfId="0" applyFont="1" applyFill="1" applyBorder="1" applyAlignment="1">
      <alignment horizontal="center" vertical="center"/>
    </xf>
    <xf numFmtId="0" fontId="126" fillId="3" borderId="2" xfId="0" applyFont="1" applyFill="1" applyBorder="1" applyAlignment="1">
      <alignment horizontal="center" vertical="center"/>
    </xf>
    <xf numFmtId="0" fontId="126" fillId="3" borderId="2" xfId="0" applyFont="1" applyFill="1" applyBorder="1" applyAlignment="1">
      <alignment horizontal="right" vertical="center"/>
    </xf>
    <xf numFmtId="4" fontId="118" fillId="3" borderId="2" xfId="0" applyNumberFormat="1" applyFont="1" applyFill="1" applyBorder="1" applyAlignment="1">
      <alignment horizontal="center" vertical="center"/>
    </xf>
    <xf numFmtId="0" fontId="126" fillId="2" borderId="0" xfId="0" applyFont="1" applyFill="1" applyAlignment="1">
      <alignment horizontal="right" vertical="center"/>
    </xf>
    <xf numFmtId="0" fontId="126" fillId="0" borderId="0" xfId="0" applyFont="1" applyAlignment="1">
      <alignment horizontal="center" vertical="center"/>
    </xf>
    <xf numFmtId="0" fontId="126" fillId="2" borderId="0" xfId="0" applyFont="1" applyFill="1" applyAlignment="1">
      <alignment horizontal="right" vertical="center" wrapText="1"/>
    </xf>
    <xf numFmtId="0" fontId="126" fillId="2" borderId="0" xfId="0" applyFont="1" applyFill="1" applyAlignment="1">
      <alignment horizontal="center" vertical="center"/>
    </xf>
    <xf numFmtId="2" fontId="118" fillId="2" borderId="0" xfId="0" applyNumberFormat="1" applyFont="1" applyFill="1" applyAlignment="1">
      <alignment horizontal="center"/>
    </xf>
    <xf numFmtId="0" fontId="129" fillId="0" borderId="2" xfId="0" applyFont="1" applyBorder="1" applyAlignment="1">
      <alignment horizontal="center" vertical="center"/>
    </xf>
    <xf numFmtId="0" fontId="127" fillId="19" borderId="6" xfId="0" applyFont="1" applyFill="1" applyBorder="1" applyAlignment="1">
      <alignment horizontal="center" vertical="center"/>
    </xf>
    <xf numFmtId="0" fontId="126" fillId="19" borderId="2" xfId="0" applyFont="1" applyFill="1" applyBorder="1" applyAlignment="1">
      <alignment horizontal="center" vertical="center"/>
    </xf>
    <xf numFmtId="0" fontId="126" fillId="19" borderId="2" xfId="0" applyFont="1" applyFill="1" applyBorder="1" applyAlignment="1">
      <alignment vertical="center"/>
    </xf>
    <xf numFmtId="4" fontId="118" fillId="19" borderId="2" xfId="0" applyNumberFormat="1" applyFont="1" applyFill="1" applyBorder="1" applyAlignment="1">
      <alignment horizontal="center" vertical="center"/>
    </xf>
    <xf numFmtId="0" fontId="118" fillId="2" borderId="11" xfId="0" applyFont="1" applyFill="1" applyBorder="1" applyAlignment="1">
      <alignment vertical="center" wrapText="1"/>
    </xf>
    <xf numFmtId="0" fontId="118" fillId="2" borderId="15" xfId="0" applyFont="1" applyFill="1" applyBorder="1" applyAlignment="1">
      <alignment vertical="center" wrapText="1"/>
    </xf>
    <xf numFmtId="0" fontId="118" fillId="2" borderId="14" xfId="0" applyFont="1" applyFill="1" applyBorder="1" applyAlignment="1">
      <alignment vertical="center" wrapText="1"/>
    </xf>
    <xf numFmtId="0" fontId="118" fillId="2" borderId="19" xfId="0" applyFont="1" applyFill="1" applyBorder="1" applyAlignment="1">
      <alignment vertical="center" wrapText="1"/>
    </xf>
    <xf numFmtId="0" fontId="124" fillId="2" borderId="10" xfId="0" applyFont="1" applyFill="1" applyBorder="1" applyAlignment="1">
      <alignment horizontal="center" vertical="center"/>
    </xf>
    <xf numFmtId="0" fontId="120" fillId="2" borderId="14" xfId="0" applyFont="1" applyFill="1" applyBorder="1" applyAlignment="1">
      <alignment horizontal="center" vertical="center"/>
    </xf>
    <xf numFmtId="0" fontId="120" fillId="0" borderId="4" xfId="0" applyFont="1" applyBorder="1" applyAlignment="1">
      <alignment vertical="top" wrapText="1"/>
    </xf>
    <xf numFmtId="0" fontId="120" fillId="0" borderId="4" xfId="0" applyFont="1" applyBorder="1" applyAlignment="1">
      <alignment horizontal="center"/>
    </xf>
    <xf numFmtId="0" fontId="120" fillId="0" borderId="6" xfId="0" applyFont="1" applyBorder="1" applyAlignment="1">
      <alignment horizontal="center" vertical="center"/>
    </xf>
    <xf numFmtId="0" fontId="120" fillId="0" borderId="5" xfId="0" applyFont="1" applyBorder="1" applyAlignment="1">
      <alignment horizontal="center" vertical="center"/>
    </xf>
    <xf numFmtId="0" fontId="0" fillId="0" borderId="4" xfId="0" applyBorder="1" applyAlignment="1">
      <alignment horizontal="center" vertical="center"/>
    </xf>
    <xf numFmtId="0" fontId="0" fillId="0" borderId="4" xfId="0" applyBorder="1"/>
    <xf numFmtId="0" fontId="130" fillId="0" borderId="2" xfId="0" applyFont="1" applyBorder="1" applyAlignment="1">
      <alignment horizontal="justify" vertical="top" wrapText="1"/>
    </xf>
    <xf numFmtId="0" fontId="1" fillId="0" borderId="2" xfId="0" applyFont="1" applyBorder="1" applyAlignment="1">
      <alignment horizontal="center"/>
    </xf>
    <xf numFmtId="0" fontId="131" fillId="0" borderId="2" xfId="0" applyFont="1" applyBorder="1" applyAlignment="1">
      <alignment horizontal="justify" vertical="center" wrapText="1"/>
    </xf>
    <xf numFmtId="0" fontId="2" fillId="0" borderId="2" xfId="0" applyFont="1" applyBorder="1" applyAlignment="1">
      <alignment horizontal="center" vertical="center"/>
    </xf>
    <xf numFmtId="0" fontId="2" fillId="0" borderId="2" xfId="0" applyFont="1" applyBorder="1" applyAlignment="1">
      <alignment horizontal="left" vertical="top" wrapText="1"/>
    </xf>
    <xf numFmtId="0" fontId="18" fillId="0" borderId="2" xfId="0" applyFont="1" applyBorder="1" applyAlignment="1">
      <alignment horizontal="center" wrapText="1"/>
    </xf>
    <xf numFmtId="0" fontId="19" fillId="0" borderId="2" xfId="0" applyFont="1" applyBorder="1" applyAlignment="1">
      <alignment horizontal="left"/>
    </xf>
    <xf numFmtId="0" fontId="19" fillId="0" borderId="4" xfId="0" applyFont="1" applyBorder="1"/>
    <xf numFmtId="0" fontId="19" fillId="0" borderId="6" xfId="0" applyFont="1" applyBorder="1"/>
    <xf numFmtId="0" fontId="1" fillId="0" borderId="2" xfId="0" applyFont="1" applyBorder="1" applyAlignment="1">
      <alignment horizontal="center" vertical="center"/>
    </xf>
    <xf numFmtId="0" fontId="23" fillId="0" borderId="2" xfId="0" applyFont="1" applyBorder="1" applyAlignment="1">
      <alignment vertical="center" wrapText="1"/>
    </xf>
    <xf numFmtId="0" fontId="1" fillId="0" borderId="2" xfId="0" applyFont="1" applyBorder="1" applyAlignment="1">
      <alignment horizontal="center" wrapText="1"/>
    </xf>
    <xf numFmtId="2" fontId="1" fillId="0" borderId="2" xfId="0" applyNumberFormat="1" applyFont="1" applyBorder="1" applyAlignment="1">
      <alignment horizontal="center" wrapText="1"/>
    </xf>
    <xf numFmtId="0" fontId="11" fillId="2" borderId="2" xfId="0" applyFont="1" applyFill="1" applyBorder="1" applyAlignment="1">
      <alignment horizontal="center" vertical="center"/>
    </xf>
    <xf numFmtId="0" fontId="23" fillId="0" borderId="10" xfId="0" applyFont="1" applyBorder="1" applyAlignment="1">
      <alignment vertical="top" wrapText="1"/>
    </xf>
    <xf numFmtId="0" fontId="1" fillId="0" borderId="2" xfId="0" applyFont="1" applyBorder="1" applyAlignment="1">
      <alignment horizontal="center" vertical="center" wrapText="1"/>
    </xf>
    <xf numFmtId="2" fontId="1" fillId="0" borderId="2" xfId="0" applyNumberFormat="1" applyFont="1" applyBorder="1" applyAlignment="1">
      <alignment horizontal="center" vertical="center" wrapText="1"/>
    </xf>
    <xf numFmtId="0" fontId="57" fillId="0" borderId="2" xfId="0" applyFont="1" applyBorder="1" applyAlignment="1">
      <alignment horizontal="center" vertical="center" wrapText="1"/>
    </xf>
    <xf numFmtId="2" fontId="57" fillId="0" borderId="2" xfId="0" applyNumberFormat="1" applyFont="1" applyBorder="1" applyAlignment="1">
      <alignment horizontal="center" vertical="center" wrapText="1"/>
    </xf>
    <xf numFmtId="0" fontId="23" fillId="0" borderId="2" xfId="0" applyFont="1" applyBorder="1" applyAlignment="1">
      <alignment horizontal="left" vertical="top" wrapText="1"/>
    </xf>
    <xf numFmtId="0" fontId="70" fillId="0" borderId="2" xfId="0" applyFont="1" applyBorder="1" applyAlignment="1">
      <alignment horizontal="center" vertical="center"/>
    </xf>
    <xf numFmtId="0" fontId="23" fillId="0" borderId="2" xfId="0" applyFont="1" applyBorder="1" applyAlignment="1">
      <alignment horizontal="left" wrapText="1"/>
    </xf>
    <xf numFmtId="0" fontId="57" fillId="0" borderId="2" xfId="0" applyFont="1" applyBorder="1" applyAlignment="1">
      <alignment horizontal="center" wrapText="1"/>
    </xf>
    <xf numFmtId="2" fontId="57" fillId="0" borderId="2" xfId="0" applyNumberFormat="1" applyFont="1" applyBorder="1" applyAlignment="1">
      <alignment horizontal="center" wrapText="1"/>
    </xf>
    <xf numFmtId="0" fontId="23" fillId="0" borderId="2" xfId="0" applyFont="1" applyBorder="1" applyAlignment="1">
      <alignment wrapText="1"/>
    </xf>
    <xf numFmtId="0" fontId="19" fillId="0" borderId="2" xfId="0" applyFont="1" applyBorder="1" applyAlignment="1">
      <alignment horizontal="left" vertical="top" wrapText="1"/>
    </xf>
    <xf numFmtId="0" fontId="23" fillId="0" borderId="2" xfId="0" applyFont="1" applyBorder="1" applyAlignment="1">
      <alignment vertical="top" wrapText="1"/>
    </xf>
    <xf numFmtId="0" fontId="1" fillId="2" borderId="2" xfId="0" applyFont="1" applyFill="1" applyBorder="1" applyAlignment="1">
      <alignment horizontal="center"/>
    </xf>
    <xf numFmtId="0" fontId="3" fillId="0" borderId="10" xfId="0" applyFont="1" applyBorder="1" applyAlignment="1">
      <alignment vertical="top" wrapText="1"/>
    </xf>
    <xf numFmtId="0" fontId="0" fillId="0" borderId="5" xfId="0" applyBorder="1" applyAlignment="1">
      <alignment vertical="top" wrapText="1"/>
    </xf>
    <xf numFmtId="0" fontId="0" fillId="0" borderId="5" xfId="0" applyBorder="1" applyAlignment="1">
      <alignment wrapText="1"/>
    </xf>
    <xf numFmtId="2" fontId="1" fillId="0" borderId="2" xfId="0" applyNumberFormat="1" applyFont="1" applyBorder="1" applyAlignment="1">
      <alignment horizontal="center" vertical="center"/>
    </xf>
    <xf numFmtId="1" fontId="11" fillId="0" borderId="2" xfId="0" applyNumberFormat="1" applyFont="1" applyBorder="1" applyAlignment="1">
      <alignment horizontal="center" vertical="center"/>
    </xf>
    <xf numFmtId="0" fontId="3" fillId="0" borderId="10" xfId="0" applyFont="1" applyBorder="1" applyAlignment="1">
      <alignment vertical="center" wrapText="1"/>
    </xf>
    <xf numFmtId="0" fontId="3" fillId="0" borderId="10" xfId="0" applyFont="1" applyBorder="1" applyAlignment="1">
      <alignment vertical="center"/>
    </xf>
    <xf numFmtId="0" fontId="7" fillId="0" borderId="2" xfId="0" applyFont="1" applyBorder="1"/>
    <xf numFmtId="0" fontId="3" fillId="0" borderId="2" xfId="0" applyFont="1" applyBorder="1" applyAlignment="1">
      <alignment horizontal="right" wrapText="1"/>
    </xf>
    <xf numFmtId="0" fontId="11" fillId="0" borderId="2" xfId="0" applyFont="1" applyBorder="1" applyAlignment="1">
      <alignment horizontal="center"/>
    </xf>
    <xf numFmtId="2" fontId="83" fillId="0" borderId="2" xfId="0" applyNumberFormat="1" applyFont="1" applyBorder="1" applyAlignment="1">
      <alignment horizontal="center"/>
    </xf>
    <xf numFmtId="2" fontId="11" fillId="0" borderId="2" xfId="0" applyNumberFormat="1" applyFont="1" applyBorder="1" applyAlignment="1">
      <alignment horizontal="center"/>
    </xf>
    <xf numFmtId="0" fontId="18" fillId="0" borderId="2" xfId="0" applyFont="1" applyBorder="1" applyAlignment="1">
      <alignment horizontal="center" vertical="center" wrapText="1"/>
    </xf>
    <xf numFmtId="0" fontId="18" fillId="0" borderId="2" xfId="0" applyFont="1" applyBorder="1" applyAlignment="1">
      <alignment vertical="center" wrapText="1"/>
    </xf>
    <xf numFmtId="0" fontId="2" fillId="0" borderId="0" xfId="0" applyFont="1"/>
    <xf numFmtId="0" fontId="57" fillId="0" borderId="2" xfId="0" applyFont="1" applyBorder="1" applyAlignment="1">
      <alignment horizontal="left" vertical="center"/>
    </xf>
    <xf numFmtId="0" fontId="57" fillId="0" borderId="2" xfId="0" applyFont="1" applyBorder="1" applyAlignment="1">
      <alignment horizontal="center" vertical="top" wrapText="1"/>
    </xf>
    <xf numFmtId="2" fontId="2" fillId="0" borderId="2" xfId="0" applyNumberFormat="1" applyFont="1" applyBorder="1" applyAlignment="1">
      <alignment horizontal="center" vertical="center" wrapText="1"/>
    </xf>
    <xf numFmtId="0" fontId="18" fillId="0" borderId="6" xfId="0" applyFont="1" applyBorder="1" applyAlignment="1">
      <alignment horizontal="center" vertical="center" wrapText="1"/>
    </xf>
    <xf numFmtId="2" fontId="2" fillId="0" borderId="2" xfId="0" applyNumberFormat="1" applyFont="1" applyBorder="1" applyAlignment="1">
      <alignment horizontal="center" vertical="center"/>
    </xf>
    <xf numFmtId="0" fontId="2" fillId="3" borderId="2" xfId="0" applyFont="1" applyFill="1" applyBorder="1" applyAlignment="1">
      <alignment horizontal="center" vertical="center"/>
    </xf>
    <xf numFmtId="2" fontId="18" fillId="0" borderId="2" xfId="0" applyNumberFormat="1" applyFont="1" applyBorder="1" applyAlignment="1">
      <alignment horizontal="center" vertical="center" wrapText="1"/>
    </xf>
    <xf numFmtId="0" fontId="2" fillId="0" borderId="2" xfId="0" applyFont="1" applyBorder="1" applyAlignment="1">
      <alignment horizontal="left"/>
    </xf>
    <xf numFmtId="0" fontId="2" fillId="2" borderId="2" xfId="0" applyFont="1" applyFill="1" applyBorder="1" applyAlignment="1">
      <alignment vertical="top" wrapText="1"/>
    </xf>
    <xf numFmtId="0" fontId="2" fillId="0" borderId="2" xfId="0" applyFont="1" applyBorder="1" applyAlignment="1">
      <alignment wrapText="1"/>
    </xf>
    <xf numFmtId="164" fontId="2" fillId="0" borderId="2" xfId="0" applyNumberFormat="1" applyFont="1" applyBorder="1" applyAlignment="1">
      <alignment horizontal="center" vertical="center" wrapText="1"/>
    </xf>
    <xf numFmtId="0" fontId="57" fillId="2" borderId="2" xfId="0" applyFont="1" applyFill="1" applyBorder="1" applyAlignment="1">
      <alignment horizontal="center" wrapText="1"/>
    </xf>
    <xf numFmtId="0" fontId="57" fillId="0" borderId="2" xfId="0" applyFont="1" applyBorder="1" applyAlignment="1">
      <alignment horizontal="left" vertical="center" wrapText="1"/>
    </xf>
    <xf numFmtId="0" fontId="57" fillId="2" borderId="2" xfId="0" applyFont="1" applyFill="1" applyBorder="1" applyAlignment="1">
      <alignment vertical="center"/>
    </xf>
    <xf numFmtId="0" fontId="18" fillId="3" borderId="2" xfId="0" applyFont="1" applyFill="1" applyBorder="1" applyAlignment="1">
      <alignment horizontal="center" vertical="center"/>
    </xf>
    <xf numFmtId="0" fontId="2" fillId="0" borderId="2" xfId="0" applyFont="1" applyBorder="1" applyAlignment="1">
      <alignment horizontal="center"/>
    </xf>
    <xf numFmtId="0" fontId="2" fillId="0" borderId="2" xfId="0" applyFont="1" applyBorder="1"/>
    <xf numFmtId="0" fontId="2" fillId="0" borderId="2" xfId="0" applyFont="1" applyBorder="1" applyAlignment="1">
      <alignment horizontal="left" wrapText="1"/>
    </xf>
    <xf numFmtId="0" fontId="57" fillId="0" borderId="2" xfId="0" applyFont="1" applyBorder="1" applyAlignment="1">
      <alignment vertical="center"/>
    </xf>
    <xf numFmtId="0" fontId="2" fillId="0" borderId="2" xfId="0" applyFont="1" applyBorder="1" applyAlignment="1">
      <alignment vertical="center"/>
    </xf>
    <xf numFmtId="0" fontId="57" fillId="2" borderId="2" xfId="0" applyFont="1" applyFill="1" applyBorder="1" applyAlignment="1">
      <alignment horizontal="left" vertical="center" wrapText="1"/>
    </xf>
    <xf numFmtId="0" fontId="57" fillId="2" borderId="2" xfId="0" applyFont="1" applyFill="1" applyBorder="1" applyAlignment="1">
      <alignment horizontal="left" vertical="center"/>
    </xf>
    <xf numFmtId="0" fontId="18" fillId="0" borderId="15" xfId="0" applyFont="1" applyBorder="1" applyAlignment="1">
      <alignment horizontal="center" vertical="center"/>
    </xf>
    <xf numFmtId="0" fontId="18" fillId="0" borderId="2" xfId="0" applyFont="1" applyBorder="1" applyAlignment="1">
      <alignment horizontal="justify" vertical="justify" wrapText="1"/>
    </xf>
    <xf numFmtId="0" fontId="18" fillId="0" borderId="2" xfId="0" applyFont="1" applyBorder="1" applyAlignment="1">
      <alignment horizontal="center" vertical="justify"/>
    </xf>
    <xf numFmtId="0" fontId="131" fillId="0" borderId="2" xfId="0" applyFont="1" applyBorder="1" applyAlignment="1">
      <alignment horizontal="justify" vertical="center"/>
    </xf>
    <xf numFmtId="0" fontId="57" fillId="3" borderId="2" xfId="0" applyFont="1" applyFill="1" applyBorder="1" applyAlignment="1">
      <alignment horizontal="center" vertical="center" wrapText="1"/>
    </xf>
    <xf numFmtId="0" fontId="57" fillId="2" borderId="2" xfId="0" applyFont="1" applyFill="1" applyBorder="1" applyAlignment="1">
      <alignment vertical="center" wrapText="1"/>
    </xf>
    <xf numFmtId="165" fontId="18" fillId="0" borderId="2" xfId="0" applyNumberFormat="1" applyFont="1" applyBorder="1" applyAlignment="1">
      <alignment horizontal="center" vertical="center" wrapText="1"/>
    </xf>
    <xf numFmtId="0" fontId="18" fillId="0" borderId="2" xfId="0" applyFont="1" applyBorder="1" applyAlignment="1">
      <alignment wrapText="1"/>
    </xf>
    <xf numFmtId="0" fontId="18" fillId="0" borderId="2" xfId="0" applyFont="1" applyBorder="1" applyAlignment="1">
      <alignment vertical="top" wrapText="1"/>
    </xf>
    <xf numFmtId="0" fontId="57" fillId="0" borderId="2" xfId="0" applyFont="1" applyBorder="1" applyAlignment="1">
      <alignment vertical="center" wrapText="1"/>
    </xf>
    <xf numFmtId="0" fontId="58" fillId="2" borderId="2" xfId="0" applyFont="1" applyFill="1" applyBorder="1" applyAlignment="1">
      <alignment horizontal="center" vertical="center" wrapText="1"/>
    </xf>
    <xf numFmtId="0" fontId="18" fillId="0" borderId="6" xfId="0" applyFont="1" applyBorder="1" applyAlignment="1">
      <alignment horizontal="center" wrapText="1"/>
    </xf>
    <xf numFmtId="0" fontId="18" fillId="0" borderId="2" xfId="0" applyFont="1" applyBorder="1"/>
    <xf numFmtId="2" fontId="18" fillId="0" borderId="2" xfId="0" applyNumberFormat="1" applyFont="1" applyBorder="1" applyAlignment="1">
      <alignment horizontal="center"/>
    </xf>
    <xf numFmtId="2" fontId="23" fillId="0" borderId="2" xfId="0" applyNumberFormat="1" applyFont="1" applyBorder="1"/>
    <xf numFmtId="2" fontId="18" fillId="0" borderId="2" xfId="0" applyNumberFormat="1" applyFont="1" applyBorder="1"/>
    <xf numFmtId="0" fontId="11" fillId="0" borderId="5" xfId="0" applyFont="1" applyBorder="1" applyAlignment="1">
      <alignment horizontal="center" vertical="center"/>
    </xf>
    <xf numFmtId="0" fontId="11" fillId="0" borderId="4" xfId="0" applyFont="1" applyBorder="1" applyAlignment="1">
      <alignment horizontal="center" vertical="center"/>
    </xf>
    <xf numFmtId="0" fontId="11" fillId="0" borderId="6" xfId="0" applyFont="1" applyBorder="1" applyAlignment="1">
      <alignment horizontal="center" vertical="center"/>
    </xf>
    <xf numFmtId="0" fontId="11" fillId="0" borderId="3"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2" xfId="0" applyFont="1" applyBorder="1" applyAlignment="1">
      <alignment horizontal="left"/>
    </xf>
    <xf numFmtId="0" fontId="11" fillId="0" borderId="5" xfId="0" applyFont="1" applyBorder="1" applyAlignment="1">
      <alignment horizontal="left"/>
    </xf>
    <xf numFmtId="0" fontId="11" fillId="0" borderId="4" xfId="0" applyFont="1" applyBorder="1" applyAlignment="1">
      <alignment horizontal="left"/>
    </xf>
    <xf numFmtId="0" fontId="11" fillId="0" borderId="6" xfId="0" applyFont="1" applyBorder="1" applyAlignment="1">
      <alignment horizontal="left"/>
    </xf>
    <xf numFmtId="0" fontId="11" fillId="0" borderId="2" xfId="0" applyFont="1" applyBorder="1" applyAlignment="1">
      <alignment horizontal="center" vertical="center" wrapText="1"/>
    </xf>
    <xf numFmtId="0" fontId="11" fillId="0" borderId="2" xfId="0" applyFont="1" applyBorder="1" applyAlignment="1">
      <alignment horizontal="center" vertical="center"/>
    </xf>
    <xf numFmtId="0" fontId="11" fillId="0" borderId="3" xfId="0" applyFont="1" applyBorder="1" applyAlignment="1">
      <alignment horizontal="center"/>
    </xf>
    <xf numFmtId="0" fontId="11" fillId="0" borderId="10" xfId="0" applyFont="1" applyBorder="1" applyAlignment="1">
      <alignment horizontal="center"/>
    </xf>
    <xf numFmtId="0" fontId="11" fillId="0" borderId="3" xfId="0" applyFont="1" applyBorder="1" applyAlignment="1">
      <alignment horizontal="center" wrapText="1"/>
    </xf>
    <xf numFmtId="0" fontId="11" fillId="0" borderId="10" xfId="0" applyFont="1" applyBorder="1" applyAlignment="1">
      <alignment horizontal="center" wrapText="1"/>
    </xf>
    <xf numFmtId="0" fontId="18" fillId="0" borderId="5"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2" xfId="0" applyFont="1" applyBorder="1" applyAlignment="1">
      <alignment horizontal="center" wrapText="1"/>
    </xf>
    <xf numFmtId="0" fontId="18" fillId="0" borderId="2" xfId="0" applyFont="1" applyBorder="1" applyAlignment="1">
      <alignment horizontal="center" vertical="center"/>
    </xf>
    <xf numFmtId="0" fontId="68" fillId="0" borderId="12" xfId="0" applyFont="1" applyBorder="1" applyAlignment="1">
      <alignment horizontal="center" vertical="top" wrapText="1"/>
    </xf>
    <xf numFmtId="0" fontId="68" fillId="0" borderId="15" xfId="0" applyFont="1" applyBorder="1" applyAlignment="1">
      <alignment horizontal="center" vertical="top" wrapText="1"/>
    </xf>
    <xf numFmtId="2" fontId="119" fillId="0" borderId="3" xfId="0" applyNumberFormat="1" applyFont="1" applyBorder="1" applyAlignment="1">
      <alignment horizontal="center" vertical="center" wrapText="1"/>
    </xf>
    <xf numFmtId="2" fontId="119" fillId="0" borderId="10" xfId="0" applyNumberFormat="1" applyFont="1" applyBorder="1" applyAlignment="1">
      <alignment horizontal="center" vertical="center" wrapText="1"/>
    </xf>
    <xf numFmtId="0" fontId="118" fillId="2" borderId="5" xfId="0" applyFont="1" applyFill="1" applyBorder="1" applyAlignment="1">
      <alignment horizontal="center" vertical="center"/>
    </xf>
    <xf numFmtId="0" fontId="118" fillId="2" borderId="4" xfId="0" applyFont="1" applyFill="1" applyBorder="1" applyAlignment="1">
      <alignment horizontal="center" vertical="center"/>
    </xf>
    <xf numFmtId="0" fontId="118" fillId="2" borderId="6" xfId="0" applyFont="1" applyFill="1" applyBorder="1" applyAlignment="1">
      <alignment horizontal="center" vertical="center"/>
    </xf>
    <xf numFmtId="0" fontId="126" fillId="2" borderId="5" xfId="0" applyFont="1" applyFill="1" applyBorder="1" applyAlignment="1">
      <alignment horizontal="center" vertical="center"/>
    </xf>
    <xf numFmtId="0" fontId="126" fillId="2" borderId="4" xfId="0" applyFont="1" applyFill="1" applyBorder="1" applyAlignment="1">
      <alignment horizontal="center" vertical="center"/>
    </xf>
    <xf numFmtId="0" fontId="126" fillId="2" borderId="6" xfId="0" applyFont="1" applyFill="1" applyBorder="1" applyAlignment="1">
      <alignment horizontal="center" vertical="center"/>
    </xf>
    <xf numFmtId="0" fontId="127" fillId="19" borderId="5" xfId="0" applyFont="1" applyFill="1" applyBorder="1" applyAlignment="1">
      <alignment horizontal="center" vertical="center"/>
    </xf>
    <xf numFmtId="0" fontId="127" fillId="19" borderId="4" xfId="0" applyFont="1" applyFill="1" applyBorder="1" applyAlignment="1">
      <alignment horizontal="center" vertical="center"/>
    </xf>
    <xf numFmtId="0" fontId="127" fillId="19" borderId="6" xfId="0" applyFont="1" applyFill="1" applyBorder="1" applyAlignment="1">
      <alignment horizontal="center" vertical="center"/>
    </xf>
    <xf numFmtId="0" fontId="2" fillId="0" borderId="0" xfId="0" applyFont="1" applyAlignment="1">
      <alignment horizontal="left"/>
    </xf>
    <xf numFmtId="0" fontId="128" fillId="19" borderId="5" xfId="0" applyFont="1" applyFill="1" applyBorder="1" applyAlignment="1">
      <alignment horizontal="center" vertical="center"/>
    </xf>
    <xf numFmtId="0" fontId="128" fillId="19" borderId="4" xfId="0" applyFont="1" applyFill="1" applyBorder="1" applyAlignment="1">
      <alignment horizontal="center" vertical="center"/>
    </xf>
    <xf numFmtId="0" fontId="118" fillId="2" borderId="3" xfId="0" applyFont="1" applyFill="1" applyBorder="1" applyAlignment="1">
      <alignment horizontal="center" vertical="center"/>
    </xf>
    <xf numFmtId="0" fontId="118" fillId="2" borderId="10" xfId="0" applyFont="1" applyFill="1" applyBorder="1" applyAlignment="1">
      <alignment horizontal="center" vertical="center"/>
    </xf>
    <xf numFmtId="0" fontId="118" fillId="2" borderId="3" xfId="0" applyFont="1" applyFill="1" applyBorder="1" applyAlignment="1">
      <alignment horizontal="center" vertical="center" wrapText="1"/>
    </xf>
    <xf numFmtId="0" fontId="118" fillId="2" borderId="10" xfId="0" applyFont="1" applyFill="1" applyBorder="1" applyAlignment="1">
      <alignment horizontal="center" vertical="center" wrapText="1"/>
    </xf>
    <xf numFmtId="0" fontId="68" fillId="0" borderId="2" xfId="0" applyFont="1" applyBorder="1" applyAlignment="1">
      <alignment horizontal="center" vertical="top"/>
    </xf>
    <xf numFmtId="0" fontId="68" fillId="0" borderId="11" xfId="0" applyFont="1" applyBorder="1" applyAlignment="1">
      <alignment horizontal="center" vertical="top" wrapText="1"/>
    </xf>
    <xf numFmtId="0" fontId="68" fillId="0" borderId="2" xfId="0" applyFont="1" applyBorder="1" applyAlignment="1">
      <alignment horizontal="center" vertical="top" wrapText="1"/>
    </xf>
    <xf numFmtId="0" fontId="117" fillId="0" borderId="5" xfId="0" applyFont="1" applyBorder="1" applyAlignment="1">
      <alignment horizontal="center" wrapText="1"/>
    </xf>
    <xf numFmtId="0" fontId="117" fillId="0" borderId="4" xfId="0" applyFont="1" applyBorder="1" applyAlignment="1">
      <alignment horizontal="center" wrapText="1"/>
    </xf>
    <xf numFmtId="0" fontId="117" fillId="0" borderId="6" xfId="0" applyFont="1" applyBorder="1" applyAlignment="1">
      <alignment horizontal="center" wrapText="1"/>
    </xf>
    <xf numFmtId="0" fontId="119" fillId="0" borderId="5" xfId="0" applyFont="1" applyBorder="1" applyAlignment="1">
      <alignment horizontal="center" vertical="center" wrapText="1"/>
    </xf>
    <xf numFmtId="0" fontId="119" fillId="0" borderId="4" xfId="0" applyFont="1" applyBorder="1" applyAlignment="1">
      <alignment horizontal="center" vertical="center" wrapText="1"/>
    </xf>
    <xf numFmtId="0" fontId="119" fillId="0" borderId="6" xfId="0" applyFont="1" applyBorder="1" applyAlignment="1">
      <alignment horizontal="center" vertical="center" wrapText="1"/>
    </xf>
    <xf numFmtId="0" fontId="127" fillId="3" borderId="5" xfId="0" applyFont="1" applyFill="1" applyBorder="1" applyAlignment="1">
      <alignment horizontal="center" vertical="center"/>
    </xf>
    <xf numFmtId="0" fontId="127" fillId="3" borderId="4" xfId="0" applyFont="1" applyFill="1" applyBorder="1" applyAlignment="1">
      <alignment horizontal="center" vertical="center"/>
    </xf>
    <xf numFmtId="0" fontId="127" fillId="3" borderId="6" xfId="0" applyFont="1" applyFill="1" applyBorder="1" applyAlignment="1">
      <alignment horizontal="center" vertical="center"/>
    </xf>
    <xf numFmtId="0" fontId="128" fillId="19" borderId="2" xfId="0" applyFont="1" applyFill="1" applyBorder="1" applyAlignment="1">
      <alignment horizontal="center" vertical="center"/>
    </xf>
    <xf numFmtId="0" fontId="5" fillId="0" borderId="0" xfId="0" applyFont="1" applyAlignment="1">
      <alignment horizontal="left"/>
    </xf>
    <xf numFmtId="0" fontId="5" fillId="0" borderId="9" xfId="0" applyFont="1" applyBorder="1" applyAlignment="1">
      <alignment horizontal="left"/>
    </xf>
    <xf numFmtId="0" fontId="111" fillId="0" borderId="5" xfId="0" applyFont="1" applyFill="1" applyBorder="1" applyAlignment="1">
      <alignment horizontal="center" vertical="center"/>
    </xf>
    <xf numFmtId="0" fontId="112" fillId="0" borderId="4" xfId="0" applyFont="1" applyFill="1" applyBorder="1" applyAlignment="1">
      <alignment horizontal="center" vertical="center"/>
    </xf>
    <xf numFmtId="0" fontId="111" fillId="0" borderId="4" xfId="0" applyFont="1" applyFill="1" applyBorder="1" applyAlignment="1">
      <alignment horizontal="center" vertical="center"/>
    </xf>
    <xf numFmtId="0" fontId="111" fillId="0" borderId="6" xfId="0" applyFont="1" applyFill="1" applyBorder="1" applyAlignment="1">
      <alignment horizontal="center" vertical="center"/>
    </xf>
    <xf numFmtId="0" fontId="5" fillId="0" borderId="0" xfId="0" applyFont="1" applyBorder="1" applyAlignment="1">
      <alignment horizontal="left"/>
    </xf>
    <xf numFmtId="0" fontId="115" fillId="2" borderId="9"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10" xfId="0" applyFont="1" applyBorder="1" applyAlignment="1">
      <alignment horizontal="center" vertical="center"/>
    </xf>
    <xf numFmtId="2" fontId="100" fillId="2" borderId="0" xfId="0" applyNumberFormat="1" applyFont="1" applyFill="1" applyAlignment="1">
      <alignment horizontal="center" vertical="center"/>
    </xf>
    <xf numFmtId="0" fontId="98" fillId="12" borderId="2" xfId="0" applyFont="1" applyFill="1" applyBorder="1" applyAlignment="1">
      <alignment horizontal="center" vertical="center"/>
    </xf>
    <xf numFmtId="0" fontId="99" fillId="12" borderId="2" xfId="0" applyFont="1" applyFill="1" applyBorder="1" applyAlignment="1">
      <alignment horizontal="center" vertical="center"/>
    </xf>
    <xf numFmtId="0" fontId="98" fillId="12" borderId="3" xfId="0" applyFont="1" applyFill="1" applyBorder="1" applyAlignment="1">
      <alignment horizontal="center" vertical="center"/>
    </xf>
    <xf numFmtId="0" fontId="98" fillId="12" borderId="10" xfId="0" applyFont="1" applyFill="1" applyBorder="1" applyAlignment="1">
      <alignment horizontal="center" vertical="center"/>
    </xf>
    <xf numFmtId="0" fontId="98" fillId="12" borderId="3" xfId="0" applyFont="1" applyFill="1" applyBorder="1" applyAlignment="1">
      <alignment horizontal="center" vertical="center" wrapText="1"/>
    </xf>
    <xf numFmtId="0" fontId="98" fillId="12" borderId="10" xfId="0" applyFont="1" applyFill="1" applyBorder="1" applyAlignment="1">
      <alignment horizontal="center" vertical="center" wrapText="1"/>
    </xf>
    <xf numFmtId="0" fontId="100" fillId="12" borderId="5" xfId="0" applyFont="1" applyFill="1" applyBorder="1" applyAlignment="1">
      <alignment horizontal="center" vertical="center"/>
    </xf>
    <xf numFmtId="0" fontId="100" fillId="12" borderId="6" xfId="0" applyFont="1" applyFill="1" applyBorder="1" applyAlignment="1">
      <alignment horizontal="center" vertical="center"/>
    </xf>
    <xf numFmtId="0" fontId="100" fillId="12" borderId="5" xfId="0" applyFont="1" applyFill="1" applyBorder="1" applyAlignment="1">
      <alignment horizontal="center" vertical="center" wrapText="1"/>
    </xf>
    <xf numFmtId="0" fontId="100" fillId="12" borderId="6" xfId="0" applyFont="1" applyFill="1" applyBorder="1" applyAlignment="1">
      <alignment horizontal="center" vertical="center" wrapText="1"/>
    </xf>
    <xf numFmtId="0" fontId="100" fillId="12" borderId="4" xfId="0" applyFont="1" applyFill="1" applyBorder="1" applyAlignment="1">
      <alignment horizontal="center" vertical="center"/>
    </xf>
    <xf numFmtId="0" fontId="98" fillId="12" borderId="5" xfId="0" applyFont="1" applyFill="1" applyBorder="1" applyAlignment="1">
      <alignment horizontal="center" vertical="center"/>
    </xf>
    <xf numFmtId="0" fontId="98" fillId="12" borderId="4" xfId="0" applyFont="1" applyFill="1" applyBorder="1" applyAlignment="1">
      <alignment horizontal="center" vertical="center"/>
    </xf>
    <xf numFmtId="0" fontId="99" fillId="0" borderId="3" xfId="0" applyFont="1" applyFill="1" applyBorder="1" applyAlignment="1">
      <alignment horizontal="center" vertical="center"/>
    </xf>
    <xf numFmtId="0" fontId="99" fillId="0" borderId="7" xfId="0" applyFont="1" applyFill="1" applyBorder="1" applyAlignment="1">
      <alignment horizontal="center" vertical="center"/>
    </xf>
    <xf numFmtId="0" fontId="99" fillId="0" borderId="3" xfId="0" applyFont="1" applyFill="1" applyBorder="1" applyAlignment="1">
      <alignment horizontal="left" vertical="center" wrapText="1"/>
    </xf>
    <xf numFmtId="0" fontId="99" fillId="0" borderId="7" xfId="0" applyFont="1" applyFill="1" applyBorder="1" applyAlignment="1">
      <alignment horizontal="left" vertical="center" wrapText="1"/>
    </xf>
    <xf numFmtId="0" fontId="100" fillId="0" borderId="3" xfId="0" applyFont="1" applyFill="1" applyBorder="1" applyAlignment="1">
      <alignment horizontal="center" vertical="center"/>
    </xf>
    <xf numFmtId="0" fontId="100" fillId="0" borderId="10" xfId="0" applyFont="1" applyFill="1" applyBorder="1" applyAlignment="1">
      <alignment horizontal="center" vertical="center"/>
    </xf>
    <xf numFmtId="0" fontId="100" fillId="0" borderId="3" xfId="0" applyFont="1" applyFill="1" applyBorder="1" applyAlignment="1">
      <alignment horizontal="left" vertical="center" wrapText="1"/>
    </xf>
    <xf numFmtId="0" fontId="100" fillId="0" borderId="7" xfId="0" applyFont="1" applyFill="1" applyBorder="1" applyAlignment="1">
      <alignment horizontal="left" vertical="center" wrapText="1"/>
    </xf>
    <xf numFmtId="0" fontId="100" fillId="0" borderId="10" xfId="0" applyFont="1" applyFill="1" applyBorder="1" applyAlignment="1">
      <alignment horizontal="left" vertical="center" wrapText="1"/>
    </xf>
    <xf numFmtId="0" fontId="99" fillId="0" borderId="10" xfId="0" applyFont="1" applyFill="1" applyBorder="1" applyAlignment="1">
      <alignment horizontal="center" vertical="center"/>
    </xf>
    <xf numFmtId="0" fontId="99" fillId="23" borderId="3" xfId="0" applyFont="1" applyFill="1" applyBorder="1" applyAlignment="1">
      <alignment horizontal="left" vertical="center"/>
    </xf>
    <xf numFmtId="0" fontId="99" fillId="23" borderId="10" xfId="0" applyFont="1" applyFill="1" applyBorder="1" applyAlignment="1">
      <alignment horizontal="left" vertical="center"/>
    </xf>
    <xf numFmtId="0" fontId="99" fillId="0" borderId="10" xfId="0" applyFont="1" applyFill="1" applyBorder="1" applyAlignment="1">
      <alignment horizontal="left" vertical="center" wrapText="1"/>
    </xf>
    <xf numFmtId="0" fontId="99" fillId="0" borderId="2" xfId="0" applyFont="1" applyFill="1" applyBorder="1" applyAlignment="1">
      <alignment horizontal="left" vertical="center" wrapText="1"/>
    </xf>
    <xf numFmtId="0" fontId="99" fillId="17" borderId="3" xfId="0" applyFont="1" applyFill="1" applyBorder="1" applyAlignment="1">
      <alignment horizontal="left" vertical="center"/>
    </xf>
    <xf numFmtId="0" fontId="99" fillId="17" borderId="7" xfId="0" applyFont="1" applyFill="1" applyBorder="1" applyAlignment="1">
      <alignment horizontal="left" vertical="center"/>
    </xf>
    <xf numFmtId="0" fontId="99" fillId="17" borderId="10" xfId="0" applyFont="1" applyFill="1" applyBorder="1" applyAlignment="1">
      <alignment horizontal="left" vertical="center"/>
    </xf>
    <xf numFmtId="49" fontId="99" fillId="5" borderId="3" xfId="0" applyNumberFormat="1" applyFont="1" applyFill="1" applyBorder="1" applyAlignment="1">
      <alignment horizontal="left" vertical="center" wrapText="1"/>
    </xf>
    <xf numFmtId="49" fontId="99" fillId="5" borderId="7" xfId="0" applyNumberFormat="1" applyFont="1" applyFill="1" applyBorder="1" applyAlignment="1">
      <alignment horizontal="left" vertical="center" wrapText="1"/>
    </xf>
    <xf numFmtId="49" fontId="99" fillId="5" borderId="10" xfId="0" applyNumberFormat="1" applyFont="1" applyFill="1" applyBorder="1" applyAlignment="1">
      <alignment horizontal="left" vertical="center" wrapText="1"/>
    </xf>
    <xf numFmtId="0" fontId="100" fillId="0" borderId="3" xfId="0" applyFont="1" applyFill="1" applyBorder="1" applyAlignment="1">
      <alignment horizontal="left" vertical="center"/>
    </xf>
    <xf numFmtId="0" fontId="100" fillId="0" borderId="10" xfId="0" applyFont="1" applyFill="1" applyBorder="1" applyAlignment="1">
      <alignment horizontal="left" vertical="center"/>
    </xf>
    <xf numFmtId="0" fontId="100" fillId="0" borderId="2" xfId="0" applyFont="1" applyFill="1" applyBorder="1" applyAlignment="1">
      <alignment horizontal="left" vertical="center"/>
    </xf>
    <xf numFmtId="0" fontId="99" fillId="12" borderId="3" xfId="0" applyFont="1" applyFill="1" applyBorder="1" applyAlignment="1">
      <alignment horizontal="center" vertical="center"/>
    </xf>
    <xf numFmtId="0" fontId="99" fillId="12" borderId="10" xfId="0" applyFont="1" applyFill="1" applyBorder="1" applyAlignment="1">
      <alignment horizontal="center" vertical="center"/>
    </xf>
    <xf numFmtId="0" fontId="49" fillId="2" borderId="3" xfId="0" applyFont="1" applyFill="1" applyBorder="1" applyAlignment="1">
      <alignment horizontal="center" vertical="center"/>
    </xf>
    <xf numFmtId="0" fontId="49" fillId="2" borderId="10" xfId="0" applyFont="1" applyFill="1" applyBorder="1" applyAlignment="1">
      <alignment horizontal="center" vertical="center"/>
    </xf>
    <xf numFmtId="0" fontId="49" fillId="2" borderId="11" xfId="0" applyFont="1" applyFill="1" applyBorder="1" applyAlignment="1">
      <alignment horizontal="center" vertical="center"/>
    </xf>
    <xf numFmtId="0" fontId="49" fillId="2" borderId="14" xfId="0" applyFont="1" applyFill="1" applyBorder="1" applyAlignment="1">
      <alignment horizontal="center" vertical="center"/>
    </xf>
    <xf numFmtId="0" fontId="19" fillId="2" borderId="5" xfId="0" applyFont="1" applyFill="1" applyBorder="1" applyAlignment="1">
      <alignment horizontal="center" vertical="center"/>
    </xf>
    <xf numFmtId="0" fontId="19" fillId="2" borderId="4" xfId="0" applyFont="1" applyFill="1" applyBorder="1" applyAlignment="1">
      <alignment horizontal="center" vertical="center"/>
    </xf>
    <xf numFmtId="0" fontId="19" fillId="2" borderId="6" xfId="0" applyFont="1" applyFill="1" applyBorder="1" applyAlignment="1">
      <alignment horizontal="center" vertical="center"/>
    </xf>
    <xf numFmtId="0" fontId="19" fillId="2" borderId="3" xfId="0" applyFont="1" applyFill="1" applyBorder="1" applyAlignment="1">
      <alignment horizontal="center" vertical="center" wrapText="1"/>
    </xf>
    <xf numFmtId="0" fontId="19" fillId="2" borderId="10" xfId="0" applyFont="1" applyFill="1" applyBorder="1" applyAlignment="1">
      <alignment horizontal="center" vertical="center" wrapText="1"/>
    </xf>
    <xf numFmtId="0" fontId="30" fillId="2" borderId="0" xfId="0" applyFont="1" applyFill="1" applyAlignment="1">
      <alignment horizontal="center" vertical="center"/>
    </xf>
    <xf numFmtId="0" fontId="95" fillId="2" borderId="0" xfId="0" applyFont="1" applyFill="1" applyAlignment="1">
      <alignment horizontal="center" vertical="center"/>
    </xf>
    <xf numFmtId="0" fontId="43" fillId="2" borderId="0" xfId="0" applyFont="1" applyFill="1" applyAlignment="1">
      <alignment horizontal="left"/>
    </xf>
    <xf numFmtId="0" fontId="97" fillId="2" borderId="0" xfId="0" applyFont="1" applyFill="1" applyAlignment="1">
      <alignment horizontal="left"/>
    </xf>
    <xf numFmtId="0" fontId="43" fillId="2" borderId="0" xfId="0" applyFont="1" applyFill="1" applyBorder="1" applyAlignment="1">
      <alignment horizontal="left"/>
    </xf>
    <xf numFmtId="0" fontId="97" fillId="2" borderId="0" xfId="0" applyFont="1" applyFill="1" applyBorder="1" applyAlignment="1">
      <alignment horizontal="left"/>
    </xf>
    <xf numFmtId="0" fontId="92" fillId="2" borderId="12" xfId="0" applyFont="1" applyFill="1" applyBorder="1" applyAlignment="1">
      <alignment horizontal="center" vertical="center" wrapText="1"/>
    </xf>
    <xf numFmtId="0" fontId="92" fillId="2" borderId="15" xfId="0" applyFont="1" applyFill="1" applyBorder="1" applyAlignment="1">
      <alignment horizontal="center" vertical="center" wrapText="1"/>
    </xf>
    <xf numFmtId="0" fontId="92" fillId="2" borderId="9" xfId="0" applyFont="1" applyFill="1" applyBorder="1" applyAlignment="1">
      <alignment horizontal="center" vertical="center" wrapText="1"/>
    </xf>
    <xf numFmtId="0" fontId="92" fillId="2" borderId="19" xfId="0" applyFont="1" applyFill="1" applyBorder="1" applyAlignment="1">
      <alignment horizontal="center" vertical="center" wrapText="1"/>
    </xf>
    <xf numFmtId="0" fontId="87" fillId="2" borderId="5" xfId="0" applyFont="1" applyFill="1" applyBorder="1" applyAlignment="1">
      <alignment horizontal="left" vertical="center"/>
    </xf>
    <xf numFmtId="0" fontId="87" fillId="2" borderId="4" xfId="0" applyFont="1" applyFill="1" applyBorder="1" applyAlignment="1">
      <alignment horizontal="left" vertical="center"/>
    </xf>
    <xf numFmtId="0" fontId="27" fillId="2" borderId="5" xfId="0" applyFont="1" applyFill="1" applyBorder="1" applyAlignment="1">
      <alignment horizontal="left" vertical="center"/>
    </xf>
    <xf numFmtId="0" fontId="27" fillId="2" borderId="4" xfId="0" applyFont="1" applyFill="1" applyBorder="1" applyAlignment="1">
      <alignment horizontal="left" vertical="center"/>
    </xf>
    <xf numFmtId="0" fontId="27" fillId="2" borderId="6" xfId="0" applyFont="1" applyFill="1" applyBorder="1" applyAlignment="1">
      <alignment horizontal="left" vertical="center"/>
    </xf>
    <xf numFmtId="0" fontId="87" fillId="2" borderId="12" xfId="0" applyFont="1" applyFill="1" applyBorder="1" applyAlignment="1">
      <alignment horizontal="left" vertical="center"/>
    </xf>
    <xf numFmtId="0" fontId="87" fillId="2" borderId="15" xfId="0" applyFont="1" applyFill="1" applyBorder="1" applyAlignment="1">
      <alignment horizontal="left" vertical="center"/>
    </xf>
    <xf numFmtId="0" fontId="87" fillId="2" borderId="0" xfId="0" applyFont="1" applyFill="1" applyBorder="1" applyAlignment="1">
      <alignment horizontal="left" vertical="center"/>
    </xf>
    <xf numFmtId="0" fontId="87" fillId="2" borderId="16" xfId="0" applyFont="1" applyFill="1" applyBorder="1" applyAlignment="1">
      <alignment horizontal="left" vertical="center"/>
    </xf>
    <xf numFmtId="0" fontId="21" fillId="0" borderId="3" xfId="0" applyFont="1" applyFill="1" applyBorder="1" applyAlignment="1">
      <alignment horizontal="center" vertical="center"/>
    </xf>
    <xf numFmtId="0" fontId="21" fillId="0" borderId="7" xfId="0" applyFont="1" applyFill="1" applyBorder="1" applyAlignment="1">
      <alignment horizontal="center" vertical="center"/>
    </xf>
    <xf numFmtId="0" fontId="21" fillId="0" borderId="10" xfId="0" applyFont="1" applyFill="1" applyBorder="1" applyAlignment="1">
      <alignment horizontal="center" vertical="center"/>
    </xf>
    <xf numFmtId="0" fontId="27" fillId="0" borderId="0" xfId="0" applyFont="1" applyAlignment="1">
      <alignment horizontal="left" vertical="center"/>
    </xf>
    <xf numFmtId="0" fontId="27" fillId="0" borderId="0" xfId="0" applyFont="1" applyAlignment="1">
      <alignment horizontal="left"/>
    </xf>
    <xf numFmtId="0" fontId="81" fillId="0" borderId="9" xfId="0" applyFont="1" applyBorder="1" applyAlignment="1">
      <alignment horizontal="center" vertical="center" wrapText="1"/>
    </xf>
    <xf numFmtId="0" fontId="82" fillId="2" borderId="3" xfId="0" applyFont="1" applyFill="1" applyBorder="1" applyAlignment="1">
      <alignment horizontal="center" vertical="center"/>
    </xf>
    <xf numFmtId="0" fontId="82" fillId="2" borderId="10" xfId="0" applyFont="1" applyFill="1" applyBorder="1" applyAlignment="1">
      <alignment horizontal="center" vertical="center"/>
    </xf>
    <xf numFmtId="0" fontId="82" fillId="2" borderId="11" xfId="0" applyFont="1" applyFill="1" applyBorder="1" applyAlignment="1">
      <alignment horizontal="center" vertical="center"/>
    </xf>
    <xf numFmtId="0" fontId="82" fillId="2" borderId="14" xfId="0" applyFont="1" applyFill="1" applyBorder="1" applyAlignment="1">
      <alignment horizontal="center" vertical="center"/>
    </xf>
    <xf numFmtId="0" fontId="11" fillId="2" borderId="5" xfId="0" applyFont="1" applyFill="1" applyBorder="1" applyAlignment="1">
      <alignment horizontal="center" vertical="center"/>
    </xf>
    <xf numFmtId="0" fontId="11" fillId="2" borderId="4" xfId="0" applyFont="1" applyFill="1" applyBorder="1" applyAlignment="1">
      <alignment horizontal="center" vertical="center"/>
    </xf>
    <xf numFmtId="0" fontId="11" fillId="2" borderId="6" xfId="0" applyFont="1" applyFill="1" applyBorder="1" applyAlignment="1">
      <alignment horizontal="center" vertical="center"/>
    </xf>
    <xf numFmtId="0" fontId="11" fillId="2" borderId="3" xfId="0" applyFont="1" applyFill="1" applyBorder="1" applyAlignment="1">
      <alignment horizontal="center" vertical="center" wrapText="1"/>
    </xf>
    <xf numFmtId="0" fontId="11" fillId="2" borderId="10" xfId="0" applyFont="1" applyFill="1" applyBorder="1" applyAlignment="1">
      <alignment horizontal="center" vertical="center" wrapText="1"/>
    </xf>
    <xf numFmtId="0" fontId="78" fillId="8" borderId="5" xfId="0" applyFont="1" applyFill="1" applyBorder="1" applyAlignment="1">
      <alignment horizontal="center"/>
    </xf>
    <xf numFmtId="0" fontId="78" fillId="8" borderId="6" xfId="0" applyFont="1" applyFill="1" applyBorder="1" applyAlignment="1">
      <alignment horizontal="center"/>
    </xf>
    <xf numFmtId="0" fontId="25" fillId="8" borderId="5" xfId="0" applyFont="1" applyFill="1" applyBorder="1" applyAlignment="1">
      <alignment horizontal="center"/>
    </xf>
    <xf numFmtId="0" fontId="25" fillId="8" borderId="6" xfId="0" applyFont="1" applyFill="1" applyBorder="1" applyAlignment="1">
      <alignment horizontal="center"/>
    </xf>
    <xf numFmtId="0" fontId="21" fillId="0" borderId="3" xfId="0" applyFont="1" applyBorder="1" applyAlignment="1">
      <alignment horizontal="center" vertical="center"/>
    </xf>
    <xf numFmtId="0" fontId="21" fillId="0" borderId="10" xfId="0" applyFont="1" applyBorder="1" applyAlignment="1">
      <alignment horizontal="center" vertical="center"/>
    </xf>
    <xf numFmtId="0" fontId="76" fillId="0" borderId="0" xfId="0" applyFont="1" applyAlignment="1">
      <alignment horizontal="center"/>
    </xf>
    <xf numFmtId="0" fontId="21" fillId="0" borderId="0" xfId="0" applyFont="1" applyAlignment="1">
      <alignment horizontal="left"/>
    </xf>
    <xf numFmtId="0" fontId="0" fillId="0" borderId="0" xfId="0" applyFont="1" applyAlignment="1"/>
    <xf numFmtId="0" fontId="21" fillId="0" borderId="0" xfId="0" applyFont="1" applyBorder="1" applyAlignment="1">
      <alignment horizontal="left"/>
    </xf>
    <xf numFmtId="0" fontId="53" fillId="0" borderId="0" xfId="0" applyFont="1" applyBorder="1"/>
    <xf numFmtId="0" fontId="25" fillId="0" borderId="2" xfId="0" applyFont="1" applyBorder="1" applyAlignment="1">
      <alignment horizontal="center" vertical="center" wrapText="1"/>
    </xf>
    <xf numFmtId="0" fontId="53" fillId="0" borderId="2" xfId="0" applyFont="1" applyBorder="1"/>
    <xf numFmtId="0" fontId="25" fillId="0" borderId="2" xfId="0" applyFont="1" applyBorder="1" applyAlignment="1">
      <alignment horizontal="center" vertical="center"/>
    </xf>
    <xf numFmtId="0" fontId="77" fillId="0" borderId="2" xfId="0" applyFont="1" applyBorder="1" applyAlignment="1">
      <alignment horizontal="center" vertical="center" wrapText="1"/>
    </xf>
    <xf numFmtId="0" fontId="77" fillId="0" borderId="2" xfId="0" applyFont="1" applyBorder="1" applyAlignment="1">
      <alignment horizontal="center" wrapText="1"/>
    </xf>
    <xf numFmtId="0" fontId="18" fillId="0" borderId="0" xfId="0" applyFont="1" applyAlignment="1">
      <alignment horizontal="left" vertical="center"/>
    </xf>
    <xf numFmtId="0" fontId="11" fillId="0" borderId="0" xfId="0" applyFont="1" applyAlignment="1">
      <alignment horizontal="center" vertical="center"/>
    </xf>
    <xf numFmtId="0" fontId="11" fillId="0" borderId="9" xfId="0" applyFont="1" applyBorder="1" applyAlignment="1">
      <alignment horizontal="center" vertical="center"/>
    </xf>
    <xf numFmtId="0" fontId="11" fillId="0" borderId="9" xfId="0" applyFont="1" applyBorder="1" applyAlignment="1">
      <alignment horizontal="left" vertical="center"/>
    </xf>
    <xf numFmtId="0" fontId="2" fillId="0" borderId="0" xfId="0" applyFont="1" applyAlignment="1">
      <alignment horizontal="left" vertical="center"/>
    </xf>
    <xf numFmtId="0" fontId="2" fillId="0" borderId="0" xfId="0" applyFont="1" applyAlignment="1">
      <alignment horizontal="center"/>
    </xf>
    <xf numFmtId="0" fontId="2" fillId="0" borderId="2" xfId="0" applyFont="1" applyBorder="1" applyAlignment="1">
      <alignment horizont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16" fillId="0" borderId="0" xfId="0" applyFont="1" applyAlignment="1">
      <alignment horizontal="center" vertical="center"/>
    </xf>
    <xf numFmtId="0" fontId="16" fillId="0" borderId="0" xfId="0" applyFont="1" applyAlignment="1">
      <alignment horizontal="center"/>
    </xf>
    <xf numFmtId="0" fontId="19" fillId="0" borderId="0" xfId="0" applyFont="1" applyAlignment="1">
      <alignment horizontal="left"/>
    </xf>
    <xf numFmtId="0" fontId="20" fillId="0" borderId="3" xfId="0" applyFont="1" applyBorder="1" applyAlignment="1">
      <alignment horizontal="center" vertical="center" wrapText="1"/>
    </xf>
    <xf numFmtId="0" fontId="20" fillId="0" borderId="10" xfId="0" applyFont="1" applyBorder="1" applyAlignment="1">
      <alignment horizontal="center" vertical="center" wrapText="1"/>
    </xf>
    <xf numFmtId="0" fontId="18" fillId="0" borderId="5" xfId="0" applyFont="1" applyBorder="1" applyAlignment="1">
      <alignment horizontal="center" vertical="center"/>
    </xf>
    <xf numFmtId="0" fontId="18" fillId="0" borderId="4" xfId="0" applyFont="1" applyBorder="1" applyAlignment="1">
      <alignment horizontal="center" vertical="center"/>
    </xf>
    <xf numFmtId="0" fontId="18" fillId="0" borderId="6" xfId="0" applyFont="1" applyBorder="1" applyAlignment="1">
      <alignment horizontal="center" vertical="center"/>
    </xf>
    <xf numFmtId="0" fontId="11" fillId="0" borderId="3" xfId="0" applyFont="1" applyBorder="1" applyAlignment="1">
      <alignment horizontal="center" vertical="center"/>
    </xf>
    <xf numFmtId="0" fontId="11" fillId="0" borderId="10" xfId="0" applyFont="1" applyBorder="1" applyAlignment="1">
      <alignment horizontal="center" vertical="center"/>
    </xf>
    <xf numFmtId="17" fontId="19" fillId="0" borderId="0" xfId="0" applyNumberFormat="1" applyFont="1" applyAlignment="1">
      <alignment horizontal="center"/>
    </xf>
    <xf numFmtId="0" fontId="25" fillId="0" borderId="3" xfId="0" applyFont="1" applyBorder="1" applyAlignment="1">
      <alignment horizontal="center" vertical="center"/>
    </xf>
    <xf numFmtId="0" fontId="25" fillId="0" borderId="10" xfId="0" applyFont="1" applyBorder="1" applyAlignment="1">
      <alignment horizontal="center" vertical="center"/>
    </xf>
    <xf numFmtId="0" fontId="18" fillId="0" borderId="5" xfId="0" applyFont="1" applyBorder="1" applyAlignment="1">
      <alignment horizontal="left" vertical="center"/>
    </xf>
    <xf numFmtId="0" fontId="18" fillId="0" borderId="4" xfId="0" applyFont="1" applyBorder="1" applyAlignment="1">
      <alignment horizontal="left" vertical="center"/>
    </xf>
    <xf numFmtId="0" fontId="18" fillId="0" borderId="6" xfId="0" applyFont="1" applyBorder="1" applyAlignment="1">
      <alignment horizontal="left" vertical="center"/>
    </xf>
    <xf numFmtId="0" fontId="11" fillId="0" borderId="2" xfId="0" applyFont="1" applyBorder="1" applyAlignment="1">
      <alignment horizontal="right"/>
    </xf>
    <xf numFmtId="0" fontId="18" fillId="0" borderId="2" xfId="0" applyFont="1" applyBorder="1" applyAlignment="1">
      <alignment horizontal="left" vertical="center"/>
    </xf>
    <xf numFmtId="0" fontId="18" fillId="0" borderId="2" xfId="0" applyFont="1" applyBorder="1" applyAlignment="1">
      <alignment horizontal="right" vertical="center"/>
    </xf>
    <xf numFmtId="0" fontId="11" fillId="0" borderId="5" xfId="0" applyFont="1" applyBorder="1" applyAlignment="1">
      <alignment horizontal="right" vertical="center"/>
    </xf>
    <xf numFmtId="0" fontId="11" fillId="0" borderId="4" xfId="0" applyFont="1" applyBorder="1" applyAlignment="1">
      <alignment horizontal="right" vertical="center"/>
    </xf>
    <xf numFmtId="0" fontId="11" fillId="0" borderId="6" xfId="0" applyFont="1" applyBorder="1" applyAlignment="1">
      <alignment horizontal="right" vertical="center"/>
    </xf>
    <xf numFmtId="0" fontId="27" fillId="0" borderId="4" xfId="0" applyFont="1" applyBorder="1" applyAlignment="1">
      <alignment horizontal="right" vertical="center"/>
    </xf>
    <xf numFmtId="0" fontId="27" fillId="0" borderId="6" xfId="0" applyFont="1" applyBorder="1" applyAlignment="1">
      <alignment horizontal="right" vertical="center"/>
    </xf>
    <xf numFmtId="0" fontId="11" fillId="0" borderId="4" xfId="0" applyFont="1" applyBorder="1" applyAlignment="1">
      <alignment horizontal="right"/>
    </xf>
    <xf numFmtId="0" fontId="11" fillId="0" borderId="6" xfId="0" applyFont="1" applyBorder="1" applyAlignment="1">
      <alignment horizontal="right"/>
    </xf>
    <xf numFmtId="0" fontId="27" fillId="0" borderId="4" xfId="0" applyFont="1" applyBorder="1" applyAlignment="1">
      <alignment horizontal="left" vertical="center"/>
    </xf>
    <xf numFmtId="0" fontId="27" fillId="0" borderId="6" xfId="0" applyFont="1" applyBorder="1" applyAlignment="1">
      <alignment horizontal="left" vertical="center"/>
    </xf>
    <xf numFmtId="0" fontId="18" fillId="0" borderId="5" xfId="0" applyFont="1" applyBorder="1" applyAlignment="1">
      <alignment horizontal="right" vertical="center"/>
    </xf>
    <xf numFmtId="0" fontId="18" fillId="0" borderId="4" xfId="0" applyFont="1" applyBorder="1" applyAlignment="1">
      <alignment horizontal="right" vertical="center"/>
    </xf>
    <xf numFmtId="0" fontId="18" fillId="0" borderId="6" xfId="0" applyFont="1" applyBorder="1" applyAlignment="1">
      <alignment horizontal="right" vertical="center"/>
    </xf>
    <xf numFmtId="0" fontId="43" fillId="0" borderId="5" xfId="0" applyFont="1" applyBorder="1" applyAlignment="1">
      <alignment horizontal="center"/>
    </xf>
    <xf numFmtId="0" fontId="43" fillId="0" borderId="6" xfId="0" applyFont="1" applyBorder="1" applyAlignment="1">
      <alignment horizontal="center"/>
    </xf>
    <xf numFmtId="0" fontId="44" fillId="0" borderId="4" xfId="0" applyFont="1" applyBorder="1" applyAlignment="1">
      <alignment horizontal="center"/>
    </xf>
    <xf numFmtId="0" fontId="31" fillId="0" borderId="2" xfId="0" applyFont="1" applyBorder="1" applyAlignment="1">
      <alignment horizontal="center" vertical="center" wrapText="1"/>
    </xf>
    <xf numFmtId="0" fontId="31" fillId="0" borderId="2" xfId="0" applyFont="1" applyBorder="1" applyAlignment="1">
      <alignment horizontal="center" vertical="center"/>
    </xf>
    <xf numFmtId="0" fontId="31" fillId="0" borderId="3" xfId="0" applyFont="1" applyBorder="1" applyAlignment="1">
      <alignment horizontal="center" vertical="center"/>
    </xf>
    <xf numFmtId="0" fontId="31" fillId="0" borderId="10" xfId="0" applyFont="1" applyBorder="1" applyAlignment="1">
      <alignment horizontal="center" vertical="center"/>
    </xf>
    <xf numFmtId="0" fontId="30" fillId="0" borderId="0" xfId="0" applyFont="1" applyAlignment="1">
      <alignment horizontal="center"/>
    </xf>
    <xf numFmtId="0" fontId="32" fillId="0" borderId="0" xfId="0" applyFont="1" applyAlignment="1">
      <alignment horizontal="left"/>
    </xf>
    <xf numFmtId="0" fontId="32" fillId="0" borderId="9" xfId="0" applyFont="1" applyBorder="1" applyAlignment="1">
      <alignment horizontal="left"/>
    </xf>
    <xf numFmtId="0" fontId="32" fillId="0" borderId="9" xfId="0" applyFont="1" applyBorder="1" applyAlignment="1">
      <alignment horizontal="center"/>
    </xf>
    <xf numFmtId="0" fontId="31" fillId="0" borderId="2" xfId="0" applyFont="1" applyBorder="1" applyAlignment="1">
      <alignment horizontal="center"/>
    </xf>
    <xf numFmtId="0" fontId="18" fillId="2" borderId="0" xfId="0" applyFont="1" applyFill="1" applyAlignment="1">
      <alignment horizontal="center"/>
    </xf>
    <xf numFmtId="0" fontId="18" fillId="2" borderId="0" xfId="0" applyFont="1" applyFill="1" applyAlignment="1">
      <alignment horizontal="left"/>
    </xf>
    <xf numFmtId="0" fontId="3" fillId="2" borderId="0" xfId="0" applyFont="1" applyFill="1" applyAlignment="1">
      <alignment horizontal="center"/>
    </xf>
    <xf numFmtId="0" fontId="23" fillId="2" borderId="0" xfId="0" applyFont="1" applyFill="1" applyAlignment="1">
      <alignment horizontal="left" vertical="center"/>
    </xf>
    <xf numFmtId="0" fontId="18" fillId="2" borderId="5" xfId="0" applyFont="1" applyFill="1" applyBorder="1" applyAlignment="1">
      <alignment horizontal="center" vertical="center" wrapText="1"/>
    </xf>
    <xf numFmtId="0" fontId="18" fillId="2" borderId="6" xfId="0" applyFont="1" applyFill="1" applyBorder="1" applyAlignment="1">
      <alignment horizontal="center" vertical="center" wrapText="1"/>
    </xf>
    <xf numFmtId="2" fontId="18" fillId="2" borderId="2" xfId="0" applyNumberFormat="1" applyFont="1" applyFill="1" applyBorder="1" applyAlignment="1">
      <alignment horizontal="center" wrapText="1"/>
    </xf>
    <xf numFmtId="0" fontId="18" fillId="2" borderId="5" xfId="0" applyFont="1" applyFill="1" applyBorder="1" applyAlignment="1">
      <alignment horizontal="center" vertical="center"/>
    </xf>
    <xf numFmtId="0" fontId="18" fillId="2" borderId="4" xfId="0" applyFont="1" applyFill="1" applyBorder="1" applyAlignment="1">
      <alignment horizontal="center" vertical="center"/>
    </xf>
    <xf numFmtId="0" fontId="18" fillId="2" borderId="6" xfId="0" applyFont="1" applyFill="1" applyBorder="1" applyAlignment="1">
      <alignment horizontal="center" vertical="center"/>
    </xf>
    <xf numFmtId="0" fontId="18" fillId="2" borderId="9" xfId="0" applyFont="1" applyFill="1" applyBorder="1" applyAlignment="1">
      <alignment horizontal="left"/>
    </xf>
    <xf numFmtId="0" fontId="0" fillId="0" borderId="2" xfId="0" applyBorder="1" applyAlignment="1">
      <alignment horizontal="center"/>
    </xf>
    <xf numFmtId="0" fontId="0" fillId="0" borderId="3" xfId="0" applyBorder="1" applyAlignment="1">
      <alignment horizontal="center" vertical="center" wrapText="1"/>
    </xf>
    <xf numFmtId="0" fontId="0" fillId="0" borderId="10" xfId="0" applyBorder="1" applyAlignment="1">
      <alignment horizontal="center" vertical="center" wrapText="1"/>
    </xf>
    <xf numFmtId="0" fontId="0" fillId="0" borderId="2" xfId="0" applyBorder="1" applyAlignment="1">
      <alignment horizontal="center" vertical="center" wrapText="1"/>
    </xf>
    <xf numFmtId="0" fontId="0" fillId="0" borderId="2" xfId="0" applyBorder="1" applyAlignment="1">
      <alignment horizontal="center" vertical="center"/>
    </xf>
    <xf numFmtId="0" fontId="56" fillId="0" borderId="1" xfId="0" applyFont="1" applyFill="1" applyBorder="1" applyAlignment="1">
      <alignment horizontal="center" vertical="top"/>
    </xf>
    <xf numFmtId="0" fontId="56" fillId="0" borderId="0" xfId="0" applyFont="1" applyFill="1" applyBorder="1" applyAlignment="1">
      <alignment horizontal="center" vertical="top"/>
    </xf>
    <xf numFmtId="0" fontId="57" fillId="0" borderId="0" xfId="0" applyFont="1" applyFill="1" applyBorder="1" applyAlignment="1">
      <alignment horizontal="left"/>
    </xf>
    <xf numFmtId="0" fontId="68" fillId="2" borderId="0" xfId="0" applyFont="1" applyFill="1" applyAlignment="1">
      <alignment horizontal="center"/>
    </xf>
    <xf numFmtId="0" fontId="68" fillId="2" borderId="2" xfId="0" applyFont="1" applyFill="1" applyBorder="1" applyAlignment="1">
      <alignment horizontal="center" vertical="center" wrapText="1"/>
    </xf>
    <xf numFmtId="14" fontId="68" fillId="2" borderId="2" xfId="0" applyNumberFormat="1" applyFont="1" applyFill="1" applyBorder="1" applyAlignment="1">
      <alignment horizontal="center" vertical="center" wrapText="1"/>
    </xf>
    <xf numFmtId="0" fontId="69" fillId="2" borderId="2" xfId="0" applyFont="1" applyFill="1" applyBorder="1" applyAlignment="1">
      <alignment horizontal="center" vertical="center"/>
    </xf>
    <xf numFmtId="0" fontId="69" fillId="2" borderId="2" xfId="0" applyFont="1" applyFill="1" applyBorder="1" applyAlignment="1">
      <alignment horizontal="center" vertical="center" wrapText="1"/>
    </xf>
    <xf numFmtId="0" fontId="69" fillId="2" borderId="2" xfId="0" applyFont="1" applyFill="1" applyBorder="1" applyAlignment="1">
      <alignment horizontal="right" vertical="center"/>
    </xf>
    <xf numFmtId="2" fontId="68" fillId="2" borderId="3" xfId="0" applyNumberFormat="1" applyFont="1" applyFill="1" applyBorder="1" applyAlignment="1">
      <alignment horizontal="center" vertical="center" wrapText="1"/>
    </xf>
    <xf numFmtId="2" fontId="68" fillId="2" borderId="10" xfId="0" applyNumberFormat="1" applyFont="1" applyFill="1" applyBorder="1" applyAlignment="1">
      <alignment horizontal="center" vertical="center" wrapText="1"/>
    </xf>
  </cellXfs>
  <cellStyles count="5">
    <cellStyle name="Comma 4" xfId="4"/>
    <cellStyle name="Hyperlink" xfId="1" builtinId="8"/>
    <cellStyle name="Normal" xfId="0" builtinId="0"/>
    <cellStyle name="Normal 2" xfId="2"/>
    <cellStyle name="Normal 7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S2468"/>
  <sheetViews>
    <sheetView tabSelected="1" topLeftCell="A2416" zoomScale="85" zoomScaleNormal="85" workbookViewId="0">
      <selection activeCell="G2428" sqref="G2428"/>
    </sheetView>
  </sheetViews>
  <sheetFormatPr defaultRowHeight="15"/>
  <cols>
    <col min="1" max="1" width="9.140625" style="67"/>
    <col min="2" max="2" width="15.28515625" customWidth="1"/>
    <col min="3" max="3" width="23.42578125" customWidth="1"/>
    <col min="5" max="5" width="11.140625" customWidth="1"/>
    <col min="6" max="6" width="15.140625" bestFit="1" customWidth="1"/>
    <col min="7" max="7" width="26.5703125" bestFit="1" customWidth="1"/>
    <col min="8" max="8" width="19.28515625" bestFit="1" customWidth="1"/>
    <col min="9" max="9" width="10.7109375" bestFit="1" customWidth="1"/>
    <col min="10" max="10" width="20.140625" bestFit="1" customWidth="1"/>
    <col min="11" max="11" width="15.5703125" bestFit="1" customWidth="1"/>
    <col min="12" max="12" width="7.42578125" customWidth="1"/>
    <col min="13" max="13" width="13.140625" bestFit="1" customWidth="1"/>
    <col min="14" max="14" width="8.140625" customWidth="1"/>
    <col min="15" max="15" width="8.28515625" customWidth="1"/>
    <col min="16" max="16" width="13.7109375" customWidth="1"/>
    <col min="17" max="17" width="10" customWidth="1"/>
    <col min="18" max="18" width="12.42578125" customWidth="1"/>
  </cols>
  <sheetData>
    <row r="1" spans="1:16" s="46" customFormat="1" ht="15.75">
      <c r="A1" s="1257" t="s">
        <v>104</v>
      </c>
      <c r="B1" s="1257"/>
      <c r="C1" s="46" t="s">
        <v>124</v>
      </c>
      <c r="H1" s="47"/>
      <c r="N1" s="47"/>
      <c r="O1" s="1258" t="s">
        <v>105</v>
      </c>
      <c r="P1" s="1258"/>
    </row>
    <row r="2" spans="1:16" s="46" customFormat="1" ht="15.75">
      <c r="A2" s="1257" t="s">
        <v>106</v>
      </c>
      <c r="B2" s="1257"/>
      <c r="C2" s="46" t="s">
        <v>123</v>
      </c>
      <c r="H2" s="47"/>
      <c r="N2" s="47"/>
      <c r="O2" s="47" t="s">
        <v>198</v>
      </c>
      <c r="P2" s="47">
        <v>2026</v>
      </c>
    </row>
    <row r="3" spans="1:16" s="46" customFormat="1" ht="15.75">
      <c r="A3" s="1257" t="s">
        <v>107</v>
      </c>
      <c r="B3" s="1257"/>
      <c r="C3" s="46" t="s">
        <v>122</v>
      </c>
      <c r="H3" s="47"/>
      <c r="N3" s="47"/>
    </row>
    <row r="4" spans="1:16" s="46" customFormat="1" ht="15.75">
      <c r="A4" s="1257" t="s">
        <v>108</v>
      </c>
      <c r="B4" s="1257"/>
      <c r="C4" s="46" t="s">
        <v>122</v>
      </c>
      <c r="H4" s="47"/>
      <c r="N4" s="47"/>
    </row>
    <row r="5" spans="1:16" s="46" customFormat="1" ht="15.75">
      <c r="A5" s="66"/>
      <c r="H5" s="47"/>
      <c r="N5" s="47"/>
    </row>
    <row r="6" spans="1:16" s="47" customFormat="1" ht="31.5">
      <c r="A6" s="48" t="s">
        <v>109</v>
      </c>
      <c r="B6" s="48" t="s">
        <v>110</v>
      </c>
      <c r="C6" s="48" t="s">
        <v>111</v>
      </c>
      <c r="D6" s="48" t="s">
        <v>112</v>
      </c>
      <c r="E6" s="48" t="s">
        <v>113</v>
      </c>
      <c r="F6" s="1260" t="s">
        <v>114</v>
      </c>
      <c r="G6" s="1261"/>
      <c r="H6" s="1260" t="s">
        <v>115</v>
      </c>
      <c r="I6" s="1261"/>
      <c r="J6" s="1260" t="s">
        <v>116</v>
      </c>
      <c r="K6" s="1261"/>
      <c r="L6" s="1260" t="s">
        <v>1</v>
      </c>
      <c r="M6" s="1261"/>
      <c r="N6" s="1260" t="s">
        <v>0</v>
      </c>
      <c r="O6" s="1261"/>
      <c r="P6" s="1259" t="s">
        <v>117</v>
      </c>
    </row>
    <row r="7" spans="1:16" s="46" customFormat="1" ht="47.25">
      <c r="A7" s="48"/>
      <c r="B7" s="50"/>
      <c r="C7" s="50"/>
      <c r="D7" s="50"/>
      <c r="E7" s="50"/>
      <c r="F7" s="48" t="s">
        <v>118</v>
      </c>
      <c r="G7" s="48" t="s">
        <v>119</v>
      </c>
      <c r="H7" s="48" t="s">
        <v>118</v>
      </c>
      <c r="I7" s="48" t="s">
        <v>119</v>
      </c>
      <c r="J7" s="48" t="s">
        <v>118</v>
      </c>
      <c r="K7" s="48" t="s">
        <v>119</v>
      </c>
      <c r="L7" s="48" t="s">
        <v>118</v>
      </c>
      <c r="M7" s="48" t="s">
        <v>119</v>
      </c>
      <c r="N7" s="48" t="s">
        <v>118</v>
      </c>
      <c r="O7" s="48" t="s">
        <v>119</v>
      </c>
      <c r="P7" s="1259"/>
    </row>
    <row r="8" spans="1:16" s="46" customFormat="1" ht="31.5">
      <c r="A8" s="21">
        <v>1</v>
      </c>
      <c r="B8" s="13"/>
      <c r="C8" s="22" t="s">
        <v>10</v>
      </c>
      <c r="D8" s="17" t="s">
        <v>5</v>
      </c>
      <c r="E8" s="1">
        <v>450</v>
      </c>
      <c r="F8" s="4"/>
      <c r="G8" s="48">
        <f>E8*F8</f>
        <v>0</v>
      </c>
      <c r="H8" s="48"/>
      <c r="I8" s="48">
        <f>H8*E8</f>
        <v>0</v>
      </c>
      <c r="J8" s="48"/>
      <c r="K8" s="48">
        <f>J8*E8</f>
        <v>0</v>
      </c>
      <c r="L8" s="3"/>
      <c r="M8" s="48">
        <f>L8*E8</f>
        <v>0</v>
      </c>
      <c r="N8" s="2">
        <v>2</v>
      </c>
      <c r="O8" s="48">
        <f>N8*E8</f>
        <v>900</v>
      </c>
      <c r="P8" s="49">
        <f>O8+M8+K8+I8+G8</f>
        <v>900</v>
      </c>
    </row>
    <row r="9" spans="1:16" s="46" customFormat="1" ht="31.5">
      <c r="A9" s="21">
        <v>2</v>
      </c>
      <c r="B9" s="13"/>
      <c r="C9" s="22" t="s">
        <v>11</v>
      </c>
      <c r="D9" s="17" t="s">
        <v>5</v>
      </c>
      <c r="E9" s="1">
        <v>25</v>
      </c>
      <c r="F9" s="4"/>
      <c r="G9" s="48">
        <f t="shared" ref="G9:G76" si="0">E9*F9</f>
        <v>0</v>
      </c>
      <c r="H9" s="48"/>
      <c r="I9" s="48">
        <f t="shared" ref="I9:I76" si="1">H9*E9</f>
        <v>0</v>
      </c>
      <c r="J9" s="48"/>
      <c r="K9" s="48">
        <f t="shared" ref="K9:K76" si="2">J9*E9</f>
        <v>0</v>
      </c>
      <c r="L9" s="3"/>
      <c r="M9" s="48">
        <f t="shared" ref="M9:M76" si="3">L9*E9</f>
        <v>0</v>
      </c>
      <c r="N9" s="2">
        <v>8</v>
      </c>
      <c r="O9" s="48">
        <f t="shared" ref="O9:O76" si="4">N9*E9</f>
        <v>200</v>
      </c>
      <c r="P9" s="49">
        <f t="shared" ref="P9:P76" si="5">O9+M9+K9+I9+G9</f>
        <v>200</v>
      </c>
    </row>
    <row r="10" spans="1:16" s="46" customFormat="1" ht="31.5">
      <c r="A10" s="21">
        <v>3</v>
      </c>
      <c r="B10" s="13"/>
      <c r="C10" s="22" t="s">
        <v>30</v>
      </c>
      <c r="D10" s="17" t="s">
        <v>5</v>
      </c>
      <c r="E10" s="1">
        <v>10</v>
      </c>
      <c r="F10" s="4"/>
      <c r="G10" s="48">
        <f t="shared" si="0"/>
        <v>0</v>
      </c>
      <c r="H10" s="48"/>
      <c r="I10" s="48">
        <f t="shared" si="1"/>
        <v>0</v>
      </c>
      <c r="J10" s="48"/>
      <c r="K10" s="48">
        <f t="shared" si="2"/>
        <v>0</v>
      </c>
      <c r="L10" s="3"/>
      <c r="M10" s="48">
        <f t="shared" si="3"/>
        <v>0</v>
      </c>
      <c r="N10" s="2">
        <v>18</v>
      </c>
      <c r="O10" s="48">
        <f t="shared" si="4"/>
        <v>180</v>
      </c>
      <c r="P10" s="49">
        <f t="shared" si="5"/>
        <v>180</v>
      </c>
    </row>
    <row r="11" spans="1:16" s="46" customFormat="1" ht="56.25">
      <c r="A11" s="21">
        <v>4</v>
      </c>
      <c r="B11" s="35" t="s">
        <v>100</v>
      </c>
      <c r="C11" s="26" t="s">
        <v>48</v>
      </c>
      <c r="D11" s="5" t="s">
        <v>37</v>
      </c>
      <c r="E11" s="1">
        <v>20000</v>
      </c>
      <c r="F11" s="1"/>
      <c r="G11" s="48">
        <f t="shared" si="0"/>
        <v>0</v>
      </c>
      <c r="H11" s="48"/>
      <c r="I11" s="48">
        <f t="shared" si="1"/>
        <v>0</v>
      </c>
      <c r="J11" s="48"/>
      <c r="K11" s="48">
        <f t="shared" si="2"/>
        <v>0</v>
      </c>
      <c r="L11" s="3"/>
      <c r="M11" s="48">
        <f t="shared" si="3"/>
        <v>0</v>
      </c>
      <c r="N11" s="3">
        <v>1</v>
      </c>
      <c r="O11" s="48">
        <f t="shared" si="4"/>
        <v>20000</v>
      </c>
      <c r="P11" s="49">
        <f t="shared" si="5"/>
        <v>20000</v>
      </c>
    </row>
    <row r="12" spans="1:16" s="46" customFormat="1" ht="37.5">
      <c r="A12" s="21">
        <v>5</v>
      </c>
      <c r="B12" s="13" t="s">
        <v>56</v>
      </c>
      <c r="C12" s="25" t="s">
        <v>57</v>
      </c>
      <c r="D12" s="5" t="s">
        <v>37</v>
      </c>
      <c r="E12" s="4">
        <v>27500</v>
      </c>
      <c r="F12" s="1"/>
      <c r="G12" s="48">
        <f t="shared" si="0"/>
        <v>0</v>
      </c>
      <c r="H12" s="48"/>
      <c r="I12" s="48">
        <f t="shared" si="1"/>
        <v>0</v>
      </c>
      <c r="J12" s="48"/>
      <c r="K12" s="48">
        <f t="shared" si="2"/>
        <v>0</v>
      </c>
      <c r="L12" s="3"/>
      <c r="M12" s="48">
        <f t="shared" si="3"/>
        <v>0</v>
      </c>
      <c r="N12" s="3">
        <v>1</v>
      </c>
      <c r="O12" s="48">
        <f t="shared" si="4"/>
        <v>27500</v>
      </c>
      <c r="P12" s="49">
        <f t="shared" si="5"/>
        <v>27500</v>
      </c>
    </row>
    <row r="13" spans="1:16" s="46" customFormat="1" ht="31.5">
      <c r="A13" s="21">
        <v>6</v>
      </c>
      <c r="B13" s="13"/>
      <c r="C13" s="22" t="s">
        <v>25</v>
      </c>
      <c r="D13" s="17" t="s">
        <v>5</v>
      </c>
      <c r="E13" s="1">
        <v>8000</v>
      </c>
      <c r="F13" s="4"/>
      <c r="G13" s="48">
        <f t="shared" si="0"/>
        <v>0</v>
      </c>
      <c r="H13" s="48"/>
      <c r="I13" s="48">
        <f t="shared" si="1"/>
        <v>0</v>
      </c>
      <c r="J13" s="48"/>
      <c r="K13" s="48">
        <f t="shared" si="2"/>
        <v>0</v>
      </c>
      <c r="L13" s="3"/>
      <c r="M13" s="48">
        <f t="shared" si="3"/>
        <v>0</v>
      </c>
      <c r="N13" s="2">
        <v>1</v>
      </c>
      <c r="O13" s="48">
        <f t="shared" si="4"/>
        <v>8000</v>
      </c>
      <c r="P13" s="49">
        <f t="shared" si="5"/>
        <v>8000</v>
      </c>
    </row>
    <row r="14" spans="1:16" s="46" customFormat="1" ht="31.5">
      <c r="A14" s="21">
        <v>7</v>
      </c>
      <c r="B14" s="13"/>
      <c r="C14" s="22" t="s">
        <v>24</v>
      </c>
      <c r="D14" s="17" t="s">
        <v>5</v>
      </c>
      <c r="E14" s="1">
        <v>4800</v>
      </c>
      <c r="F14" s="4"/>
      <c r="G14" s="48">
        <f t="shared" si="0"/>
        <v>0</v>
      </c>
      <c r="H14" s="48"/>
      <c r="I14" s="48">
        <f t="shared" si="1"/>
        <v>0</v>
      </c>
      <c r="J14" s="48"/>
      <c r="K14" s="48">
        <f t="shared" si="2"/>
        <v>0</v>
      </c>
      <c r="L14" s="3"/>
      <c r="M14" s="48">
        <f t="shared" si="3"/>
        <v>0</v>
      </c>
      <c r="N14" s="2">
        <v>1</v>
      </c>
      <c r="O14" s="48">
        <f t="shared" si="4"/>
        <v>4800</v>
      </c>
      <c r="P14" s="49">
        <f t="shared" si="5"/>
        <v>4800</v>
      </c>
    </row>
    <row r="15" spans="1:16" s="46" customFormat="1" ht="31.5">
      <c r="A15" s="21">
        <v>8</v>
      </c>
      <c r="B15" s="36" t="s">
        <v>65</v>
      </c>
      <c r="C15" s="29" t="s">
        <v>66</v>
      </c>
      <c r="D15" s="4" t="s">
        <v>37</v>
      </c>
      <c r="E15" s="14">
        <v>15000</v>
      </c>
      <c r="F15" s="4"/>
      <c r="G15" s="48">
        <f t="shared" si="0"/>
        <v>0</v>
      </c>
      <c r="H15" s="48"/>
      <c r="I15" s="48">
        <f t="shared" si="1"/>
        <v>0</v>
      </c>
      <c r="J15" s="48"/>
      <c r="K15" s="48">
        <f t="shared" si="2"/>
        <v>0</v>
      </c>
      <c r="L15" s="39"/>
      <c r="M15" s="48">
        <f t="shared" si="3"/>
        <v>0</v>
      </c>
      <c r="N15" s="41">
        <v>1</v>
      </c>
      <c r="O15" s="48">
        <f t="shared" si="4"/>
        <v>15000</v>
      </c>
      <c r="P15" s="49">
        <f t="shared" si="5"/>
        <v>15000</v>
      </c>
    </row>
    <row r="16" spans="1:16" s="46" customFormat="1" ht="31.5">
      <c r="A16" s="21">
        <v>9</v>
      </c>
      <c r="B16" s="51" t="s">
        <v>82</v>
      </c>
      <c r="C16" s="30" t="s">
        <v>81</v>
      </c>
      <c r="D16" s="11" t="s">
        <v>37</v>
      </c>
      <c r="E16" s="11">
        <v>1000</v>
      </c>
      <c r="F16" s="11"/>
      <c r="G16" s="48">
        <f t="shared" si="0"/>
        <v>0</v>
      </c>
      <c r="H16" s="48"/>
      <c r="I16" s="48">
        <f t="shared" si="1"/>
        <v>0</v>
      </c>
      <c r="J16" s="48"/>
      <c r="K16" s="48">
        <f t="shared" si="2"/>
        <v>0</v>
      </c>
      <c r="L16" s="39"/>
      <c r="M16" s="48">
        <f t="shared" si="3"/>
        <v>0</v>
      </c>
      <c r="N16" s="41">
        <v>1</v>
      </c>
      <c r="O16" s="48">
        <f t="shared" si="4"/>
        <v>1000</v>
      </c>
      <c r="P16" s="49">
        <f t="shared" si="5"/>
        <v>1000</v>
      </c>
    </row>
    <row r="17" spans="1:16" s="46" customFormat="1" ht="30">
      <c r="A17" s="21">
        <v>10</v>
      </c>
      <c r="B17" s="55"/>
      <c r="C17" s="32" t="s">
        <v>89</v>
      </c>
      <c r="D17" s="11" t="s">
        <v>37</v>
      </c>
      <c r="E17" s="18">
        <v>2000</v>
      </c>
      <c r="F17" s="11"/>
      <c r="G17" s="48">
        <f t="shared" si="0"/>
        <v>0</v>
      </c>
      <c r="H17" s="48"/>
      <c r="I17" s="48">
        <f t="shared" si="1"/>
        <v>0</v>
      </c>
      <c r="J17" s="48"/>
      <c r="K17" s="48">
        <f t="shared" si="2"/>
        <v>0</v>
      </c>
      <c r="L17" s="39"/>
      <c r="M17" s="48">
        <f t="shared" si="3"/>
        <v>0</v>
      </c>
      <c r="N17" s="41">
        <v>1</v>
      </c>
      <c r="O17" s="48">
        <f t="shared" si="4"/>
        <v>2000</v>
      </c>
      <c r="P17" s="49">
        <f t="shared" si="5"/>
        <v>2000</v>
      </c>
    </row>
    <row r="18" spans="1:16" s="46" customFormat="1" ht="30">
      <c r="A18" s="21">
        <v>11</v>
      </c>
      <c r="B18" s="50"/>
      <c r="C18" s="42" t="s">
        <v>120</v>
      </c>
      <c r="D18" s="7" t="s">
        <v>37</v>
      </c>
      <c r="E18" s="7">
        <v>1000</v>
      </c>
      <c r="F18" s="48"/>
      <c r="G18" s="48">
        <f t="shared" si="0"/>
        <v>0</v>
      </c>
      <c r="H18" s="48"/>
      <c r="I18" s="48">
        <f t="shared" si="1"/>
        <v>0</v>
      </c>
      <c r="J18" s="48"/>
      <c r="K18" s="48">
        <f t="shared" si="2"/>
        <v>0</v>
      </c>
      <c r="L18" s="48"/>
      <c r="M18" s="48">
        <f t="shared" si="3"/>
        <v>0</v>
      </c>
      <c r="N18" s="48">
        <v>1</v>
      </c>
      <c r="O18" s="48">
        <f t="shared" si="4"/>
        <v>1000</v>
      </c>
      <c r="P18" s="49">
        <f t="shared" si="5"/>
        <v>1000</v>
      </c>
    </row>
    <row r="19" spans="1:16" s="46" customFormat="1" ht="30">
      <c r="A19" s="21">
        <v>12</v>
      </c>
      <c r="B19" s="50"/>
      <c r="C19" s="43" t="s">
        <v>135</v>
      </c>
      <c r="D19" s="58" t="s">
        <v>37</v>
      </c>
      <c r="E19" s="58">
        <v>1000</v>
      </c>
      <c r="F19" s="58"/>
      <c r="G19" s="48">
        <f t="shared" si="0"/>
        <v>0</v>
      </c>
      <c r="H19" s="48"/>
      <c r="I19" s="48">
        <f t="shared" si="1"/>
        <v>0</v>
      </c>
      <c r="J19" s="48"/>
      <c r="K19" s="48">
        <f t="shared" si="2"/>
        <v>0</v>
      </c>
      <c r="L19" s="48"/>
      <c r="M19" s="48">
        <f t="shared" si="3"/>
        <v>0</v>
      </c>
      <c r="N19" s="48">
        <v>1</v>
      </c>
      <c r="O19" s="48">
        <f t="shared" si="4"/>
        <v>1000</v>
      </c>
      <c r="P19" s="49">
        <f t="shared" si="5"/>
        <v>1000</v>
      </c>
    </row>
    <row r="20" spans="1:16" s="46" customFormat="1" ht="30">
      <c r="A20" s="21">
        <v>13</v>
      </c>
      <c r="B20" s="50"/>
      <c r="C20" s="61" t="s">
        <v>144</v>
      </c>
      <c r="D20" s="20" t="s">
        <v>37</v>
      </c>
      <c r="E20" s="20">
        <v>1000</v>
      </c>
      <c r="F20" s="20"/>
      <c r="G20" s="48">
        <f t="shared" si="0"/>
        <v>0</v>
      </c>
      <c r="H20" s="48"/>
      <c r="I20" s="48">
        <f t="shared" si="1"/>
        <v>0</v>
      </c>
      <c r="J20" s="48"/>
      <c r="K20" s="48">
        <f t="shared" si="2"/>
        <v>0</v>
      </c>
      <c r="L20" s="48"/>
      <c r="M20" s="48">
        <f t="shared" si="3"/>
        <v>0</v>
      </c>
      <c r="N20" s="48">
        <v>1</v>
      </c>
      <c r="O20" s="48">
        <f t="shared" si="4"/>
        <v>1000</v>
      </c>
      <c r="P20" s="49">
        <f t="shared" si="5"/>
        <v>1000</v>
      </c>
    </row>
    <row r="21" spans="1:16" s="46" customFormat="1" ht="33">
      <c r="A21" s="21">
        <v>14</v>
      </c>
      <c r="B21" s="13" t="s">
        <v>83</v>
      </c>
      <c r="C21" s="54" t="s">
        <v>69</v>
      </c>
      <c r="D21" s="4" t="s">
        <v>62</v>
      </c>
      <c r="E21" s="4">
        <v>1000</v>
      </c>
      <c r="F21" s="2"/>
      <c r="G21" s="48">
        <f t="shared" si="0"/>
        <v>0</v>
      </c>
      <c r="H21" s="48"/>
      <c r="I21" s="48">
        <f t="shared" si="1"/>
        <v>0</v>
      </c>
      <c r="J21" s="48"/>
      <c r="K21" s="48">
        <f t="shared" si="2"/>
        <v>0</v>
      </c>
      <c r="L21" s="39"/>
      <c r="M21" s="48">
        <f t="shared" si="3"/>
        <v>0</v>
      </c>
      <c r="N21" s="41">
        <v>1</v>
      </c>
      <c r="O21" s="48">
        <f t="shared" si="4"/>
        <v>1000</v>
      </c>
      <c r="P21" s="49">
        <f t="shared" si="5"/>
        <v>1000</v>
      </c>
    </row>
    <row r="22" spans="1:16" s="46" customFormat="1" ht="56.25">
      <c r="A22" s="21">
        <v>15</v>
      </c>
      <c r="B22" s="13" t="s">
        <v>83</v>
      </c>
      <c r="C22" s="25" t="s">
        <v>47</v>
      </c>
      <c r="D22" s="4" t="s">
        <v>62</v>
      </c>
      <c r="E22" s="5">
        <v>1000</v>
      </c>
      <c r="F22" s="6"/>
      <c r="G22" s="48">
        <f t="shared" si="0"/>
        <v>0</v>
      </c>
      <c r="H22" s="48"/>
      <c r="I22" s="48">
        <f t="shared" si="1"/>
        <v>0</v>
      </c>
      <c r="J22" s="48"/>
      <c r="K22" s="48">
        <f t="shared" si="2"/>
        <v>0</v>
      </c>
      <c r="L22" s="4"/>
      <c r="M22" s="48">
        <f t="shared" si="3"/>
        <v>0</v>
      </c>
      <c r="N22" s="3">
        <v>1</v>
      </c>
      <c r="O22" s="48">
        <f t="shared" si="4"/>
        <v>1000</v>
      </c>
      <c r="P22" s="49">
        <f t="shared" si="5"/>
        <v>1000</v>
      </c>
    </row>
    <row r="23" spans="1:16" s="46" customFormat="1" ht="31.5">
      <c r="A23" s="21">
        <v>16</v>
      </c>
      <c r="B23" s="36" t="s">
        <v>73</v>
      </c>
      <c r="C23" s="30" t="s">
        <v>74</v>
      </c>
      <c r="D23" s="11" t="s">
        <v>37</v>
      </c>
      <c r="E23" s="11">
        <v>2000</v>
      </c>
      <c r="F23" s="11"/>
      <c r="G23" s="48">
        <f t="shared" si="0"/>
        <v>0</v>
      </c>
      <c r="H23" s="48"/>
      <c r="I23" s="48">
        <f t="shared" si="1"/>
        <v>0</v>
      </c>
      <c r="J23" s="48"/>
      <c r="K23" s="48">
        <f t="shared" si="2"/>
        <v>0</v>
      </c>
      <c r="L23" s="39"/>
      <c r="M23" s="48">
        <f t="shared" si="3"/>
        <v>0</v>
      </c>
      <c r="N23" s="11">
        <v>2</v>
      </c>
      <c r="O23" s="48">
        <f t="shared" si="4"/>
        <v>4000</v>
      </c>
      <c r="P23" s="49">
        <f t="shared" si="5"/>
        <v>4000</v>
      </c>
    </row>
    <row r="24" spans="1:16" s="46" customFormat="1" ht="60">
      <c r="A24" s="21">
        <v>17</v>
      </c>
      <c r="B24" s="37" t="s">
        <v>73</v>
      </c>
      <c r="C24" s="31" t="s">
        <v>95</v>
      </c>
      <c r="D24" s="11" t="s">
        <v>62</v>
      </c>
      <c r="E24" s="18">
        <v>2000</v>
      </c>
      <c r="F24" s="15"/>
      <c r="G24" s="48">
        <f t="shared" si="0"/>
        <v>0</v>
      </c>
      <c r="H24" s="48"/>
      <c r="I24" s="48">
        <f t="shared" si="1"/>
        <v>0</v>
      </c>
      <c r="J24" s="48"/>
      <c r="K24" s="48">
        <f t="shared" si="2"/>
        <v>0</v>
      </c>
      <c r="L24" s="39"/>
      <c r="M24" s="48">
        <f t="shared" si="3"/>
        <v>0</v>
      </c>
      <c r="N24" s="41">
        <v>1</v>
      </c>
      <c r="O24" s="48">
        <f t="shared" si="4"/>
        <v>2000</v>
      </c>
      <c r="P24" s="49">
        <f t="shared" si="5"/>
        <v>2000</v>
      </c>
    </row>
    <row r="25" spans="1:16" s="46" customFormat="1" ht="60">
      <c r="A25" s="21">
        <v>18</v>
      </c>
      <c r="B25" s="50"/>
      <c r="C25" s="43" t="s">
        <v>132</v>
      </c>
      <c r="D25" s="58" t="s">
        <v>37</v>
      </c>
      <c r="E25" s="58">
        <v>5000</v>
      </c>
      <c r="F25" s="58"/>
      <c r="G25" s="48">
        <f t="shared" si="0"/>
        <v>0</v>
      </c>
      <c r="H25" s="48"/>
      <c r="I25" s="48">
        <f t="shared" si="1"/>
        <v>0</v>
      </c>
      <c r="J25" s="48"/>
      <c r="K25" s="48">
        <f t="shared" si="2"/>
        <v>0</v>
      </c>
      <c r="L25" s="48"/>
      <c r="M25" s="48">
        <f t="shared" si="3"/>
        <v>0</v>
      </c>
      <c r="N25" s="48">
        <v>1</v>
      </c>
      <c r="O25" s="48">
        <f t="shared" si="4"/>
        <v>5000</v>
      </c>
      <c r="P25" s="49">
        <f t="shared" si="5"/>
        <v>5000</v>
      </c>
    </row>
    <row r="26" spans="1:16" s="46" customFormat="1" ht="15.75">
      <c r="A26" s="21">
        <v>19</v>
      </c>
      <c r="B26" s="50"/>
      <c r="C26" s="42" t="s">
        <v>125</v>
      </c>
      <c r="D26" s="7" t="s">
        <v>37</v>
      </c>
      <c r="E26" s="7">
        <v>1000</v>
      </c>
      <c r="F26" s="48"/>
      <c r="G26" s="48">
        <f t="shared" si="0"/>
        <v>0</v>
      </c>
      <c r="H26" s="48"/>
      <c r="I26" s="48">
        <f t="shared" si="1"/>
        <v>0</v>
      </c>
      <c r="J26" s="48"/>
      <c r="K26" s="48">
        <f t="shared" si="2"/>
        <v>0</v>
      </c>
      <c r="L26" s="48"/>
      <c r="M26" s="48">
        <f t="shared" si="3"/>
        <v>0</v>
      </c>
      <c r="N26" s="48">
        <v>1</v>
      </c>
      <c r="O26" s="48">
        <f t="shared" si="4"/>
        <v>1000</v>
      </c>
      <c r="P26" s="49">
        <f t="shared" si="5"/>
        <v>1000</v>
      </c>
    </row>
    <row r="27" spans="1:16" s="46" customFormat="1" ht="23.25">
      <c r="A27" s="21">
        <v>20</v>
      </c>
      <c r="B27" s="36" t="s">
        <v>18</v>
      </c>
      <c r="C27" s="30" t="s">
        <v>77</v>
      </c>
      <c r="D27" s="11" t="s">
        <v>37</v>
      </c>
      <c r="E27" s="11">
        <v>2000</v>
      </c>
      <c r="F27" s="11"/>
      <c r="G27" s="48">
        <f t="shared" si="0"/>
        <v>0</v>
      </c>
      <c r="H27" s="48"/>
      <c r="I27" s="48">
        <f t="shared" si="1"/>
        <v>0</v>
      </c>
      <c r="J27" s="48"/>
      <c r="K27" s="48">
        <f t="shared" si="2"/>
        <v>0</v>
      </c>
      <c r="L27" s="39"/>
      <c r="M27" s="48">
        <f t="shared" si="3"/>
        <v>0</v>
      </c>
      <c r="N27" s="41">
        <v>1</v>
      </c>
      <c r="O27" s="48">
        <f t="shared" si="4"/>
        <v>2000</v>
      </c>
      <c r="P27" s="49">
        <f t="shared" si="5"/>
        <v>2000</v>
      </c>
    </row>
    <row r="28" spans="1:16" s="46" customFormat="1" ht="23.25">
      <c r="A28" s="21">
        <v>21</v>
      </c>
      <c r="B28" s="36" t="s">
        <v>18</v>
      </c>
      <c r="C28" s="30" t="s">
        <v>84</v>
      </c>
      <c r="D28" s="11" t="s">
        <v>37</v>
      </c>
      <c r="E28" s="11">
        <v>2000</v>
      </c>
      <c r="F28" s="11"/>
      <c r="G28" s="48">
        <f t="shared" si="0"/>
        <v>0</v>
      </c>
      <c r="H28" s="48"/>
      <c r="I28" s="48">
        <f t="shared" si="1"/>
        <v>0</v>
      </c>
      <c r="J28" s="48"/>
      <c r="K28" s="48">
        <f t="shared" si="2"/>
        <v>0</v>
      </c>
      <c r="L28" s="39"/>
      <c r="M28" s="48">
        <f t="shared" si="3"/>
        <v>0</v>
      </c>
      <c r="N28" s="11">
        <v>1</v>
      </c>
      <c r="O28" s="48">
        <f t="shared" si="4"/>
        <v>2000</v>
      </c>
      <c r="P28" s="49">
        <f t="shared" si="5"/>
        <v>2000</v>
      </c>
    </row>
    <row r="29" spans="1:16" s="46" customFormat="1" ht="30">
      <c r="A29" s="21">
        <v>22</v>
      </c>
      <c r="B29" s="50"/>
      <c r="C29" s="43" t="s">
        <v>126</v>
      </c>
      <c r="D29" s="58" t="s">
        <v>37</v>
      </c>
      <c r="E29" s="58">
        <v>5000</v>
      </c>
      <c r="F29" s="58"/>
      <c r="G29" s="48">
        <f t="shared" si="0"/>
        <v>0</v>
      </c>
      <c r="H29" s="48"/>
      <c r="I29" s="48">
        <f t="shared" si="1"/>
        <v>0</v>
      </c>
      <c r="J29" s="48"/>
      <c r="K29" s="48">
        <f t="shared" si="2"/>
        <v>0</v>
      </c>
      <c r="L29" s="48"/>
      <c r="M29" s="48">
        <f t="shared" si="3"/>
        <v>0</v>
      </c>
      <c r="N29" s="48">
        <v>5</v>
      </c>
      <c r="O29" s="48">
        <f t="shared" si="4"/>
        <v>25000</v>
      </c>
      <c r="P29" s="49">
        <f t="shared" si="5"/>
        <v>25000</v>
      </c>
    </row>
    <row r="30" spans="1:16" s="46" customFormat="1" ht="30">
      <c r="A30" s="21">
        <v>23</v>
      </c>
      <c r="B30" s="50"/>
      <c r="C30" s="43" t="s">
        <v>127</v>
      </c>
      <c r="D30" s="58" t="s">
        <v>37</v>
      </c>
      <c r="E30" s="58">
        <v>5000</v>
      </c>
      <c r="F30" s="58"/>
      <c r="G30" s="48">
        <f t="shared" si="0"/>
        <v>0</v>
      </c>
      <c r="H30" s="48"/>
      <c r="I30" s="48">
        <f t="shared" si="1"/>
        <v>0</v>
      </c>
      <c r="J30" s="48"/>
      <c r="K30" s="48">
        <f t="shared" si="2"/>
        <v>0</v>
      </c>
      <c r="L30" s="48"/>
      <c r="M30" s="48">
        <f t="shared" si="3"/>
        <v>0</v>
      </c>
      <c r="N30" s="48">
        <v>5</v>
      </c>
      <c r="O30" s="48">
        <f t="shared" si="4"/>
        <v>25000</v>
      </c>
      <c r="P30" s="49">
        <f t="shared" si="5"/>
        <v>25000</v>
      </c>
    </row>
    <row r="31" spans="1:16" s="46" customFormat="1" ht="30">
      <c r="A31" s="21">
        <v>24</v>
      </c>
      <c r="B31" s="50"/>
      <c r="C31" s="43" t="s">
        <v>128</v>
      </c>
      <c r="D31" s="58" t="s">
        <v>37</v>
      </c>
      <c r="E31" s="58">
        <v>5000</v>
      </c>
      <c r="F31" s="58"/>
      <c r="G31" s="48">
        <f t="shared" si="0"/>
        <v>0</v>
      </c>
      <c r="H31" s="48"/>
      <c r="I31" s="48">
        <f t="shared" si="1"/>
        <v>0</v>
      </c>
      <c r="J31" s="48"/>
      <c r="K31" s="48">
        <f t="shared" si="2"/>
        <v>0</v>
      </c>
      <c r="L31" s="48"/>
      <c r="M31" s="48">
        <f t="shared" si="3"/>
        <v>0</v>
      </c>
      <c r="N31" s="48">
        <v>1</v>
      </c>
      <c r="O31" s="48">
        <f t="shared" si="4"/>
        <v>5000</v>
      </c>
      <c r="P31" s="49">
        <f t="shared" si="5"/>
        <v>5000</v>
      </c>
    </row>
    <row r="32" spans="1:16" s="46" customFormat="1" ht="45">
      <c r="A32" s="21">
        <v>25</v>
      </c>
      <c r="B32" s="50"/>
      <c r="C32" s="43" t="s">
        <v>129</v>
      </c>
      <c r="D32" s="58" t="s">
        <v>37</v>
      </c>
      <c r="E32" s="58">
        <v>5000</v>
      </c>
      <c r="F32" s="58"/>
      <c r="G32" s="48">
        <f t="shared" si="0"/>
        <v>0</v>
      </c>
      <c r="H32" s="48"/>
      <c r="I32" s="48">
        <f t="shared" si="1"/>
        <v>0</v>
      </c>
      <c r="J32" s="48"/>
      <c r="K32" s="48">
        <f t="shared" si="2"/>
        <v>0</v>
      </c>
      <c r="L32" s="48"/>
      <c r="M32" s="48">
        <f t="shared" si="3"/>
        <v>0</v>
      </c>
      <c r="N32" s="48">
        <v>1</v>
      </c>
      <c r="O32" s="48">
        <f t="shared" si="4"/>
        <v>5000</v>
      </c>
      <c r="P32" s="49">
        <f t="shared" si="5"/>
        <v>5000</v>
      </c>
    </row>
    <row r="33" spans="1:16" s="46" customFormat="1" ht="45">
      <c r="A33" s="21">
        <v>26</v>
      </c>
      <c r="B33" s="50"/>
      <c r="C33" s="43" t="s">
        <v>130</v>
      </c>
      <c r="D33" s="58" t="s">
        <v>37</v>
      </c>
      <c r="E33" s="58">
        <v>5000</v>
      </c>
      <c r="F33" s="58"/>
      <c r="G33" s="48">
        <f t="shared" si="0"/>
        <v>0</v>
      </c>
      <c r="H33" s="48"/>
      <c r="I33" s="48">
        <f t="shared" si="1"/>
        <v>0</v>
      </c>
      <c r="J33" s="48"/>
      <c r="K33" s="48">
        <f t="shared" si="2"/>
        <v>0</v>
      </c>
      <c r="L33" s="48"/>
      <c r="M33" s="48">
        <f t="shared" si="3"/>
        <v>0</v>
      </c>
      <c r="N33" s="48">
        <v>2</v>
      </c>
      <c r="O33" s="48">
        <f t="shared" si="4"/>
        <v>10000</v>
      </c>
      <c r="P33" s="49">
        <f t="shared" si="5"/>
        <v>10000</v>
      </c>
    </row>
    <row r="34" spans="1:16" s="46" customFormat="1" ht="45">
      <c r="A34" s="21">
        <v>27</v>
      </c>
      <c r="B34" s="50"/>
      <c r="C34" s="43" t="s">
        <v>133</v>
      </c>
      <c r="D34" s="58" t="s">
        <v>37</v>
      </c>
      <c r="E34" s="58">
        <v>2000</v>
      </c>
      <c r="F34" s="58"/>
      <c r="G34" s="48">
        <f t="shared" si="0"/>
        <v>0</v>
      </c>
      <c r="H34" s="48"/>
      <c r="I34" s="48">
        <f t="shared" si="1"/>
        <v>0</v>
      </c>
      <c r="J34" s="48"/>
      <c r="K34" s="48">
        <f t="shared" si="2"/>
        <v>0</v>
      </c>
      <c r="L34" s="48"/>
      <c r="M34" s="48">
        <f t="shared" si="3"/>
        <v>0</v>
      </c>
      <c r="N34" s="48">
        <v>3</v>
      </c>
      <c r="O34" s="48">
        <f t="shared" si="4"/>
        <v>6000</v>
      </c>
      <c r="P34" s="49">
        <f t="shared" si="5"/>
        <v>6000</v>
      </c>
    </row>
    <row r="35" spans="1:16" s="46" customFormat="1" ht="30">
      <c r="A35" s="21">
        <v>28</v>
      </c>
      <c r="B35" s="50"/>
      <c r="C35" s="43" t="s">
        <v>134</v>
      </c>
      <c r="D35" s="58" t="s">
        <v>37</v>
      </c>
      <c r="E35" s="58">
        <v>2000</v>
      </c>
      <c r="F35" s="58"/>
      <c r="G35" s="48">
        <f t="shared" si="0"/>
        <v>0</v>
      </c>
      <c r="H35" s="48"/>
      <c r="I35" s="48">
        <f t="shared" si="1"/>
        <v>0</v>
      </c>
      <c r="J35" s="48"/>
      <c r="K35" s="48">
        <f t="shared" si="2"/>
        <v>0</v>
      </c>
      <c r="L35" s="48"/>
      <c r="M35" s="48">
        <f t="shared" si="3"/>
        <v>0</v>
      </c>
      <c r="N35" s="48">
        <v>3</v>
      </c>
      <c r="O35" s="48">
        <f t="shared" si="4"/>
        <v>6000</v>
      </c>
      <c r="P35" s="49">
        <f t="shared" si="5"/>
        <v>6000</v>
      </c>
    </row>
    <row r="36" spans="1:16" s="46" customFormat="1" ht="31.5">
      <c r="A36" s="21">
        <v>29</v>
      </c>
      <c r="B36" s="36"/>
      <c r="C36" s="29" t="s">
        <v>63</v>
      </c>
      <c r="D36" s="4" t="s">
        <v>62</v>
      </c>
      <c r="E36" s="14">
        <v>5000</v>
      </c>
      <c r="F36" s="4"/>
      <c r="G36" s="48">
        <f t="shared" si="0"/>
        <v>0</v>
      </c>
      <c r="H36" s="48"/>
      <c r="I36" s="48">
        <f t="shared" si="1"/>
        <v>0</v>
      </c>
      <c r="J36" s="48"/>
      <c r="K36" s="48">
        <f t="shared" si="2"/>
        <v>0</v>
      </c>
      <c r="L36" s="4"/>
      <c r="M36" s="48">
        <f t="shared" si="3"/>
        <v>0</v>
      </c>
      <c r="N36" s="2">
        <v>2</v>
      </c>
      <c r="O36" s="48">
        <f t="shared" si="4"/>
        <v>10000</v>
      </c>
      <c r="P36" s="49">
        <f t="shared" si="5"/>
        <v>10000</v>
      </c>
    </row>
    <row r="37" spans="1:16" s="46" customFormat="1" ht="23.25">
      <c r="A37" s="21">
        <v>30</v>
      </c>
      <c r="B37" s="36"/>
      <c r="C37" s="29" t="s">
        <v>64</v>
      </c>
      <c r="D37" s="4" t="s">
        <v>7</v>
      </c>
      <c r="E37" s="14">
        <v>20</v>
      </c>
      <c r="F37" s="4"/>
      <c r="G37" s="48">
        <f t="shared" si="0"/>
        <v>0</v>
      </c>
      <c r="H37" s="48"/>
      <c r="I37" s="48">
        <f t="shared" si="1"/>
        <v>0</v>
      </c>
      <c r="J37" s="48"/>
      <c r="K37" s="48">
        <f t="shared" si="2"/>
        <v>0</v>
      </c>
      <c r="L37" s="39"/>
      <c r="M37" s="48">
        <f t="shared" si="3"/>
        <v>0</v>
      </c>
      <c r="N37" s="41">
        <v>450</v>
      </c>
      <c r="O37" s="48">
        <f t="shared" si="4"/>
        <v>9000</v>
      </c>
      <c r="P37" s="49">
        <f t="shared" si="5"/>
        <v>9000</v>
      </c>
    </row>
    <row r="38" spans="1:16" s="46" customFormat="1" ht="31.5">
      <c r="A38" s="21">
        <v>31</v>
      </c>
      <c r="B38" s="36" t="s">
        <v>32</v>
      </c>
      <c r="C38" s="29" t="s">
        <v>68</v>
      </c>
      <c r="D38" s="4" t="s">
        <v>37</v>
      </c>
      <c r="E38" s="3">
        <v>10000</v>
      </c>
      <c r="F38" s="4"/>
      <c r="G38" s="48">
        <f t="shared" si="0"/>
        <v>0</v>
      </c>
      <c r="H38" s="48"/>
      <c r="I38" s="48">
        <f t="shared" si="1"/>
        <v>0</v>
      </c>
      <c r="J38" s="48"/>
      <c r="K38" s="48">
        <f t="shared" si="2"/>
        <v>0</v>
      </c>
      <c r="L38" s="39"/>
      <c r="M38" s="48">
        <f t="shared" si="3"/>
        <v>0</v>
      </c>
      <c r="N38" s="41">
        <v>1</v>
      </c>
      <c r="O38" s="48">
        <f t="shared" si="4"/>
        <v>10000</v>
      </c>
      <c r="P38" s="49">
        <f t="shared" si="5"/>
        <v>10000</v>
      </c>
    </row>
    <row r="39" spans="1:16" s="46" customFormat="1" ht="15.75">
      <c r="A39" s="21">
        <v>32</v>
      </c>
      <c r="B39" s="50"/>
      <c r="C39" s="42" t="s">
        <v>121</v>
      </c>
      <c r="D39" s="7" t="s">
        <v>7</v>
      </c>
      <c r="E39" s="7">
        <v>25</v>
      </c>
      <c r="F39" s="48"/>
      <c r="G39" s="48">
        <f t="shared" si="0"/>
        <v>0</v>
      </c>
      <c r="H39" s="48"/>
      <c r="I39" s="48">
        <f t="shared" si="1"/>
        <v>0</v>
      </c>
      <c r="J39" s="48"/>
      <c r="K39" s="48">
        <f t="shared" si="2"/>
        <v>0</v>
      </c>
      <c r="L39" s="48"/>
      <c r="M39" s="48">
        <f t="shared" si="3"/>
        <v>0</v>
      </c>
      <c r="N39" s="48">
        <v>750</v>
      </c>
      <c r="O39" s="48">
        <f t="shared" si="4"/>
        <v>18750</v>
      </c>
      <c r="P39" s="49">
        <f t="shared" si="5"/>
        <v>18750</v>
      </c>
    </row>
    <row r="40" spans="1:16" s="46" customFormat="1" ht="31.5">
      <c r="A40" s="21">
        <v>33</v>
      </c>
      <c r="B40" s="13"/>
      <c r="C40" s="22" t="s">
        <v>23</v>
      </c>
      <c r="D40" s="17" t="s">
        <v>5</v>
      </c>
      <c r="E40" s="1">
        <v>300</v>
      </c>
      <c r="F40" s="12"/>
      <c r="G40" s="48">
        <f t="shared" si="0"/>
        <v>0</v>
      </c>
      <c r="H40" s="48"/>
      <c r="I40" s="48">
        <f t="shared" si="1"/>
        <v>0</v>
      </c>
      <c r="J40" s="48"/>
      <c r="K40" s="48">
        <f t="shared" si="2"/>
        <v>0</v>
      </c>
      <c r="L40" s="3">
        <v>6</v>
      </c>
      <c r="M40" s="48">
        <f t="shared" si="3"/>
        <v>1800</v>
      </c>
      <c r="N40" s="3"/>
      <c r="O40" s="48">
        <f t="shared" si="4"/>
        <v>0</v>
      </c>
      <c r="P40" s="49">
        <f t="shared" si="5"/>
        <v>1800</v>
      </c>
    </row>
    <row r="41" spans="1:16" s="46" customFormat="1" ht="15.75">
      <c r="A41" s="21">
        <v>34</v>
      </c>
      <c r="B41" s="13"/>
      <c r="C41" s="22" t="s">
        <v>17</v>
      </c>
      <c r="D41" s="17" t="s">
        <v>5</v>
      </c>
      <c r="E41" s="1">
        <v>250</v>
      </c>
      <c r="F41" s="4"/>
      <c r="G41" s="48">
        <f t="shared" si="0"/>
        <v>0</v>
      </c>
      <c r="H41" s="48"/>
      <c r="I41" s="48">
        <f t="shared" si="1"/>
        <v>0</v>
      </c>
      <c r="J41" s="48"/>
      <c r="K41" s="48">
        <f t="shared" si="2"/>
        <v>0</v>
      </c>
      <c r="L41" s="3">
        <v>2</v>
      </c>
      <c r="M41" s="48">
        <f t="shared" si="3"/>
        <v>500</v>
      </c>
      <c r="N41" s="12"/>
      <c r="O41" s="48">
        <f t="shared" si="4"/>
        <v>0</v>
      </c>
      <c r="P41" s="49">
        <f t="shared" si="5"/>
        <v>500</v>
      </c>
    </row>
    <row r="42" spans="1:16" s="46" customFormat="1" ht="15.75">
      <c r="A42" s="21">
        <v>35</v>
      </c>
      <c r="B42" s="13"/>
      <c r="C42" s="22" t="s">
        <v>31</v>
      </c>
      <c r="D42" s="17" t="s">
        <v>5</v>
      </c>
      <c r="E42" s="1">
        <v>114682.21</v>
      </c>
      <c r="F42" s="2"/>
      <c r="G42" s="48">
        <f t="shared" si="0"/>
        <v>0</v>
      </c>
      <c r="H42" s="48"/>
      <c r="I42" s="48">
        <f t="shared" si="1"/>
        <v>0</v>
      </c>
      <c r="J42" s="48"/>
      <c r="K42" s="48">
        <f t="shared" si="2"/>
        <v>0</v>
      </c>
      <c r="L42" s="3">
        <v>2</v>
      </c>
      <c r="M42" s="48">
        <f t="shared" si="3"/>
        <v>229364.42</v>
      </c>
      <c r="N42" s="3"/>
      <c r="O42" s="48">
        <f t="shared" si="4"/>
        <v>0</v>
      </c>
      <c r="P42" s="49">
        <f t="shared" si="5"/>
        <v>229364.42</v>
      </c>
    </row>
    <row r="43" spans="1:16" s="46" customFormat="1" ht="30">
      <c r="A43" s="21">
        <v>36</v>
      </c>
      <c r="B43" s="13"/>
      <c r="C43" s="61" t="s">
        <v>169</v>
      </c>
      <c r="D43" s="17" t="s">
        <v>5</v>
      </c>
      <c r="E43" s="1">
        <v>1000</v>
      </c>
      <c r="F43" s="2"/>
      <c r="G43" s="48">
        <f t="shared" si="0"/>
        <v>0</v>
      </c>
      <c r="H43" s="48"/>
      <c r="I43" s="48">
        <f t="shared" si="1"/>
        <v>0</v>
      </c>
      <c r="J43" s="48"/>
      <c r="K43" s="48">
        <f t="shared" si="2"/>
        <v>0</v>
      </c>
      <c r="L43" s="3"/>
      <c r="M43" s="48">
        <f t="shared" si="3"/>
        <v>0</v>
      </c>
      <c r="N43" s="3">
        <v>1</v>
      </c>
      <c r="O43" s="48">
        <f t="shared" si="4"/>
        <v>1000</v>
      </c>
      <c r="P43" s="49">
        <f t="shared" si="5"/>
        <v>1000</v>
      </c>
    </row>
    <row r="44" spans="1:16" s="46" customFormat="1" ht="25.5">
      <c r="A44" s="21">
        <v>37</v>
      </c>
      <c r="B44" s="13"/>
      <c r="C44" s="82" t="s">
        <v>180</v>
      </c>
      <c r="D44" s="17" t="s">
        <v>5</v>
      </c>
      <c r="E44" s="1">
        <v>1000</v>
      </c>
      <c r="F44" s="2"/>
      <c r="G44" s="48">
        <f t="shared" si="0"/>
        <v>0</v>
      </c>
      <c r="H44" s="48">
        <v>6</v>
      </c>
      <c r="I44" s="48">
        <f t="shared" si="1"/>
        <v>6000</v>
      </c>
      <c r="J44" s="48"/>
      <c r="K44" s="48">
        <f t="shared" si="2"/>
        <v>0</v>
      </c>
      <c r="L44" s="3"/>
      <c r="M44" s="48">
        <f t="shared" si="3"/>
        <v>0</v>
      </c>
      <c r="N44" s="3"/>
      <c r="O44" s="48">
        <f t="shared" si="4"/>
        <v>0</v>
      </c>
      <c r="P44" s="49">
        <f t="shared" si="5"/>
        <v>6000</v>
      </c>
    </row>
    <row r="45" spans="1:16" s="46" customFormat="1" ht="25.5">
      <c r="A45" s="21">
        <v>38</v>
      </c>
      <c r="B45" s="13"/>
      <c r="C45" s="82" t="s">
        <v>181</v>
      </c>
      <c r="D45" s="17" t="s">
        <v>5</v>
      </c>
      <c r="E45" s="1">
        <v>1000</v>
      </c>
      <c r="F45" s="2"/>
      <c r="G45" s="48">
        <f t="shared" si="0"/>
        <v>0</v>
      </c>
      <c r="H45" s="48">
        <v>1</v>
      </c>
      <c r="I45" s="48">
        <f t="shared" si="1"/>
        <v>1000</v>
      </c>
      <c r="J45" s="48"/>
      <c r="K45" s="48">
        <f t="shared" si="2"/>
        <v>0</v>
      </c>
      <c r="L45" s="3"/>
      <c r="M45" s="48">
        <f t="shared" si="3"/>
        <v>0</v>
      </c>
      <c r="N45" s="3"/>
      <c r="O45" s="48">
        <f t="shared" si="4"/>
        <v>0</v>
      </c>
      <c r="P45" s="49">
        <f t="shared" si="5"/>
        <v>1000</v>
      </c>
    </row>
    <row r="46" spans="1:16" s="46" customFormat="1" ht="25.5">
      <c r="A46" s="21">
        <v>39</v>
      </c>
      <c r="B46" s="13"/>
      <c r="C46" s="82" t="s">
        <v>182</v>
      </c>
      <c r="D46" s="17" t="s">
        <v>5</v>
      </c>
      <c r="E46" s="1">
        <v>1000</v>
      </c>
      <c r="F46" s="2"/>
      <c r="G46" s="48">
        <f t="shared" si="0"/>
        <v>0</v>
      </c>
      <c r="H46" s="48">
        <v>1</v>
      </c>
      <c r="I46" s="48">
        <f t="shared" si="1"/>
        <v>1000</v>
      </c>
      <c r="J46" s="48"/>
      <c r="K46" s="48">
        <f t="shared" si="2"/>
        <v>0</v>
      </c>
      <c r="L46" s="3"/>
      <c r="M46" s="48">
        <f t="shared" si="3"/>
        <v>0</v>
      </c>
      <c r="N46" s="3"/>
      <c r="O46" s="48">
        <f t="shared" si="4"/>
        <v>0</v>
      </c>
      <c r="P46" s="49">
        <f t="shared" si="5"/>
        <v>1000</v>
      </c>
    </row>
    <row r="47" spans="1:16" s="46" customFormat="1" ht="37.5">
      <c r="A47" s="21">
        <v>40</v>
      </c>
      <c r="B47" s="13"/>
      <c r="C47" s="88" t="s">
        <v>194</v>
      </c>
      <c r="D47" s="89" t="s">
        <v>195</v>
      </c>
      <c r="E47" s="9">
        <v>35</v>
      </c>
      <c r="F47" s="2"/>
      <c r="G47" s="48">
        <f t="shared" si="0"/>
        <v>0</v>
      </c>
      <c r="H47" s="90">
        <v>435</v>
      </c>
      <c r="I47" s="48">
        <f t="shared" si="1"/>
        <v>15225</v>
      </c>
      <c r="J47" s="48"/>
      <c r="K47" s="48">
        <f t="shared" si="2"/>
        <v>0</v>
      </c>
      <c r="L47" s="3"/>
      <c r="M47" s="48">
        <f t="shared" si="3"/>
        <v>0</v>
      </c>
      <c r="N47" s="3"/>
      <c r="O47" s="48">
        <f t="shared" si="4"/>
        <v>0</v>
      </c>
      <c r="P47" s="49">
        <f t="shared" si="5"/>
        <v>15225</v>
      </c>
    </row>
    <row r="48" spans="1:16" s="46" customFormat="1" ht="37.5">
      <c r="A48" s="21">
        <v>41</v>
      </c>
      <c r="B48" s="13"/>
      <c r="C48" s="88" t="s">
        <v>196</v>
      </c>
      <c r="D48" s="89" t="s">
        <v>193</v>
      </c>
      <c r="E48" s="9">
        <v>250</v>
      </c>
      <c r="F48" s="2"/>
      <c r="G48" s="48">
        <f t="shared" si="0"/>
        <v>0</v>
      </c>
      <c r="H48" s="90">
        <v>15</v>
      </c>
      <c r="I48" s="48">
        <f t="shared" si="1"/>
        <v>3750</v>
      </c>
      <c r="J48" s="48"/>
      <c r="K48" s="48">
        <f t="shared" si="2"/>
        <v>0</v>
      </c>
      <c r="L48" s="3"/>
      <c r="M48" s="48">
        <f t="shared" si="3"/>
        <v>0</v>
      </c>
      <c r="N48" s="3"/>
      <c r="O48" s="48">
        <f t="shared" si="4"/>
        <v>0</v>
      </c>
      <c r="P48" s="49">
        <f t="shared" si="5"/>
        <v>3750</v>
      </c>
    </row>
    <row r="49" spans="1:16" s="46" customFormat="1" ht="37.5">
      <c r="A49" s="21">
        <v>42</v>
      </c>
      <c r="B49" s="13"/>
      <c r="C49" s="88" t="s">
        <v>197</v>
      </c>
      <c r="D49" s="89" t="s">
        <v>193</v>
      </c>
      <c r="E49" s="9">
        <v>500</v>
      </c>
      <c r="F49" s="2"/>
      <c r="G49" s="48">
        <f t="shared" si="0"/>
        <v>0</v>
      </c>
      <c r="H49" s="90">
        <v>24</v>
      </c>
      <c r="I49" s="48">
        <f t="shared" si="1"/>
        <v>12000</v>
      </c>
      <c r="J49" s="48"/>
      <c r="K49" s="48">
        <f t="shared" si="2"/>
        <v>0</v>
      </c>
      <c r="L49" s="3"/>
      <c r="M49" s="48">
        <f t="shared" si="3"/>
        <v>0</v>
      </c>
      <c r="N49" s="3"/>
      <c r="O49" s="48">
        <f t="shared" si="4"/>
        <v>0</v>
      </c>
      <c r="P49" s="49">
        <f t="shared" si="5"/>
        <v>12000</v>
      </c>
    </row>
    <row r="50" spans="1:16" s="64" customFormat="1" ht="15.75">
      <c r="A50" s="68"/>
      <c r="B50" s="69"/>
      <c r="C50" s="70"/>
      <c r="D50" s="71"/>
      <c r="E50" s="71"/>
      <c r="F50" s="71"/>
      <c r="G50" s="62"/>
      <c r="H50" s="62"/>
      <c r="I50" s="62"/>
      <c r="J50" s="62"/>
      <c r="K50" s="62"/>
      <c r="L50" s="62"/>
      <c r="M50" s="62"/>
      <c r="N50" s="62"/>
      <c r="O50" s="62"/>
      <c r="P50" s="63">
        <f>SUM(P8:P49)</f>
        <v>501969.42000000004</v>
      </c>
    </row>
    <row r="51" spans="1:16" s="46" customFormat="1" ht="17.25">
      <c r="A51" s="21">
        <v>43</v>
      </c>
      <c r="B51" s="51" t="s">
        <v>2</v>
      </c>
      <c r="C51" s="22" t="s">
        <v>3</v>
      </c>
      <c r="D51" s="17" t="s">
        <v>4</v>
      </c>
      <c r="E51" s="2">
        <v>20000</v>
      </c>
      <c r="F51" s="1">
        <v>0.44</v>
      </c>
      <c r="G51" s="48">
        <f t="shared" si="0"/>
        <v>8800</v>
      </c>
      <c r="H51" s="48"/>
      <c r="I51" s="48">
        <f t="shared" si="1"/>
        <v>0</v>
      </c>
      <c r="J51" s="48"/>
      <c r="K51" s="48">
        <f t="shared" si="2"/>
        <v>0</v>
      </c>
      <c r="L51" s="3"/>
      <c r="M51" s="48">
        <f t="shared" si="3"/>
        <v>0</v>
      </c>
      <c r="N51" s="3"/>
      <c r="O51" s="48">
        <f t="shared" si="4"/>
        <v>0</v>
      </c>
      <c r="P51" s="49">
        <f t="shared" si="5"/>
        <v>8800</v>
      </c>
    </row>
    <row r="52" spans="1:16" s="46" customFormat="1" ht="15.75">
      <c r="A52" s="21">
        <v>44</v>
      </c>
      <c r="B52" s="13"/>
      <c r="C52" s="22" t="s">
        <v>6</v>
      </c>
      <c r="D52" s="17" t="s">
        <v>7</v>
      </c>
      <c r="E52" s="1">
        <v>20</v>
      </c>
      <c r="F52" s="2">
        <v>150</v>
      </c>
      <c r="G52" s="48">
        <f t="shared" si="0"/>
        <v>3000</v>
      </c>
      <c r="H52" s="48"/>
      <c r="I52" s="48">
        <f t="shared" si="1"/>
        <v>0</v>
      </c>
      <c r="J52" s="48"/>
      <c r="K52" s="48">
        <f t="shared" si="2"/>
        <v>0</v>
      </c>
      <c r="L52" s="3"/>
      <c r="M52" s="48">
        <f t="shared" si="3"/>
        <v>0</v>
      </c>
      <c r="N52" s="3"/>
      <c r="O52" s="48">
        <f t="shared" si="4"/>
        <v>0</v>
      </c>
      <c r="P52" s="49">
        <f t="shared" si="5"/>
        <v>3000</v>
      </c>
    </row>
    <row r="53" spans="1:16" s="46" customFormat="1" ht="31.5">
      <c r="A53" s="21">
        <v>45</v>
      </c>
      <c r="B53" s="52" t="s">
        <v>8</v>
      </c>
      <c r="C53" s="22" t="s">
        <v>9</v>
      </c>
      <c r="D53" s="17" t="s">
        <v>5</v>
      </c>
      <c r="E53" s="1">
        <v>300</v>
      </c>
      <c r="F53" s="2">
        <v>12</v>
      </c>
      <c r="G53" s="48">
        <f t="shared" si="0"/>
        <v>3600</v>
      </c>
      <c r="H53" s="48"/>
      <c r="I53" s="48">
        <f t="shared" si="1"/>
        <v>0</v>
      </c>
      <c r="J53" s="48"/>
      <c r="K53" s="48">
        <f t="shared" si="2"/>
        <v>0</v>
      </c>
      <c r="L53" s="3"/>
      <c r="M53" s="48">
        <f t="shared" si="3"/>
        <v>0</v>
      </c>
      <c r="N53" s="3"/>
      <c r="O53" s="48">
        <f t="shared" si="4"/>
        <v>0</v>
      </c>
      <c r="P53" s="49">
        <f t="shared" si="5"/>
        <v>3600</v>
      </c>
    </row>
    <row r="54" spans="1:16" s="53" customFormat="1" ht="15.75">
      <c r="A54" s="21">
        <v>46</v>
      </c>
      <c r="B54" s="44" t="s">
        <v>12</v>
      </c>
      <c r="C54" s="22" t="s">
        <v>13</v>
      </c>
      <c r="D54" s="17" t="s">
        <v>5</v>
      </c>
      <c r="E54" s="1">
        <v>3000</v>
      </c>
      <c r="F54" s="2">
        <v>2</v>
      </c>
      <c r="G54" s="48">
        <f t="shared" si="0"/>
        <v>6000</v>
      </c>
      <c r="H54" s="17"/>
      <c r="I54" s="48">
        <f t="shared" si="1"/>
        <v>0</v>
      </c>
      <c r="J54" s="17"/>
      <c r="K54" s="48">
        <f t="shared" si="2"/>
        <v>0</v>
      </c>
      <c r="L54" s="3"/>
      <c r="M54" s="48">
        <f t="shared" si="3"/>
        <v>0</v>
      </c>
      <c r="N54" s="3"/>
      <c r="O54" s="48">
        <f t="shared" si="4"/>
        <v>0</v>
      </c>
      <c r="P54" s="49">
        <f t="shared" si="5"/>
        <v>6000</v>
      </c>
    </row>
    <row r="55" spans="1:16" s="46" customFormat="1" ht="31.5">
      <c r="A55" s="21">
        <v>47</v>
      </c>
      <c r="B55" s="13"/>
      <c r="C55" s="24" t="s">
        <v>14</v>
      </c>
      <c r="D55" s="17" t="s">
        <v>5</v>
      </c>
      <c r="E55" s="1">
        <v>120</v>
      </c>
      <c r="F55" s="2">
        <v>8</v>
      </c>
      <c r="G55" s="48">
        <f t="shared" si="0"/>
        <v>960</v>
      </c>
      <c r="H55" s="48"/>
      <c r="I55" s="48">
        <f t="shared" si="1"/>
        <v>0</v>
      </c>
      <c r="J55" s="48"/>
      <c r="K55" s="48">
        <f t="shared" si="2"/>
        <v>0</v>
      </c>
      <c r="L55" s="3"/>
      <c r="M55" s="48">
        <f t="shared" si="3"/>
        <v>0</v>
      </c>
      <c r="N55" s="3"/>
      <c r="O55" s="48">
        <f t="shared" si="4"/>
        <v>0</v>
      </c>
      <c r="P55" s="49">
        <f t="shared" si="5"/>
        <v>960</v>
      </c>
    </row>
    <row r="56" spans="1:16" s="46" customFormat="1" ht="17.25">
      <c r="A56" s="21">
        <v>48</v>
      </c>
      <c r="B56" s="52" t="s">
        <v>8</v>
      </c>
      <c r="C56" s="22" t="s">
        <v>19</v>
      </c>
      <c r="D56" s="17" t="s">
        <v>5</v>
      </c>
      <c r="E56" s="1">
        <v>250</v>
      </c>
      <c r="F56" s="2">
        <v>3</v>
      </c>
      <c r="G56" s="48">
        <f t="shared" si="0"/>
        <v>750</v>
      </c>
      <c r="H56" s="48"/>
      <c r="I56" s="48">
        <f t="shared" si="1"/>
        <v>0</v>
      </c>
      <c r="J56" s="48"/>
      <c r="K56" s="48">
        <f t="shared" si="2"/>
        <v>0</v>
      </c>
      <c r="L56" s="3"/>
      <c r="M56" s="48">
        <f t="shared" si="3"/>
        <v>0</v>
      </c>
      <c r="N56" s="40"/>
      <c r="O56" s="48">
        <f t="shared" si="4"/>
        <v>0</v>
      </c>
      <c r="P56" s="49">
        <f t="shared" si="5"/>
        <v>750</v>
      </c>
    </row>
    <row r="57" spans="1:16" s="46" customFormat="1" ht="17.25">
      <c r="A57" s="21">
        <v>49</v>
      </c>
      <c r="B57" s="51" t="s">
        <v>20</v>
      </c>
      <c r="C57" s="22" t="s">
        <v>21</v>
      </c>
      <c r="D57" s="17" t="s">
        <v>5</v>
      </c>
      <c r="E57" s="1">
        <v>2000</v>
      </c>
      <c r="F57" s="2">
        <v>2</v>
      </c>
      <c r="G57" s="48">
        <f t="shared" si="0"/>
        <v>4000</v>
      </c>
      <c r="H57" s="48"/>
      <c r="I57" s="48">
        <f t="shared" si="1"/>
        <v>0</v>
      </c>
      <c r="J57" s="48"/>
      <c r="K57" s="48">
        <f t="shared" si="2"/>
        <v>0</v>
      </c>
      <c r="L57" s="3"/>
      <c r="M57" s="48">
        <f t="shared" si="3"/>
        <v>0</v>
      </c>
      <c r="N57" s="40"/>
      <c r="O57" s="48">
        <f t="shared" si="4"/>
        <v>0</v>
      </c>
      <c r="P57" s="49">
        <f t="shared" si="5"/>
        <v>4000</v>
      </c>
    </row>
    <row r="58" spans="1:16" s="46" customFormat="1" ht="31.5">
      <c r="A58" s="21">
        <v>50</v>
      </c>
      <c r="B58" s="13"/>
      <c r="C58" s="23" t="s">
        <v>26</v>
      </c>
      <c r="D58" s="17" t="s">
        <v>5</v>
      </c>
      <c r="E58" s="1">
        <v>4990</v>
      </c>
      <c r="F58" s="2">
        <v>5</v>
      </c>
      <c r="G58" s="48">
        <f t="shared" si="0"/>
        <v>24950</v>
      </c>
      <c r="H58" s="48"/>
      <c r="I58" s="48">
        <f t="shared" si="1"/>
        <v>0</v>
      </c>
      <c r="J58" s="48"/>
      <c r="K58" s="48">
        <f t="shared" si="2"/>
        <v>0</v>
      </c>
      <c r="L58" s="3"/>
      <c r="M58" s="48">
        <f t="shared" si="3"/>
        <v>0</v>
      </c>
      <c r="N58" s="3"/>
      <c r="O58" s="48">
        <f t="shared" si="4"/>
        <v>0</v>
      </c>
      <c r="P58" s="49">
        <f t="shared" si="5"/>
        <v>24950</v>
      </c>
    </row>
    <row r="59" spans="1:16" s="46" customFormat="1" ht="31.5">
      <c r="A59" s="21">
        <v>51</v>
      </c>
      <c r="B59" s="51" t="s">
        <v>27</v>
      </c>
      <c r="C59" s="22" t="s">
        <v>28</v>
      </c>
      <c r="D59" s="17" t="s">
        <v>5</v>
      </c>
      <c r="E59" s="1">
        <v>60</v>
      </c>
      <c r="F59" s="2">
        <v>4</v>
      </c>
      <c r="G59" s="48">
        <f t="shared" si="0"/>
        <v>240</v>
      </c>
      <c r="H59" s="48"/>
      <c r="I59" s="48">
        <f t="shared" si="1"/>
        <v>0</v>
      </c>
      <c r="J59" s="48"/>
      <c r="K59" s="48">
        <f t="shared" si="2"/>
        <v>0</v>
      </c>
      <c r="L59" s="3"/>
      <c r="M59" s="48">
        <f t="shared" si="3"/>
        <v>0</v>
      </c>
      <c r="N59" s="3"/>
      <c r="O59" s="48">
        <f t="shared" si="4"/>
        <v>0</v>
      </c>
      <c r="P59" s="49">
        <f t="shared" si="5"/>
        <v>240</v>
      </c>
    </row>
    <row r="60" spans="1:16" s="46" customFormat="1" ht="31.5">
      <c r="A60" s="21">
        <v>52</v>
      </c>
      <c r="B60" s="13"/>
      <c r="C60" s="22" t="s">
        <v>29</v>
      </c>
      <c r="D60" s="17" t="s">
        <v>5</v>
      </c>
      <c r="E60" s="1">
        <v>110</v>
      </c>
      <c r="F60" s="2">
        <v>10</v>
      </c>
      <c r="G60" s="48">
        <f t="shared" si="0"/>
        <v>1100</v>
      </c>
      <c r="H60" s="48"/>
      <c r="I60" s="48">
        <f t="shared" si="1"/>
        <v>0</v>
      </c>
      <c r="J60" s="48"/>
      <c r="K60" s="48">
        <f t="shared" si="2"/>
        <v>0</v>
      </c>
      <c r="L60" s="3"/>
      <c r="M60" s="48">
        <f t="shared" si="3"/>
        <v>0</v>
      </c>
      <c r="N60" s="3"/>
      <c r="O60" s="48">
        <f t="shared" si="4"/>
        <v>0</v>
      </c>
      <c r="P60" s="49">
        <f t="shared" si="5"/>
        <v>1100</v>
      </c>
    </row>
    <row r="61" spans="1:16" s="46" customFormat="1" ht="31.5">
      <c r="A61" s="21">
        <v>53</v>
      </c>
      <c r="B61" s="51"/>
      <c r="C61" s="22" t="s">
        <v>33</v>
      </c>
      <c r="D61" s="17" t="s">
        <v>5</v>
      </c>
      <c r="E61" s="1">
        <v>3140.81</v>
      </c>
      <c r="F61" s="2">
        <v>1</v>
      </c>
      <c r="G61" s="48">
        <f t="shared" si="0"/>
        <v>3140.81</v>
      </c>
      <c r="H61" s="48"/>
      <c r="I61" s="48">
        <f t="shared" si="1"/>
        <v>0</v>
      </c>
      <c r="J61" s="48"/>
      <c r="K61" s="48">
        <f t="shared" si="2"/>
        <v>0</v>
      </c>
      <c r="L61" s="3"/>
      <c r="M61" s="48">
        <f t="shared" si="3"/>
        <v>0</v>
      </c>
      <c r="N61" s="3"/>
      <c r="O61" s="48">
        <f t="shared" si="4"/>
        <v>0</v>
      </c>
      <c r="P61" s="49">
        <f t="shared" si="5"/>
        <v>3140.81</v>
      </c>
    </row>
    <row r="62" spans="1:16" s="46" customFormat="1" ht="15.75">
      <c r="A62" s="21">
        <v>54</v>
      </c>
      <c r="B62" s="19" t="s">
        <v>22</v>
      </c>
      <c r="C62" s="22" t="s">
        <v>34</v>
      </c>
      <c r="D62" s="17" t="s">
        <v>5</v>
      </c>
      <c r="E62" s="1">
        <v>11226.25</v>
      </c>
      <c r="F62" s="2">
        <v>4</v>
      </c>
      <c r="G62" s="48">
        <f t="shared" si="0"/>
        <v>44905</v>
      </c>
      <c r="H62" s="48"/>
      <c r="I62" s="48">
        <f t="shared" si="1"/>
        <v>0</v>
      </c>
      <c r="J62" s="48"/>
      <c r="K62" s="48">
        <f t="shared" si="2"/>
        <v>0</v>
      </c>
      <c r="L62" s="3"/>
      <c r="M62" s="48">
        <f t="shared" si="3"/>
        <v>0</v>
      </c>
      <c r="N62" s="3"/>
      <c r="O62" s="48">
        <f t="shared" si="4"/>
        <v>0</v>
      </c>
      <c r="P62" s="49">
        <f t="shared" si="5"/>
        <v>44905</v>
      </c>
    </row>
    <row r="63" spans="1:16" s="46" customFormat="1" ht="15.75">
      <c r="A63" s="21">
        <v>55</v>
      </c>
      <c r="B63" s="19" t="s">
        <v>35</v>
      </c>
      <c r="C63" s="22" t="s">
        <v>36</v>
      </c>
      <c r="D63" s="17" t="s">
        <v>5</v>
      </c>
      <c r="E63" s="1">
        <v>31720.29</v>
      </c>
      <c r="F63" s="2">
        <v>4</v>
      </c>
      <c r="G63" s="48">
        <f t="shared" si="0"/>
        <v>126881.16</v>
      </c>
      <c r="H63" s="48"/>
      <c r="I63" s="48">
        <f t="shared" si="1"/>
        <v>0</v>
      </c>
      <c r="J63" s="48"/>
      <c r="K63" s="48">
        <f t="shared" si="2"/>
        <v>0</v>
      </c>
      <c r="L63" s="3"/>
      <c r="M63" s="48">
        <f t="shared" si="3"/>
        <v>0</v>
      </c>
      <c r="N63" s="3"/>
      <c r="O63" s="48">
        <f t="shared" si="4"/>
        <v>0</v>
      </c>
      <c r="P63" s="49">
        <f t="shared" si="5"/>
        <v>126881.16</v>
      </c>
    </row>
    <row r="64" spans="1:16" s="46" customFormat="1" ht="37.5">
      <c r="A64" s="21">
        <v>56</v>
      </c>
      <c r="B64" s="19" t="s">
        <v>38</v>
      </c>
      <c r="C64" s="25" t="s">
        <v>39</v>
      </c>
      <c r="D64" s="5" t="s">
        <v>40</v>
      </c>
      <c r="E64" s="4">
        <v>1129.33</v>
      </c>
      <c r="F64" s="1">
        <v>2</v>
      </c>
      <c r="G64" s="48">
        <f t="shared" si="0"/>
        <v>2258.66</v>
      </c>
      <c r="H64" s="48"/>
      <c r="I64" s="48">
        <f t="shared" si="1"/>
        <v>0</v>
      </c>
      <c r="J64" s="48"/>
      <c r="K64" s="48">
        <f t="shared" si="2"/>
        <v>0</v>
      </c>
      <c r="L64" s="3"/>
      <c r="M64" s="48">
        <f t="shared" si="3"/>
        <v>0</v>
      </c>
      <c r="N64" s="3"/>
      <c r="O64" s="48">
        <f t="shared" si="4"/>
        <v>0</v>
      </c>
      <c r="P64" s="49">
        <f t="shared" si="5"/>
        <v>2258.66</v>
      </c>
    </row>
    <row r="65" spans="1:16" s="46" customFormat="1" ht="150">
      <c r="A65" s="21">
        <v>57</v>
      </c>
      <c r="B65" s="51"/>
      <c r="C65" s="25" t="s">
        <v>41</v>
      </c>
      <c r="D65" s="5" t="s">
        <v>37</v>
      </c>
      <c r="E65" s="1">
        <v>124848.87</v>
      </c>
      <c r="F65" s="1">
        <v>1</v>
      </c>
      <c r="G65" s="48">
        <f t="shared" si="0"/>
        <v>124848.87</v>
      </c>
      <c r="H65" s="48"/>
      <c r="I65" s="48">
        <f t="shared" si="1"/>
        <v>0</v>
      </c>
      <c r="J65" s="48"/>
      <c r="K65" s="48">
        <f t="shared" si="2"/>
        <v>0</v>
      </c>
      <c r="L65" s="3"/>
      <c r="M65" s="48">
        <f t="shared" si="3"/>
        <v>0</v>
      </c>
      <c r="N65" s="2"/>
      <c r="O65" s="48">
        <f t="shared" si="4"/>
        <v>0</v>
      </c>
      <c r="P65" s="49">
        <f t="shared" si="5"/>
        <v>124848.87</v>
      </c>
    </row>
    <row r="66" spans="1:16" s="46" customFormat="1" ht="56.25">
      <c r="A66" s="21">
        <v>58</v>
      </c>
      <c r="B66" s="52" t="s">
        <v>42</v>
      </c>
      <c r="C66" s="25" t="s">
        <v>43</v>
      </c>
      <c r="D66" s="5" t="s">
        <v>37</v>
      </c>
      <c r="E66" s="1">
        <v>37455</v>
      </c>
      <c r="F66" s="1">
        <v>2</v>
      </c>
      <c r="G66" s="48">
        <f t="shared" si="0"/>
        <v>74910</v>
      </c>
      <c r="H66" s="48"/>
      <c r="I66" s="48">
        <f t="shared" si="1"/>
        <v>0</v>
      </c>
      <c r="J66" s="48"/>
      <c r="K66" s="48">
        <f t="shared" si="2"/>
        <v>0</v>
      </c>
      <c r="L66" s="3"/>
      <c r="M66" s="48">
        <f t="shared" si="3"/>
        <v>0</v>
      </c>
      <c r="N66" s="2"/>
      <c r="O66" s="48">
        <f t="shared" si="4"/>
        <v>0</v>
      </c>
      <c r="P66" s="49">
        <f t="shared" si="5"/>
        <v>74910</v>
      </c>
    </row>
    <row r="67" spans="1:16" s="46" customFormat="1" ht="56.25">
      <c r="A67" s="21">
        <v>59</v>
      </c>
      <c r="B67" s="51" t="s">
        <v>44</v>
      </c>
      <c r="C67" s="25" t="s">
        <v>45</v>
      </c>
      <c r="D67" s="5" t="s">
        <v>46</v>
      </c>
      <c r="E67" s="1">
        <v>100</v>
      </c>
      <c r="F67" s="1">
        <v>27</v>
      </c>
      <c r="G67" s="48">
        <f t="shared" si="0"/>
        <v>2700</v>
      </c>
      <c r="H67" s="48"/>
      <c r="I67" s="48">
        <f t="shared" si="1"/>
        <v>0</v>
      </c>
      <c r="J67" s="48"/>
      <c r="K67" s="48">
        <f t="shared" si="2"/>
        <v>0</v>
      </c>
      <c r="L67" s="2"/>
      <c r="M67" s="48">
        <f t="shared" si="3"/>
        <v>0</v>
      </c>
      <c r="N67" s="3"/>
      <c r="O67" s="48">
        <f t="shared" si="4"/>
        <v>0</v>
      </c>
      <c r="P67" s="49">
        <f t="shared" si="5"/>
        <v>2700</v>
      </c>
    </row>
    <row r="68" spans="1:16" s="46" customFormat="1" ht="56.25">
      <c r="A68" s="21">
        <v>60</v>
      </c>
      <c r="B68" s="34" t="s">
        <v>101</v>
      </c>
      <c r="C68" s="26" t="s">
        <v>49</v>
      </c>
      <c r="D68" s="5" t="s">
        <v>7</v>
      </c>
      <c r="E68" s="4">
        <v>100</v>
      </c>
      <c r="F68" s="1">
        <v>770</v>
      </c>
      <c r="G68" s="48">
        <f t="shared" si="0"/>
        <v>77000</v>
      </c>
      <c r="H68" s="48"/>
      <c r="I68" s="48">
        <f t="shared" si="1"/>
        <v>0</v>
      </c>
      <c r="J68" s="48"/>
      <c r="K68" s="48">
        <f t="shared" si="2"/>
        <v>0</v>
      </c>
      <c r="L68" s="3"/>
      <c r="M68" s="48">
        <f t="shared" si="3"/>
        <v>0</v>
      </c>
      <c r="N68" s="3"/>
      <c r="O68" s="48">
        <f t="shared" si="4"/>
        <v>0</v>
      </c>
      <c r="P68" s="49">
        <f t="shared" si="5"/>
        <v>77000</v>
      </c>
    </row>
    <row r="69" spans="1:16" s="46" customFormat="1" ht="75">
      <c r="A69" s="21">
        <v>61</v>
      </c>
      <c r="B69" s="19" t="s">
        <v>50</v>
      </c>
      <c r="C69" s="26" t="s">
        <v>51</v>
      </c>
      <c r="D69" s="5" t="s">
        <v>37</v>
      </c>
      <c r="E69" s="4">
        <v>783.15</v>
      </c>
      <c r="F69" s="1">
        <v>3</v>
      </c>
      <c r="G69" s="48">
        <f t="shared" si="0"/>
        <v>2349.4499999999998</v>
      </c>
      <c r="H69" s="48"/>
      <c r="I69" s="48">
        <f t="shared" si="1"/>
        <v>0</v>
      </c>
      <c r="J69" s="48"/>
      <c r="K69" s="48">
        <f t="shared" si="2"/>
        <v>0</v>
      </c>
      <c r="L69" s="3"/>
      <c r="M69" s="48">
        <f t="shared" si="3"/>
        <v>0</v>
      </c>
      <c r="N69" s="3"/>
      <c r="O69" s="48">
        <f t="shared" si="4"/>
        <v>0</v>
      </c>
      <c r="P69" s="49">
        <f t="shared" si="5"/>
        <v>2349.4499999999998</v>
      </c>
    </row>
    <row r="70" spans="1:16" s="46" customFormat="1" ht="112.5">
      <c r="A70" s="21">
        <v>62</v>
      </c>
      <c r="B70" s="51" t="s">
        <v>52</v>
      </c>
      <c r="C70" s="25" t="s">
        <v>53</v>
      </c>
      <c r="D70" s="5" t="s">
        <v>37</v>
      </c>
      <c r="E70" s="4">
        <v>56523</v>
      </c>
      <c r="F70" s="1">
        <v>1</v>
      </c>
      <c r="G70" s="48">
        <f t="shared" si="0"/>
        <v>56523</v>
      </c>
      <c r="H70" s="48"/>
      <c r="I70" s="48">
        <f t="shared" si="1"/>
        <v>0</v>
      </c>
      <c r="J70" s="48"/>
      <c r="K70" s="48">
        <f t="shared" si="2"/>
        <v>0</v>
      </c>
      <c r="L70" s="3"/>
      <c r="M70" s="48">
        <f t="shared" si="3"/>
        <v>0</v>
      </c>
      <c r="N70" s="2"/>
      <c r="O70" s="48">
        <f t="shared" si="4"/>
        <v>0</v>
      </c>
      <c r="P70" s="49">
        <f t="shared" si="5"/>
        <v>56523</v>
      </c>
    </row>
    <row r="71" spans="1:16" s="46" customFormat="1" ht="131.25">
      <c r="A71" s="21">
        <v>63</v>
      </c>
      <c r="B71" s="51" t="s">
        <v>54</v>
      </c>
      <c r="C71" s="27" t="s">
        <v>55</v>
      </c>
      <c r="D71" s="5" t="s">
        <v>37</v>
      </c>
      <c r="E71" s="4">
        <v>8824.6299999999992</v>
      </c>
      <c r="F71" s="1">
        <v>2</v>
      </c>
      <c r="G71" s="48">
        <f t="shared" si="0"/>
        <v>17649.259999999998</v>
      </c>
      <c r="H71" s="48"/>
      <c r="I71" s="48">
        <f t="shared" si="1"/>
        <v>0</v>
      </c>
      <c r="J71" s="48"/>
      <c r="K71" s="48">
        <f t="shared" si="2"/>
        <v>0</v>
      </c>
      <c r="L71" s="3"/>
      <c r="M71" s="48">
        <f t="shared" si="3"/>
        <v>0</v>
      </c>
      <c r="N71" s="3"/>
      <c r="O71" s="48">
        <f t="shared" si="4"/>
        <v>0</v>
      </c>
      <c r="P71" s="49">
        <f t="shared" si="5"/>
        <v>17649.259999999998</v>
      </c>
    </row>
    <row r="72" spans="1:16" s="46" customFormat="1" ht="56.25">
      <c r="A72" s="21">
        <v>64</v>
      </c>
      <c r="B72" s="51" t="s">
        <v>58</v>
      </c>
      <c r="C72" s="28" t="s">
        <v>59</v>
      </c>
      <c r="D72" s="5" t="s">
        <v>46</v>
      </c>
      <c r="E72" s="4">
        <v>183.2</v>
      </c>
      <c r="F72" s="1">
        <v>50</v>
      </c>
      <c r="G72" s="48">
        <f t="shared" si="0"/>
        <v>9160</v>
      </c>
      <c r="H72" s="48"/>
      <c r="I72" s="48">
        <f t="shared" si="1"/>
        <v>0</v>
      </c>
      <c r="J72" s="48"/>
      <c r="K72" s="48">
        <f t="shared" si="2"/>
        <v>0</v>
      </c>
      <c r="L72" s="3"/>
      <c r="M72" s="48">
        <f t="shared" si="3"/>
        <v>0</v>
      </c>
      <c r="N72" s="3"/>
      <c r="O72" s="48">
        <f t="shared" si="4"/>
        <v>0</v>
      </c>
      <c r="P72" s="49">
        <f t="shared" si="5"/>
        <v>9160</v>
      </c>
    </row>
    <row r="73" spans="1:16" s="46" customFormat="1" ht="63">
      <c r="A73" s="21">
        <v>65</v>
      </c>
      <c r="B73" s="51" t="s">
        <v>60</v>
      </c>
      <c r="C73" s="29" t="s">
        <v>61</v>
      </c>
      <c r="D73" s="4" t="s">
        <v>37</v>
      </c>
      <c r="E73" s="5">
        <v>5357.2</v>
      </c>
      <c r="F73" s="4">
        <v>2</v>
      </c>
      <c r="G73" s="48">
        <f t="shared" si="0"/>
        <v>10714.4</v>
      </c>
      <c r="H73" s="48"/>
      <c r="I73" s="48">
        <f t="shared" si="1"/>
        <v>0</v>
      </c>
      <c r="J73" s="48"/>
      <c r="K73" s="48">
        <f t="shared" si="2"/>
        <v>0</v>
      </c>
      <c r="L73" s="3"/>
      <c r="M73" s="48">
        <f t="shared" si="3"/>
        <v>0</v>
      </c>
      <c r="N73" s="3"/>
      <c r="O73" s="48">
        <f t="shared" si="4"/>
        <v>0</v>
      </c>
      <c r="P73" s="49">
        <f t="shared" si="5"/>
        <v>10714.4</v>
      </c>
    </row>
    <row r="74" spans="1:16" s="46" customFormat="1" ht="31.5">
      <c r="A74" s="21">
        <v>66</v>
      </c>
      <c r="B74" s="51" t="s">
        <v>71</v>
      </c>
      <c r="C74" s="38" t="s">
        <v>72</v>
      </c>
      <c r="D74" s="7" t="s">
        <v>67</v>
      </c>
      <c r="E74" s="8">
        <v>203700</v>
      </c>
      <c r="F74" s="7">
        <v>0.14000000000000001</v>
      </c>
      <c r="G74" s="48">
        <f t="shared" si="0"/>
        <v>28518.000000000004</v>
      </c>
      <c r="H74" s="48"/>
      <c r="I74" s="48">
        <f t="shared" si="1"/>
        <v>0</v>
      </c>
      <c r="J74" s="48"/>
      <c r="K74" s="48">
        <f t="shared" si="2"/>
        <v>0</v>
      </c>
      <c r="L74" s="39"/>
      <c r="M74" s="48">
        <f t="shared" si="3"/>
        <v>0</v>
      </c>
      <c r="N74" s="41"/>
      <c r="O74" s="48">
        <f t="shared" si="4"/>
        <v>0</v>
      </c>
      <c r="P74" s="49">
        <f t="shared" si="5"/>
        <v>28518.000000000004</v>
      </c>
    </row>
    <row r="75" spans="1:16" s="46" customFormat="1" ht="31.5">
      <c r="A75" s="21">
        <v>67</v>
      </c>
      <c r="B75" s="51" t="s">
        <v>70</v>
      </c>
      <c r="C75" s="30" t="s">
        <v>75</v>
      </c>
      <c r="D75" s="11" t="s">
        <v>76</v>
      </c>
      <c r="E75" s="11">
        <v>73.16</v>
      </c>
      <c r="F75" s="11">
        <v>209</v>
      </c>
      <c r="G75" s="48">
        <f t="shared" si="0"/>
        <v>15290.439999999999</v>
      </c>
      <c r="H75" s="48"/>
      <c r="I75" s="48">
        <f t="shared" si="1"/>
        <v>0</v>
      </c>
      <c r="J75" s="48"/>
      <c r="K75" s="48">
        <f t="shared" si="2"/>
        <v>0</v>
      </c>
      <c r="L75" s="39"/>
      <c r="M75" s="48">
        <f t="shared" si="3"/>
        <v>0</v>
      </c>
      <c r="N75" s="41"/>
      <c r="O75" s="48">
        <f t="shared" si="4"/>
        <v>0</v>
      </c>
      <c r="P75" s="49">
        <f t="shared" si="5"/>
        <v>15290.439999999999</v>
      </c>
    </row>
    <row r="76" spans="1:16" s="46" customFormat="1" ht="45">
      <c r="A76" s="21">
        <v>68</v>
      </c>
      <c r="B76" s="51"/>
      <c r="C76" s="33" t="s">
        <v>78</v>
      </c>
      <c r="D76" s="11" t="s">
        <v>37</v>
      </c>
      <c r="E76" s="7">
        <v>176539.8</v>
      </c>
      <c r="F76" s="11">
        <v>1</v>
      </c>
      <c r="G76" s="48">
        <f t="shared" si="0"/>
        <v>176539.8</v>
      </c>
      <c r="H76" s="48"/>
      <c r="I76" s="48">
        <f t="shared" si="1"/>
        <v>0</v>
      </c>
      <c r="J76" s="48"/>
      <c r="K76" s="48">
        <f t="shared" si="2"/>
        <v>0</v>
      </c>
      <c r="L76" s="39"/>
      <c r="M76" s="48">
        <f t="shared" si="3"/>
        <v>0</v>
      </c>
      <c r="N76" s="41"/>
      <c r="O76" s="48">
        <f t="shared" si="4"/>
        <v>0</v>
      </c>
      <c r="P76" s="49">
        <f t="shared" si="5"/>
        <v>176539.8</v>
      </c>
    </row>
    <row r="77" spans="1:16" s="46" customFormat="1" ht="45">
      <c r="A77" s="21">
        <v>69</v>
      </c>
      <c r="B77" s="51"/>
      <c r="C77" s="33" t="s">
        <v>79</v>
      </c>
      <c r="D77" s="11" t="s">
        <v>37</v>
      </c>
      <c r="E77" s="8">
        <v>188309.12</v>
      </c>
      <c r="F77" s="11">
        <v>1</v>
      </c>
      <c r="G77" s="48">
        <f t="shared" ref="G77:G118" si="6">E77*F77</f>
        <v>188309.12</v>
      </c>
      <c r="H77" s="48"/>
      <c r="I77" s="48">
        <f t="shared" ref="I77:I118" si="7">H77*E77</f>
        <v>0</v>
      </c>
      <c r="J77" s="48"/>
      <c r="K77" s="48">
        <f t="shared" ref="K77:K118" si="8">J77*E77</f>
        <v>0</v>
      </c>
      <c r="L77" s="39"/>
      <c r="M77" s="48">
        <f t="shared" ref="M77:M118" si="9">L77*E77</f>
        <v>0</v>
      </c>
      <c r="N77" s="41"/>
      <c r="O77" s="48">
        <f t="shared" ref="O77:O118" si="10">N77*E77</f>
        <v>0</v>
      </c>
      <c r="P77" s="49">
        <f t="shared" ref="P77:P118" si="11">O77+M77+K77+I77+G77</f>
        <v>188309.12</v>
      </c>
    </row>
    <row r="78" spans="1:16" s="46" customFormat="1" ht="23.25">
      <c r="A78" s="21">
        <v>70</v>
      </c>
      <c r="B78" s="36" t="s">
        <v>18</v>
      </c>
      <c r="C78" s="31" t="s">
        <v>85</v>
      </c>
      <c r="D78" s="15" t="s">
        <v>37</v>
      </c>
      <c r="E78" s="16">
        <v>10000</v>
      </c>
      <c r="F78" s="10">
        <v>1</v>
      </c>
      <c r="G78" s="48">
        <f t="shared" si="6"/>
        <v>10000</v>
      </c>
      <c r="H78" s="48"/>
      <c r="I78" s="48">
        <f t="shared" si="7"/>
        <v>0</v>
      </c>
      <c r="J78" s="48"/>
      <c r="K78" s="48">
        <f t="shared" si="8"/>
        <v>0</v>
      </c>
      <c r="L78" s="39"/>
      <c r="M78" s="48">
        <f t="shared" si="9"/>
        <v>0</v>
      </c>
      <c r="N78" s="41"/>
      <c r="O78" s="48">
        <f t="shared" si="10"/>
        <v>0</v>
      </c>
      <c r="P78" s="49">
        <f t="shared" si="11"/>
        <v>10000</v>
      </c>
    </row>
    <row r="79" spans="1:16" s="46" customFormat="1" ht="30">
      <c r="A79" s="21">
        <v>71</v>
      </c>
      <c r="B79" s="35" t="s">
        <v>97</v>
      </c>
      <c r="C79" s="31" t="s">
        <v>90</v>
      </c>
      <c r="D79" s="11" t="s">
        <v>37</v>
      </c>
      <c r="E79" s="18">
        <v>190586.52</v>
      </c>
      <c r="F79" s="15">
        <v>1</v>
      </c>
      <c r="G79" s="48">
        <f t="shared" si="6"/>
        <v>190586.52</v>
      </c>
      <c r="H79" s="48"/>
      <c r="I79" s="48">
        <f t="shared" si="7"/>
        <v>0</v>
      </c>
      <c r="J79" s="48"/>
      <c r="K79" s="48">
        <f t="shared" si="8"/>
        <v>0</v>
      </c>
      <c r="L79" s="39"/>
      <c r="M79" s="48">
        <f t="shared" si="9"/>
        <v>0</v>
      </c>
      <c r="N79" s="41"/>
      <c r="O79" s="48">
        <f t="shared" si="10"/>
        <v>0</v>
      </c>
      <c r="P79" s="49">
        <f t="shared" si="11"/>
        <v>190586.52</v>
      </c>
    </row>
    <row r="80" spans="1:16" s="46" customFormat="1" ht="45">
      <c r="A80" s="21">
        <v>72</v>
      </c>
      <c r="B80" s="50"/>
      <c r="C80" s="43" t="s">
        <v>131</v>
      </c>
      <c r="D80" s="58" t="s">
        <v>37</v>
      </c>
      <c r="E80" s="58">
        <v>5000</v>
      </c>
      <c r="F80" s="58">
        <v>3</v>
      </c>
      <c r="G80" s="48">
        <f>E80*F80</f>
        <v>15000</v>
      </c>
      <c r="H80" s="48"/>
      <c r="I80" s="48">
        <f>H80*E80</f>
        <v>0</v>
      </c>
      <c r="J80" s="48"/>
      <c r="K80" s="48">
        <f>J80*E80</f>
        <v>0</v>
      </c>
      <c r="L80" s="48"/>
      <c r="M80" s="48">
        <f>L80*E80</f>
        <v>0</v>
      </c>
      <c r="N80" s="48"/>
      <c r="O80" s="48">
        <f>N80*E80</f>
        <v>0</v>
      </c>
      <c r="P80" s="49">
        <f>O80+M80+K80+I80+G80</f>
        <v>15000</v>
      </c>
    </row>
    <row r="81" spans="1:16" s="46" customFormat="1" ht="45">
      <c r="A81" s="21">
        <v>73</v>
      </c>
      <c r="B81" s="35" t="s">
        <v>98</v>
      </c>
      <c r="C81" s="31" t="s">
        <v>91</v>
      </c>
      <c r="D81" s="11" t="s">
        <v>37</v>
      </c>
      <c r="E81" s="18">
        <v>58823</v>
      </c>
      <c r="F81" s="15">
        <v>1</v>
      </c>
      <c r="G81" s="48">
        <f t="shared" si="6"/>
        <v>58823</v>
      </c>
      <c r="H81" s="48"/>
      <c r="I81" s="48">
        <f t="shared" si="7"/>
        <v>0</v>
      </c>
      <c r="J81" s="48"/>
      <c r="K81" s="48">
        <f t="shared" si="8"/>
        <v>0</v>
      </c>
      <c r="L81" s="39"/>
      <c r="M81" s="48">
        <f t="shared" si="9"/>
        <v>0</v>
      </c>
      <c r="N81" s="41"/>
      <c r="O81" s="48">
        <f t="shared" si="10"/>
        <v>0</v>
      </c>
      <c r="P81" s="49">
        <f t="shared" si="11"/>
        <v>58823</v>
      </c>
    </row>
    <row r="82" spans="1:16" s="46" customFormat="1" ht="78.75">
      <c r="A82" s="21">
        <v>74</v>
      </c>
      <c r="B82" s="35" t="s">
        <v>99</v>
      </c>
      <c r="C82" s="56" t="s">
        <v>92</v>
      </c>
      <c r="D82" s="11" t="s">
        <v>37</v>
      </c>
      <c r="E82" s="15">
        <v>15635</v>
      </c>
      <c r="F82" s="15">
        <v>2</v>
      </c>
      <c r="G82" s="48">
        <f t="shared" si="6"/>
        <v>31270</v>
      </c>
      <c r="H82" s="48"/>
      <c r="I82" s="48">
        <f t="shared" si="7"/>
        <v>0</v>
      </c>
      <c r="J82" s="48"/>
      <c r="K82" s="48">
        <f t="shared" si="8"/>
        <v>0</v>
      </c>
      <c r="L82" s="39"/>
      <c r="M82" s="48">
        <f t="shared" si="9"/>
        <v>0</v>
      </c>
      <c r="N82" s="41"/>
      <c r="O82" s="48">
        <f t="shared" si="10"/>
        <v>0</v>
      </c>
      <c r="P82" s="49">
        <f t="shared" si="11"/>
        <v>31270</v>
      </c>
    </row>
    <row r="83" spans="1:16" s="46" customFormat="1" ht="78.75">
      <c r="A83" s="21">
        <v>75</v>
      </c>
      <c r="B83" s="35" t="s">
        <v>16</v>
      </c>
      <c r="C83" s="56" t="s">
        <v>93</v>
      </c>
      <c r="D83" s="11" t="s">
        <v>37</v>
      </c>
      <c r="E83" s="15">
        <v>5723</v>
      </c>
      <c r="F83" s="15">
        <v>2</v>
      </c>
      <c r="G83" s="48">
        <f t="shared" si="6"/>
        <v>11446</v>
      </c>
      <c r="H83" s="48"/>
      <c r="I83" s="48">
        <f t="shared" si="7"/>
        <v>0</v>
      </c>
      <c r="J83" s="48"/>
      <c r="K83" s="48">
        <f t="shared" si="8"/>
        <v>0</v>
      </c>
      <c r="L83" s="39"/>
      <c r="M83" s="48">
        <f t="shared" si="9"/>
        <v>0</v>
      </c>
      <c r="N83" s="41"/>
      <c r="O83" s="48">
        <f t="shared" si="10"/>
        <v>0</v>
      </c>
      <c r="P83" s="49">
        <f t="shared" si="11"/>
        <v>11446</v>
      </c>
    </row>
    <row r="84" spans="1:16" s="46" customFormat="1" ht="45">
      <c r="A84" s="21">
        <v>76</v>
      </c>
      <c r="B84" s="37" t="s">
        <v>96</v>
      </c>
      <c r="C84" s="31" t="s">
        <v>94</v>
      </c>
      <c r="D84" s="11" t="s">
        <v>62</v>
      </c>
      <c r="E84" s="18">
        <v>171750</v>
      </c>
      <c r="F84" s="15">
        <v>2</v>
      </c>
      <c r="G84" s="48">
        <f t="shared" si="6"/>
        <v>343500</v>
      </c>
      <c r="H84" s="48"/>
      <c r="I84" s="48">
        <f t="shared" si="7"/>
        <v>0</v>
      </c>
      <c r="J84" s="48"/>
      <c r="K84" s="48">
        <f t="shared" si="8"/>
        <v>0</v>
      </c>
      <c r="L84" s="39"/>
      <c r="M84" s="48">
        <f t="shared" si="9"/>
        <v>0</v>
      </c>
      <c r="N84" s="41"/>
      <c r="O84" s="48">
        <f t="shared" si="10"/>
        <v>0</v>
      </c>
      <c r="P84" s="49">
        <f t="shared" si="11"/>
        <v>343500</v>
      </c>
    </row>
    <row r="85" spans="1:16" s="46" customFormat="1" ht="30">
      <c r="A85" s="21">
        <v>77</v>
      </c>
      <c r="B85" s="50" t="s">
        <v>137</v>
      </c>
      <c r="C85" s="43" t="s">
        <v>136</v>
      </c>
      <c r="D85" s="58" t="s">
        <v>7</v>
      </c>
      <c r="E85" s="57">
        <v>6454.6</v>
      </c>
      <c r="F85" s="58">
        <v>6</v>
      </c>
      <c r="G85" s="48">
        <f t="shared" si="6"/>
        <v>38727.600000000006</v>
      </c>
      <c r="H85" s="48"/>
      <c r="I85" s="48">
        <f t="shared" si="7"/>
        <v>0</v>
      </c>
      <c r="J85" s="48"/>
      <c r="K85" s="48">
        <f t="shared" si="8"/>
        <v>0</v>
      </c>
      <c r="L85" s="48"/>
      <c r="M85" s="48">
        <f t="shared" si="9"/>
        <v>0</v>
      </c>
      <c r="N85" s="48"/>
      <c r="O85" s="48">
        <f t="shared" si="10"/>
        <v>0</v>
      </c>
      <c r="P85" s="49">
        <f t="shared" si="11"/>
        <v>38727.600000000006</v>
      </c>
    </row>
    <row r="86" spans="1:16" s="46" customFormat="1" ht="63">
      <c r="A86" s="21">
        <v>78</v>
      </c>
      <c r="B86" s="50" t="s">
        <v>15</v>
      </c>
      <c r="C86" s="45" t="s">
        <v>138</v>
      </c>
      <c r="D86" s="58" t="s">
        <v>62</v>
      </c>
      <c r="E86" s="58">
        <v>19458.2</v>
      </c>
      <c r="F86" s="58">
        <v>1</v>
      </c>
      <c r="G86" s="48">
        <f t="shared" si="6"/>
        <v>19458.2</v>
      </c>
      <c r="H86" s="48"/>
      <c r="I86" s="48">
        <f t="shared" si="7"/>
        <v>0</v>
      </c>
      <c r="J86" s="48"/>
      <c r="K86" s="48">
        <f t="shared" si="8"/>
        <v>0</v>
      </c>
      <c r="L86" s="48"/>
      <c r="M86" s="48">
        <f t="shared" si="9"/>
        <v>0</v>
      </c>
      <c r="N86" s="48"/>
      <c r="O86" s="48">
        <f t="shared" si="10"/>
        <v>0</v>
      </c>
      <c r="P86" s="49">
        <f t="shared" si="11"/>
        <v>19458.2</v>
      </c>
    </row>
    <row r="87" spans="1:16" s="46" customFormat="1" ht="63">
      <c r="A87" s="21">
        <v>79</v>
      </c>
      <c r="B87" s="50" t="s">
        <v>142</v>
      </c>
      <c r="C87" s="45" t="s">
        <v>139</v>
      </c>
      <c r="D87" s="58" t="s">
        <v>62</v>
      </c>
      <c r="E87" s="58">
        <v>19458.2</v>
      </c>
      <c r="F87" s="58">
        <v>1</v>
      </c>
      <c r="G87" s="48">
        <f t="shared" si="6"/>
        <v>19458.2</v>
      </c>
      <c r="H87" s="48"/>
      <c r="I87" s="48">
        <f t="shared" si="7"/>
        <v>0</v>
      </c>
      <c r="J87" s="48"/>
      <c r="K87" s="48">
        <f t="shared" si="8"/>
        <v>0</v>
      </c>
      <c r="L87" s="48"/>
      <c r="M87" s="48">
        <f t="shared" si="9"/>
        <v>0</v>
      </c>
      <c r="N87" s="48"/>
      <c r="O87" s="48">
        <f t="shared" si="10"/>
        <v>0</v>
      </c>
      <c r="P87" s="49">
        <f t="shared" si="11"/>
        <v>19458.2</v>
      </c>
    </row>
    <row r="88" spans="1:16" s="46" customFormat="1" ht="94.5">
      <c r="A88" s="21">
        <v>80</v>
      </c>
      <c r="B88" s="50" t="s">
        <v>15</v>
      </c>
      <c r="C88" s="45" t="s">
        <v>140</v>
      </c>
      <c r="D88" s="58" t="s">
        <v>62</v>
      </c>
      <c r="E88" s="58">
        <v>21238.82</v>
      </c>
      <c r="F88" s="58">
        <v>1</v>
      </c>
      <c r="G88" s="48">
        <f t="shared" si="6"/>
        <v>21238.82</v>
      </c>
      <c r="H88" s="48"/>
      <c r="I88" s="48">
        <f t="shared" si="7"/>
        <v>0</v>
      </c>
      <c r="J88" s="48"/>
      <c r="K88" s="48">
        <f t="shared" si="8"/>
        <v>0</v>
      </c>
      <c r="L88" s="48"/>
      <c r="M88" s="48">
        <f t="shared" si="9"/>
        <v>0</v>
      </c>
      <c r="N88" s="48"/>
      <c r="O88" s="48">
        <f t="shared" si="10"/>
        <v>0</v>
      </c>
      <c r="P88" s="49">
        <f t="shared" si="11"/>
        <v>21238.82</v>
      </c>
    </row>
    <row r="89" spans="1:16" s="46" customFormat="1" ht="94.5">
      <c r="A89" s="21">
        <v>81</v>
      </c>
      <c r="B89" s="50" t="s">
        <v>142</v>
      </c>
      <c r="C89" s="45" t="s">
        <v>141</v>
      </c>
      <c r="D89" s="58" t="s">
        <v>62</v>
      </c>
      <c r="E89" s="58">
        <v>21238.82</v>
      </c>
      <c r="F89" s="58">
        <v>1</v>
      </c>
      <c r="G89" s="48">
        <f t="shared" si="6"/>
        <v>21238.82</v>
      </c>
      <c r="H89" s="48"/>
      <c r="I89" s="48">
        <f t="shared" si="7"/>
        <v>0</v>
      </c>
      <c r="J89" s="48"/>
      <c r="K89" s="48">
        <f t="shared" si="8"/>
        <v>0</v>
      </c>
      <c r="L89" s="48"/>
      <c r="M89" s="48">
        <f t="shared" si="9"/>
        <v>0</v>
      </c>
      <c r="N89" s="48"/>
      <c r="O89" s="48">
        <f t="shared" si="10"/>
        <v>0</v>
      </c>
      <c r="P89" s="49">
        <f t="shared" si="11"/>
        <v>21238.82</v>
      </c>
    </row>
    <row r="90" spans="1:16" s="46" customFormat="1" ht="45">
      <c r="A90" s="21">
        <v>82</v>
      </c>
      <c r="B90" s="76" t="s">
        <v>143</v>
      </c>
      <c r="C90" s="10" t="s">
        <v>145</v>
      </c>
      <c r="D90" s="34" t="s">
        <v>67</v>
      </c>
      <c r="E90" s="34">
        <v>413000</v>
      </c>
      <c r="F90" s="34">
        <v>1.2829999999999999</v>
      </c>
      <c r="G90" s="48">
        <f t="shared" si="6"/>
        <v>529879</v>
      </c>
      <c r="H90" s="48"/>
      <c r="I90" s="48">
        <f t="shared" si="7"/>
        <v>0</v>
      </c>
      <c r="J90" s="48"/>
      <c r="K90" s="48">
        <f t="shared" si="8"/>
        <v>0</v>
      </c>
      <c r="L90" s="48"/>
      <c r="M90" s="48">
        <f t="shared" si="9"/>
        <v>0</v>
      </c>
      <c r="N90" s="48"/>
      <c r="O90" s="48">
        <f t="shared" si="10"/>
        <v>0</v>
      </c>
      <c r="P90" s="49">
        <f t="shared" si="11"/>
        <v>529879</v>
      </c>
    </row>
    <row r="91" spans="1:16" s="46" customFormat="1" ht="45">
      <c r="A91" s="21">
        <v>83</v>
      </c>
      <c r="B91" s="76" t="s">
        <v>159</v>
      </c>
      <c r="C91" s="10" t="s">
        <v>146</v>
      </c>
      <c r="D91" s="34" t="s">
        <v>67</v>
      </c>
      <c r="E91" s="34">
        <v>259600</v>
      </c>
      <c r="F91" s="34">
        <v>0.746</v>
      </c>
      <c r="G91" s="48">
        <f t="shared" si="6"/>
        <v>193661.6</v>
      </c>
      <c r="H91" s="48"/>
      <c r="I91" s="48">
        <f t="shared" si="7"/>
        <v>0</v>
      </c>
      <c r="J91" s="48"/>
      <c r="K91" s="48">
        <f t="shared" si="8"/>
        <v>0</v>
      </c>
      <c r="L91" s="48"/>
      <c r="M91" s="48">
        <f t="shared" si="9"/>
        <v>0</v>
      </c>
      <c r="N91" s="48"/>
      <c r="O91" s="48">
        <f t="shared" si="10"/>
        <v>0</v>
      </c>
      <c r="P91" s="49">
        <f t="shared" si="11"/>
        <v>193661.6</v>
      </c>
    </row>
    <row r="92" spans="1:16" s="46" customFormat="1" ht="45">
      <c r="A92" s="21">
        <v>84</v>
      </c>
      <c r="B92" s="77" t="s">
        <v>71</v>
      </c>
      <c r="C92" s="10" t="s">
        <v>147</v>
      </c>
      <c r="D92" s="34" t="s">
        <v>67</v>
      </c>
      <c r="E92" s="34">
        <v>224200</v>
      </c>
      <c r="F92" s="34">
        <v>1.599</v>
      </c>
      <c r="G92" s="48">
        <f t="shared" si="6"/>
        <v>358495.8</v>
      </c>
      <c r="H92" s="48"/>
      <c r="I92" s="48">
        <f t="shared" si="7"/>
        <v>0</v>
      </c>
      <c r="J92" s="48"/>
      <c r="K92" s="48">
        <f t="shared" si="8"/>
        <v>0</v>
      </c>
      <c r="L92" s="48"/>
      <c r="M92" s="48">
        <f t="shared" si="9"/>
        <v>0</v>
      </c>
      <c r="N92" s="48"/>
      <c r="O92" s="48">
        <f t="shared" si="10"/>
        <v>0</v>
      </c>
      <c r="P92" s="49">
        <f t="shared" si="11"/>
        <v>358495.8</v>
      </c>
    </row>
    <row r="93" spans="1:16" s="46" customFormat="1" ht="15.75">
      <c r="A93" s="21">
        <v>85</v>
      </c>
      <c r="B93" s="34" t="s">
        <v>160</v>
      </c>
      <c r="C93" s="10" t="s">
        <v>148</v>
      </c>
      <c r="D93" s="34" t="s">
        <v>62</v>
      </c>
      <c r="E93" s="34">
        <v>1416</v>
      </c>
      <c r="F93" s="34">
        <v>174</v>
      </c>
      <c r="G93" s="48">
        <f t="shared" si="6"/>
        <v>246384</v>
      </c>
      <c r="H93" s="48"/>
      <c r="I93" s="48">
        <f t="shared" si="7"/>
        <v>0</v>
      </c>
      <c r="J93" s="48"/>
      <c r="K93" s="48">
        <f t="shared" si="8"/>
        <v>0</v>
      </c>
      <c r="L93" s="48"/>
      <c r="M93" s="48">
        <f t="shared" si="9"/>
        <v>0</v>
      </c>
      <c r="N93" s="48"/>
      <c r="O93" s="48">
        <f t="shared" si="10"/>
        <v>0</v>
      </c>
      <c r="P93" s="49">
        <f t="shared" si="11"/>
        <v>246384</v>
      </c>
    </row>
    <row r="94" spans="1:16" s="46" customFormat="1" ht="45">
      <c r="A94" s="21">
        <v>86</v>
      </c>
      <c r="B94" s="34" t="s">
        <v>88</v>
      </c>
      <c r="C94" s="10" t="s">
        <v>149</v>
      </c>
      <c r="D94" s="34" t="s">
        <v>62</v>
      </c>
      <c r="E94" s="34">
        <v>3540</v>
      </c>
      <c r="F94" s="34">
        <v>38</v>
      </c>
      <c r="G94" s="48">
        <f t="shared" si="6"/>
        <v>134520</v>
      </c>
      <c r="H94" s="48"/>
      <c r="I94" s="48">
        <f t="shared" si="7"/>
        <v>0</v>
      </c>
      <c r="J94" s="48"/>
      <c r="K94" s="48">
        <f t="shared" si="8"/>
        <v>0</v>
      </c>
      <c r="L94" s="48"/>
      <c r="M94" s="48">
        <f t="shared" si="9"/>
        <v>0</v>
      </c>
      <c r="N94" s="48"/>
      <c r="O94" s="48">
        <f t="shared" si="10"/>
        <v>0</v>
      </c>
      <c r="P94" s="49">
        <f t="shared" si="11"/>
        <v>134520</v>
      </c>
    </row>
    <row r="95" spans="1:16" s="46" customFormat="1" ht="30">
      <c r="A95" s="21">
        <v>87</v>
      </c>
      <c r="B95" s="34" t="s">
        <v>161</v>
      </c>
      <c r="C95" s="10" t="s">
        <v>150</v>
      </c>
      <c r="D95" s="34" t="s">
        <v>46</v>
      </c>
      <c r="E95" s="34">
        <v>2360</v>
      </c>
      <c r="F95" s="34">
        <v>657</v>
      </c>
      <c r="G95" s="48">
        <f t="shared" si="6"/>
        <v>1550520</v>
      </c>
      <c r="H95" s="48"/>
      <c r="I95" s="48">
        <f t="shared" si="7"/>
        <v>0</v>
      </c>
      <c r="J95" s="48"/>
      <c r="K95" s="48">
        <f t="shared" si="8"/>
        <v>0</v>
      </c>
      <c r="L95" s="48"/>
      <c r="M95" s="48">
        <f t="shared" si="9"/>
        <v>0</v>
      </c>
      <c r="N95" s="48"/>
      <c r="O95" s="48">
        <f t="shared" si="10"/>
        <v>0</v>
      </c>
      <c r="P95" s="49">
        <f t="shared" si="11"/>
        <v>1550520</v>
      </c>
    </row>
    <row r="96" spans="1:16" s="46" customFormat="1" ht="45">
      <c r="A96" s="21">
        <v>88</v>
      </c>
      <c r="B96" s="34" t="s">
        <v>162</v>
      </c>
      <c r="C96" s="10" t="s">
        <v>151</v>
      </c>
      <c r="D96" s="34" t="s">
        <v>62</v>
      </c>
      <c r="E96" s="34">
        <v>23600</v>
      </c>
      <c r="F96" s="34">
        <v>10</v>
      </c>
      <c r="G96" s="48">
        <f t="shared" si="6"/>
        <v>236000</v>
      </c>
      <c r="H96" s="48"/>
      <c r="I96" s="48">
        <f t="shared" si="7"/>
        <v>0</v>
      </c>
      <c r="J96" s="48"/>
      <c r="K96" s="48">
        <f t="shared" si="8"/>
        <v>0</v>
      </c>
      <c r="L96" s="48"/>
      <c r="M96" s="48">
        <f t="shared" si="9"/>
        <v>0</v>
      </c>
      <c r="N96" s="48"/>
      <c r="O96" s="48">
        <f t="shared" si="10"/>
        <v>0</v>
      </c>
      <c r="P96" s="49">
        <f t="shared" si="11"/>
        <v>236000</v>
      </c>
    </row>
    <row r="97" spans="1:16" s="46" customFormat="1" ht="30">
      <c r="A97" s="21">
        <v>89</v>
      </c>
      <c r="B97" s="50" t="s">
        <v>179</v>
      </c>
      <c r="C97" s="10" t="s">
        <v>152</v>
      </c>
      <c r="D97" s="34" t="s">
        <v>62</v>
      </c>
      <c r="E97" s="34">
        <v>1770</v>
      </c>
      <c r="F97" s="72">
        <v>9</v>
      </c>
      <c r="G97" s="48">
        <f t="shared" si="6"/>
        <v>15930</v>
      </c>
      <c r="H97" s="48"/>
      <c r="I97" s="48">
        <f t="shared" si="7"/>
        <v>0</v>
      </c>
      <c r="J97" s="48"/>
      <c r="K97" s="48">
        <f t="shared" si="8"/>
        <v>0</v>
      </c>
      <c r="L97" s="48"/>
      <c r="M97" s="48">
        <f t="shared" si="9"/>
        <v>0</v>
      </c>
      <c r="N97" s="48"/>
      <c r="O97" s="48">
        <f t="shared" si="10"/>
        <v>0</v>
      </c>
      <c r="P97" s="49">
        <f t="shared" si="11"/>
        <v>15930</v>
      </c>
    </row>
    <row r="98" spans="1:16" s="46" customFormat="1" ht="30">
      <c r="A98" s="21">
        <v>90</v>
      </c>
      <c r="B98" s="50"/>
      <c r="C98" s="10" t="s">
        <v>153</v>
      </c>
      <c r="D98" s="34" t="s">
        <v>62</v>
      </c>
      <c r="E98" s="34">
        <v>10431.199999999999</v>
      </c>
      <c r="F98" s="72">
        <v>1</v>
      </c>
      <c r="G98" s="48">
        <f t="shared" si="6"/>
        <v>10431.199999999999</v>
      </c>
      <c r="H98" s="48"/>
      <c r="I98" s="48">
        <f t="shared" si="7"/>
        <v>0</v>
      </c>
      <c r="J98" s="48"/>
      <c r="K98" s="48">
        <f t="shared" si="8"/>
        <v>0</v>
      </c>
      <c r="L98" s="48"/>
      <c r="M98" s="48">
        <f t="shared" si="9"/>
        <v>0</v>
      </c>
      <c r="N98" s="48"/>
      <c r="O98" s="48">
        <f t="shared" si="10"/>
        <v>0</v>
      </c>
      <c r="P98" s="49">
        <f t="shared" si="11"/>
        <v>10431.199999999999</v>
      </c>
    </row>
    <row r="99" spans="1:16" s="46" customFormat="1" ht="30">
      <c r="A99" s="21">
        <v>91</v>
      </c>
      <c r="B99" s="50"/>
      <c r="C99" s="10" t="s">
        <v>154</v>
      </c>
      <c r="D99" s="34" t="s">
        <v>62</v>
      </c>
      <c r="E99" s="34">
        <v>11044.8</v>
      </c>
      <c r="F99" s="60">
        <v>1</v>
      </c>
      <c r="G99" s="48">
        <f t="shared" si="6"/>
        <v>11044.8</v>
      </c>
      <c r="H99" s="48"/>
      <c r="I99" s="48">
        <f t="shared" si="7"/>
        <v>0</v>
      </c>
      <c r="J99" s="48"/>
      <c r="K99" s="48">
        <f t="shared" si="8"/>
        <v>0</v>
      </c>
      <c r="L99" s="48"/>
      <c r="M99" s="48">
        <f t="shared" si="9"/>
        <v>0</v>
      </c>
      <c r="N99" s="48"/>
      <c r="O99" s="48">
        <f t="shared" si="10"/>
        <v>0</v>
      </c>
      <c r="P99" s="49">
        <f t="shared" si="11"/>
        <v>11044.8</v>
      </c>
    </row>
    <row r="100" spans="1:16" s="46" customFormat="1" ht="15.75">
      <c r="A100" s="21">
        <v>92</v>
      </c>
      <c r="B100" s="34" t="s">
        <v>160</v>
      </c>
      <c r="C100" s="37" t="s">
        <v>155</v>
      </c>
      <c r="D100" s="34" t="s">
        <v>62</v>
      </c>
      <c r="E100" s="20">
        <v>160</v>
      </c>
      <c r="F100" s="75">
        <v>20</v>
      </c>
      <c r="G100" s="48">
        <f t="shared" si="6"/>
        <v>3200</v>
      </c>
      <c r="H100" s="48"/>
      <c r="I100" s="48">
        <f t="shared" si="7"/>
        <v>0</v>
      </c>
      <c r="J100" s="48"/>
      <c r="K100" s="48">
        <f t="shared" si="8"/>
        <v>0</v>
      </c>
      <c r="L100" s="48"/>
      <c r="M100" s="48">
        <f t="shared" si="9"/>
        <v>0</v>
      </c>
      <c r="N100" s="48"/>
      <c r="O100" s="48">
        <f t="shared" si="10"/>
        <v>0</v>
      </c>
      <c r="P100" s="49">
        <f t="shared" si="11"/>
        <v>3200</v>
      </c>
    </row>
    <row r="101" spans="1:16" s="46" customFormat="1" ht="25.5">
      <c r="A101" s="21">
        <v>93</v>
      </c>
      <c r="B101" s="34" t="s">
        <v>163</v>
      </c>
      <c r="C101" s="74" t="s">
        <v>156</v>
      </c>
      <c r="D101" s="34" t="s">
        <v>62</v>
      </c>
      <c r="E101" s="20">
        <v>180</v>
      </c>
      <c r="F101" s="75">
        <v>5</v>
      </c>
      <c r="G101" s="48">
        <f t="shared" si="6"/>
        <v>900</v>
      </c>
      <c r="H101" s="48"/>
      <c r="I101" s="48">
        <f t="shared" si="7"/>
        <v>0</v>
      </c>
      <c r="J101" s="48"/>
      <c r="K101" s="48">
        <f t="shared" si="8"/>
        <v>0</v>
      </c>
      <c r="L101" s="48"/>
      <c r="M101" s="48">
        <f t="shared" si="9"/>
        <v>0</v>
      </c>
      <c r="N101" s="48"/>
      <c r="O101" s="48">
        <f t="shared" si="10"/>
        <v>0</v>
      </c>
      <c r="P101" s="49">
        <f t="shared" si="11"/>
        <v>900</v>
      </c>
    </row>
    <row r="102" spans="1:16" s="46" customFormat="1" ht="25.5">
      <c r="A102" s="21">
        <v>94</v>
      </c>
      <c r="B102" s="50" t="s">
        <v>164</v>
      </c>
      <c r="C102" s="74" t="s">
        <v>157</v>
      </c>
      <c r="D102" s="34" t="s">
        <v>62</v>
      </c>
      <c r="E102" s="20">
        <v>628.94000000000005</v>
      </c>
      <c r="F102" s="75">
        <v>4</v>
      </c>
      <c r="G102" s="48">
        <f t="shared" si="6"/>
        <v>2515.7600000000002</v>
      </c>
      <c r="H102" s="48"/>
      <c r="I102" s="48">
        <f t="shared" si="7"/>
        <v>0</v>
      </c>
      <c r="J102" s="48"/>
      <c r="K102" s="48">
        <f t="shared" si="8"/>
        <v>0</v>
      </c>
      <c r="L102" s="48"/>
      <c r="M102" s="48">
        <f t="shared" si="9"/>
        <v>0</v>
      </c>
      <c r="N102" s="48"/>
      <c r="O102" s="48">
        <f t="shared" si="10"/>
        <v>0</v>
      </c>
      <c r="P102" s="49">
        <f t="shared" si="11"/>
        <v>2515.7600000000002</v>
      </c>
    </row>
    <row r="103" spans="1:16" s="46" customFormat="1" ht="38.25">
      <c r="A103" s="21">
        <v>95</v>
      </c>
      <c r="B103" s="50"/>
      <c r="C103" s="74" t="s">
        <v>158</v>
      </c>
      <c r="D103" s="34" t="s">
        <v>62</v>
      </c>
      <c r="E103" s="20">
        <v>4953.1400000000003</v>
      </c>
      <c r="F103" s="75">
        <v>4</v>
      </c>
      <c r="G103" s="48">
        <f t="shared" si="6"/>
        <v>19812.560000000001</v>
      </c>
      <c r="H103" s="48"/>
      <c r="I103" s="48">
        <f t="shared" si="7"/>
        <v>0</v>
      </c>
      <c r="J103" s="48"/>
      <c r="K103" s="48">
        <f t="shared" si="8"/>
        <v>0</v>
      </c>
      <c r="L103" s="48"/>
      <c r="M103" s="48">
        <f t="shared" si="9"/>
        <v>0</v>
      </c>
      <c r="N103" s="48"/>
      <c r="O103" s="48">
        <f t="shared" si="10"/>
        <v>0</v>
      </c>
      <c r="P103" s="49">
        <f t="shared" si="11"/>
        <v>19812.560000000001</v>
      </c>
    </row>
    <row r="104" spans="1:16" s="46" customFormat="1" ht="56.25">
      <c r="A104" s="21">
        <v>96</v>
      </c>
      <c r="B104" s="50" t="s">
        <v>178</v>
      </c>
      <c r="C104" s="78" t="s">
        <v>165</v>
      </c>
      <c r="D104" s="34" t="s">
        <v>7</v>
      </c>
      <c r="E104" s="20">
        <v>558.14</v>
      </c>
      <c r="F104" s="75">
        <v>123</v>
      </c>
      <c r="G104" s="48">
        <f t="shared" si="6"/>
        <v>68651.22</v>
      </c>
      <c r="H104" s="48"/>
      <c r="I104" s="48">
        <f t="shared" si="7"/>
        <v>0</v>
      </c>
      <c r="J104" s="48"/>
      <c r="K104" s="48">
        <f t="shared" si="8"/>
        <v>0</v>
      </c>
      <c r="L104" s="48"/>
      <c r="M104" s="48">
        <f t="shared" si="9"/>
        <v>0</v>
      </c>
      <c r="N104" s="48"/>
      <c r="O104" s="48">
        <f t="shared" si="10"/>
        <v>0</v>
      </c>
      <c r="P104" s="49">
        <f t="shared" si="11"/>
        <v>68651.22</v>
      </c>
    </row>
    <row r="105" spans="1:16" s="46" customFormat="1" ht="31.5">
      <c r="A105" s="21">
        <v>97</v>
      </c>
      <c r="B105" s="50" t="s">
        <v>177</v>
      </c>
      <c r="C105" s="59" t="s">
        <v>102</v>
      </c>
      <c r="D105" s="34" t="s">
        <v>37</v>
      </c>
      <c r="E105" s="9">
        <v>1508.04</v>
      </c>
      <c r="F105" s="80">
        <v>3</v>
      </c>
      <c r="G105" s="48">
        <f t="shared" si="6"/>
        <v>4524.12</v>
      </c>
      <c r="H105" s="48"/>
      <c r="I105" s="48">
        <f t="shared" si="7"/>
        <v>0</v>
      </c>
      <c r="J105" s="48"/>
      <c r="K105" s="48">
        <f t="shared" si="8"/>
        <v>0</v>
      </c>
      <c r="L105" s="48"/>
      <c r="M105" s="48">
        <f t="shared" si="9"/>
        <v>0</v>
      </c>
      <c r="N105" s="48"/>
      <c r="O105" s="48">
        <f t="shared" si="10"/>
        <v>0</v>
      </c>
      <c r="P105" s="49">
        <f t="shared" si="11"/>
        <v>4524.12</v>
      </c>
    </row>
    <row r="106" spans="1:16" s="46" customFormat="1" ht="31.5">
      <c r="A106" s="21">
        <v>98</v>
      </c>
      <c r="B106" s="50" t="s">
        <v>176</v>
      </c>
      <c r="C106" s="59" t="s">
        <v>166</v>
      </c>
      <c r="D106" s="34" t="s">
        <v>37</v>
      </c>
      <c r="E106" s="9">
        <v>1508.04</v>
      </c>
      <c r="F106" s="80">
        <v>3</v>
      </c>
      <c r="G106" s="48">
        <f t="shared" si="6"/>
        <v>4524.12</v>
      </c>
      <c r="H106" s="48"/>
      <c r="I106" s="48">
        <f t="shared" si="7"/>
        <v>0</v>
      </c>
      <c r="J106" s="48"/>
      <c r="K106" s="48">
        <f t="shared" si="8"/>
        <v>0</v>
      </c>
      <c r="L106" s="48"/>
      <c r="M106" s="48">
        <f t="shared" si="9"/>
        <v>0</v>
      </c>
      <c r="N106" s="48"/>
      <c r="O106" s="48">
        <f t="shared" si="10"/>
        <v>0</v>
      </c>
      <c r="P106" s="49">
        <f t="shared" si="11"/>
        <v>4524.12</v>
      </c>
    </row>
    <row r="107" spans="1:16" s="46" customFormat="1" ht="31.5">
      <c r="A107" s="21">
        <v>99</v>
      </c>
      <c r="B107" s="50"/>
      <c r="C107" s="59" t="s">
        <v>103</v>
      </c>
      <c r="D107" s="34" t="s">
        <v>37</v>
      </c>
      <c r="E107" s="9">
        <v>1508.04</v>
      </c>
      <c r="F107" s="80">
        <v>9</v>
      </c>
      <c r="G107" s="48">
        <f t="shared" si="6"/>
        <v>13572.36</v>
      </c>
      <c r="H107" s="48"/>
      <c r="I107" s="48">
        <f t="shared" si="7"/>
        <v>0</v>
      </c>
      <c r="J107" s="48"/>
      <c r="K107" s="48">
        <f t="shared" si="8"/>
        <v>0</v>
      </c>
      <c r="L107" s="48"/>
      <c r="M107" s="48">
        <f t="shared" si="9"/>
        <v>0</v>
      </c>
      <c r="N107" s="48"/>
      <c r="O107" s="48">
        <f t="shared" si="10"/>
        <v>0</v>
      </c>
      <c r="P107" s="49">
        <f t="shared" si="11"/>
        <v>13572.36</v>
      </c>
    </row>
    <row r="108" spans="1:16" s="46" customFormat="1" ht="31.5">
      <c r="A108" s="21">
        <v>100</v>
      </c>
      <c r="B108" s="50"/>
      <c r="C108" s="59" t="s">
        <v>167</v>
      </c>
      <c r="D108" s="34" t="s">
        <v>37</v>
      </c>
      <c r="E108" s="9">
        <v>1878.56</v>
      </c>
      <c r="F108" s="80">
        <v>7</v>
      </c>
      <c r="G108" s="48">
        <f t="shared" si="6"/>
        <v>13149.92</v>
      </c>
      <c r="H108" s="48"/>
      <c r="I108" s="48">
        <f t="shared" si="7"/>
        <v>0</v>
      </c>
      <c r="J108" s="48"/>
      <c r="K108" s="48">
        <f t="shared" si="8"/>
        <v>0</v>
      </c>
      <c r="L108" s="48"/>
      <c r="M108" s="48">
        <f t="shared" si="9"/>
        <v>0</v>
      </c>
      <c r="N108" s="48"/>
      <c r="O108" s="48">
        <f t="shared" si="10"/>
        <v>0</v>
      </c>
      <c r="P108" s="49">
        <f t="shared" si="11"/>
        <v>13149.92</v>
      </c>
    </row>
    <row r="109" spans="1:16" s="46" customFormat="1" ht="31.5">
      <c r="A109" s="21">
        <v>101</v>
      </c>
      <c r="B109" s="50" t="s">
        <v>174</v>
      </c>
      <c r="C109" s="79" t="s">
        <v>86</v>
      </c>
      <c r="D109" s="34" t="s">
        <v>37</v>
      </c>
      <c r="E109" s="9">
        <v>2357.64</v>
      </c>
      <c r="F109" s="81">
        <v>14</v>
      </c>
      <c r="G109" s="48">
        <f t="shared" si="6"/>
        <v>33006.959999999999</v>
      </c>
      <c r="H109" s="48"/>
      <c r="I109" s="48">
        <f t="shared" si="7"/>
        <v>0</v>
      </c>
      <c r="J109" s="48"/>
      <c r="K109" s="48">
        <f t="shared" si="8"/>
        <v>0</v>
      </c>
      <c r="L109" s="48"/>
      <c r="M109" s="48">
        <f t="shared" si="9"/>
        <v>0</v>
      </c>
      <c r="N109" s="48"/>
      <c r="O109" s="48">
        <f t="shared" si="10"/>
        <v>0</v>
      </c>
      <c r="P109" s="49">
        <f t="shared" si="11"/>
        <v>33006.959999999999</v>
      </c>
    </row>
    <row r="110" spans="1:16" s="46" customFormat="1" ht="31.5">
      <c r="A110" s="21">
        <v>102</v>
      </c>
      <c r="B110" s="50" t="s">
        <v>175</v>
      </c>
      <c r="C110" s="79" t="s">
        <v>87</v>
      </c>
      <c r="D110" s="34" t="s">
        <v>37</v>
      </c>
      <c r="E110" s="9">
        <v>2116.92</v>
      </c>
      <c r="F110" s="81">
        <v>6</v>
      </c>
      <c r="G110" s="48">
        <f t="shared" si="6"/>
        <v>12701.52</v>
      </c>
      <c r="H110" s="48"/>
      <c r="I110" s="48">
        <f t="shared" si="7"/>
        <v>0</v>
      </c>
      <c r="J110" s="48"/>
      <c r="K110" s="48">
        <f t="shared" si="8"/>
        <v>0</v>
      </c>
      <c r="L110" s="48"/>
      <c r="M110" s="48">
        <f t="shared" si="9"/>
        <v>0</v>
      </c>
      <c r="N110" s="48"/>
      <c r="O110" s="48">
        <f t="shared" si="10"/>
        <v>0</v>
      </c>
      <c r="P110" s="49">
        <f t="shared" si="11"/>
        <v>12701.52</v>
      </c>
    </row>
    <row r="111" spans="1:16" s="46" customFormat="1" ht="18.75">
      <c r="A111" s="21">
        <v>103</v>
      </c>
      <c r="B111" s="50"/>
      <c r="C111" s="79" t="s">
        <v>168</v>
      </c>
      <c r="D111" s="34" t="s">
        <v>37</v>
      </c>
      <c r="E111" s="9">
        <v>5890.5599999999995</v>
      </c>
      <c r="F111" s="81">
        <v>9</v>
      </c>
      <c r="G111" s="48">
        <f t="shared" si="6"/>
        <v>53015.039999999994</v>
      </c>
      <c r="H111" s="48"/>
      <c r="I111" s="48">
        <f t="shared" si="7"/>
        <v>0</v>
      </c>
      <c r="J111" s="48"/>
      <c r="K111" s="48">
        <f t="shared" si="8"/>
        <v>0</v>
      </c>
      <c r="L111" s="48"/>
      <c r="M111" s="48">
        <f t="shared" si="9"/>
        <v>0</v>
      </c>
      <c r="N111" s="48"/>
      <c r="O111" s="48">
        <f t="shared" si="10"/>
        <v>0</v>
      </c>
      <c r="P111" s="49">
        <f t="shared" si="11"/>
        <v>53015.039999999994</v>
      </c>
    </row>
    <row r="112" spans="1:16" s="46" customFormat="1" ht="38.25">
      <c r="A112" s="21">
        <v>104</v>
      </c>
      <c r="B112" s="50" t="s">
        <v>172</v>
      </c>
      <c r="C112" s="82" t="s">
        <v>170</v>
      </c>
      <c r="D112" s="34" t="s">
        <v>46</v>
      </c>
      <c r="E112" s="20">
        <v>1301.54</v>
      </c>
      <c r="F112" s="75">
        <v>150</v>
      </c>
      <c r="G112" s="48">
        <f t="shared" si="6"/>
        <v>195231</v>
      </c>
      <c r="H112" s="48"/>
      <c r="I112" s="48">
        <f t="shared" si="7"/>
        <v>0</v>
      </c>
      <c r="J112" s="48"/>
      <c r="K112" s="48">
        <f t="shared" si="8"/>
        <v>0</v>
      </c>
      <c r="L112" s="48"/>
      <c r="M112" s="48">
        <f t="shared" si="9"/>
        <v>0</v>
      </c>
      <c r="N112" s="48"/>
      <c r="O112" s="48">
        <f t="shared" si="10"/>
        <v>0</v>
      </c>
      <c r="P112" s="49">
        <f t="shared" si="11"/>
        <v>195231</v>
      </c>
    </row>
    <row r="113" spans="1:16" s="46" customFormat="1" ht="38.25">
      <c r="A113" s="21">
        <v>105</v>
      </c>
      <c r="B113" s="50" t="s">
        <v>173</v>
      </c>
      <c r="C113" s="82" t="s">
        <v>171</v>
      </c>
      <c r="D113" s="37" t="s">
        <v>62</v>
      </c>
      <c r="E113" s="60">
        <v>19293</v>
      </c>
      <c r="F113" s="60">
        <v>2</v>
      </c>
      <c r="G113" s="48">
        <f t="shared" si="6"/>
        <v>38586</v>
      </c>
      <c r="H113" s="48"/>
      <c r="I113" s="48">
        <f t="shared" si="7"/>
        <v>0</v>
      </c>
      <c r="J113" s="48"/>
      <c r="K113" s="48">
        <f t="shared" si="8"/>
        <v>0</v>
      </c>
      <c r="L113" s="48"/>
      <c r="M113" s="48">
        <f t="shared" si="9"/>
        <v>0</v>
      </c>
      <c r="N113" s="48"/>
      <c r="O113" s="48">
        <f t="shared" si="10"/>
        <v>0</v>
      </c>
      <c r="P113" s="49">
        <f t="shared" si="11"/>
        <v>38586</v>
      </c>
    </row>
    <row r="114" spans="1:16" s="46" customFormat="1" ht="63.75">
      <c r="A114" s="21">
        <v>106</v>
      </c>
      <c r="B114" s="50"/>
      <c r="C114" s="83" t="s">
        <v>184</v>
      </c>
      <c r="D114" s="9" t="s">
        <v>37</v>
      </c>
      <c r="E114" s="85">
        <v>153400</v>
      </c>
      <c r="F114" s="9">
        <v>1</v>
      </c>
      <c r="G114" s="48">
        <f t="shared" si="6"/>
        <v>153400</v>
      </c>
      <c r="H114" s="48"/>
      <c r="I114" s="48">
        <f t="shared" si="7"/>
        <v>0</v>
      </c>
      <c r="J114" s="48"/>
      <c r="K114" s="48">
        <f t="shared" si="8"/>
        <v>0</v>
      </c>
      <c r="L114" s="48"/>
      <c r="M114" s="48">
        <f t="shared" si="9"/>
        <v>0</v>
      </c>
      <c r="N114" s="48"/>
      <c r="O114" s="48">
        <f t="shared" si="10"/>
        <v>0</v>
      </c>
      <c r="P114" s="49">
        <f t="shared" si="11"/>
        <v>153400</v>
      </c>
    </row>
    <row r="115" spans="1:16" s="46" customFormat="1" ht="32.25">
      <c r="A115" s="21">
        <v>107</v>
      </c>
      <c r="B115" s="76" t="s">
        <v>143</v>
      </c>
      <c r="C115" s="61" t="s">
        <v>185</v>
      </c>
      <c r="D115" s="9" t="s">
        <v>67</v>
      </c>
      <c r="E115" s="9">
        <v>441390.8</v>
      </c>
      <c r="F115" s="60">
        <v>0.4</v>
      </c>
      <c r="G115" s="48">
        <f t="shared" si="6"/>
        <v>176556.32</v>
      </c>
      <c r="H115" s="48"/>
      <c r="I115" s="48">
        <f t="shared" si="7"/>
        <v>0</v>
      </c>
      <c r="J115" s="48"/>
      <c r="K115" s="48">
        <f t="shared" si="8"/>
        <v>0</v>
      </c>
      <c r="L115" s="48"/>
      <c r="M115" s="48">
        <f t="shared" si="9"/>
        <v>0</v>
      </c>
      <c r="N115" s="48"/>
      <c r="O115" s="48">
        <f t="shared" si="10"/>
        <v>0</v>
      </c>
      <c r="P115" s="49">
        <f t="shared" si="11"/>
        <v>176556.32</v>
      </c>
    </row>
    <row r="116" spans="1:16" s="46" customFormat="1" ht="32.25">
      <c r="A116" s="21">
        <v>108</v>
      </c>
      <c r="B116" s="51" t="s">
        <v>71</v>
      </c>
      <c r="C116" s="61" t="s">
        <v>186</v>
      </c>
      <c r="D116" s="9" t="s">
        <v>67</v>
      </c>
      <c r="E116" s="9">
        <v>205556</v>
      </c>
      <c r="F116" s="60">
        <v>0.32500000000000001</v>
      </c>
      <c r="G116" s="48">
        <f t="shared" si="6"/>
        <v>66805.7</v>
      </c>
      <c r="H116" s="48"/>
      <c r="I116" s="48">
        <f t="shared" si="7"/>
        <v>0</v>
      </c>
      <c r="J116" s="48"/>
      <c r="K116" s="48">
        <f t="shared" si="8"/>
        <v>0</v>
      </c>
      <c r="L116" s="48"/>
      <c r="M116" s="48">
        <f t="shared" si="9"/>
        <v>0</v>
      </c>
      <c r="N116" s="48"/>
      <c r="O116" s="48">
        <f t="shared" si="10"/>
        <v>0</v>
      </c>
      <c r="P116" s="49">
        <f t="shared" si="11"/>
        <v>66805.7</v>
      </c>
    </row>
    <row r="117" spans="1:16" s="46" customFormat="1" ht="32.25">
      <c r="A117" s="21">
        <v>109</v>
      </c>
      <c r="B117" s="50"/>
      <c r="C117" s="61" t="s">
        <v>187</v>
      </c>
      <c r="D117" s="9" t="s">
        <v>67</v>
      </c>
      <c r="E117" s="9">
        <v>127204</v>
      </c>
      <c r="F117" s="60">
        <v>0.25</v>
      </c>
      <c r="G117" s="48">
        <f t="shared" si="6"/>
        <v>31801</v>
      </c>
      <c r="H117" s="48"/>
      <c r="I117" s="48">
        <f t="shared" si="7"/>
        <v>0</v>
      </c>
      <c r="J117" s="48"/>
      <c r="K117" s="48">
        <f t="shared" si="8"/>
        <v>0</v>
      </c>
      <c r="L117" s="48"/>
      <c r="M117" s="48">
        <f t="shared" si="9"/>
        <v>0</v>
      </c>
      <c r="N117" s="48"/>
      <c r="O117" s="48">
        <f t="shared" si="10"/>
        <v>0</v>
      </c>
      <c r="P117" s="49">
        <f t="shared" si="11"/>
        <v>31801</v>
      </c>
    </row>
    <row r="118" spans="1:16" s="46" customFormat="1" ht="25.5">
      <c r="A118" s="21">
        <v>110</v>
      </c>
      <c r="B118" s="50"/>
      <c r="C118" s="84" t="s">
        <v>188</v>
      </c>
      <c r="D118" s="9" t="s">
        <v>67</v>
      </c>
      <c r="E118" s="85">
        <v>268992.8</v>
      </c>
      <c r="F118" s="60">
        <v>0.1</v>
      </c>
      <c r="G118" s="48">
        <f t="shared" si="6"/>
        <v>26899.279999999999</v>
      </c>
      <c r="H118" s="48"/>
      <c r="I118" s="48">
        <f t="shared" si="7"/>
        <v>0</v>
      </c>
      <c r="J118" s="48"/>
      <c r="K118" s="48">
        <f t="shared" si="8"/>
        <v>0</v>
      </c>
      <c r="L118" s="48"/>
      <c r="M118" s="48">
        <f t="shared" si="9"/>
        <v>0</v>
      </c>
      <c r="N118" s="48"/>
      <c r="O118" s="48">
        <f t="shared" si="10"/>
        <v>0</v>
      </c>
      <c r="P118" s="49">
        <f t="shared" si="11"/>
        <v>26899.279999999999</v>
      </c>
    </row>
    <row r="119" spans="1:16" s="46" customFormat="1" ht="15.75">
      <c r="A119" s="21">
        <v>111</v>
      </c>
      <c r="B119" s="50"/>
      <c r="C119" s="82" t="s">
        <v>183</v>
      </c>
      <c r="D119" s="37" t="s">
        <v>62</v>
      </c>
      <c r="E119" s="60">
        <v>47058</v>
      </c>
      <c r="F119" s="60">
        <v>1</v>
      </c>
      <c r="G119" s="48">
        <f>E119*F119</f>
        <v>47058</v>
      </c>
      <c r="H119" s="48"/>
      <c r="I119" s="48">
        <f>H119*E119</f>
        <v>0</v>
      </c>
      <c r="J119" s="48"/>
      <c r="K119" s="48">
        <f>J119*E119</f>
        <v>0</v>
      </c>
      <c r="L119" s="48"/>
      <c r="M119" s="48">
        <f>L119*E119</f>
        <v>0</v>
      </c>
      <c r="N119" s="48"/>
      <c r="O119" s="48">
        <f>N119*E119</f>
        <v>0</v>
      </c>
      <c r="P119" s="49">
        <f>O119+M119+K119+I119+G119</f>
        <v>47058</v>
      </c>
    </row>
    <row r="120" spans="1:16" s="46" customFormat="1" ht="60">
      <c r="A120" s="21">
        <v>112</v>
      </c>
      <c r="B120" s="50"/>
      <c r="C120" s="86" t="s">
        <v>189</v>
      </c>
      <c r="D120" s="20" t="s">
        <v>37</v>
      </c>
      <c r="E120" s="9">
        <v>8826.4</v>
      </c>
      <c r="F120" s="20">
        <v>10</v>
      </c>
      <c r="G120" s="48">
        <f t="shared" ref="G120:G124" si="12">E120*F120</f>
        <v>88264</v>
      </c>
      <c r="H120" s="48"/>
      <c r="I120" s="48">
        <f t="shared" ref="I120:I124" si="13">H120*E120</f>
        <v>0</v>
      </c>
      <c r="J120" s="48"/>
      <c r="K120" s="48">
        <f t="shared" ref="K120:K124" si="14">J120*E120</f>
        <v>0</v>
      </c>
      <c r="L120" s="48"/>
      <c r="M120" s="48">
        <f t="shared" ref="M120:M124" si="15">L120*E120</f>
        <v>0</v>
      </c>
      <c r="N120" s="48"/>
      <c r="O120" s="48">
        <f t="shared" ref="O120:O124" si="16">N120*E120</f>
        <v>0</v>
      </c>
      <c r="P120" s="49">
        <f t="shared" ref="P120:P124" si="17">O120+M120+K120+I120+G120</f>
        <v>88264</v>
      </c>
    </row>
    <row r="121" spans="1:16" s="46" customFormat="1" ht="60">
      <c r="A121" s="21">
        <v>113</v>
      </c>
      <c r="B121" s="50"/>
      <c r="C121" s="86" t="s">
        <v>190</v>
      </c>
      <c r="D121" s="20" t="s">
        <v>37</v>
      </c>
      <c r="E121" s="9">
        <v>8826.4</v>
      </c>
      <c r="F121" s="20">
        <v>5</v>
      </c>
      <c r="G121" s="48">
        <f t="shared" si="12"/>
        <v>44132</v>
      </c>
      <c r="H121" s="48"/>
      <c r="I121" s="48">
        <f t="shared" si="13"/>
        <v>0</v>
      </c>
      <c r="J121" s="48"/>
      <c r="K121" s="48">
        <f t="shared" si="14"/>
        <v>0</v>
      </c>
      <c r="L121" s="48"/>
      <c r="M121" s="48">
        <f t="shared" si="15"/>
        <v>0</v>
      </c>
      <c r="N121" s="48"/>
      <c r="O121" s="48">
        <f t="shared" si="16"/>
        <v>0</v>
      </c>
      <c r="P121" s="49">
        <f t="shared" si="17"/>
        <v>44132</v>
      </c>
    </row>
    <row r="122" spans="1:16" s="46" customFormat="1" ht="112.5">
      <c r="A122" s="21">
        <v>114</v>
      </c>
      <c r="B122" s="50"/>
      <c r="C122" s="87" t="s">
        <v>191</v>
      </c>
      <c r="D122" s="20" t="s">
        <v>37</v>
      </c>
      <c r="E122" s="9">
        <v>5888.2</v>
      </c>
      <c r="F122" s="20">
        <v>8</v>
      </c>
      <c r="G122" s="48">
        <f t="shared" si="12"/>
        <v>47105.599999999999</v>
      </c>
      <c r="H122" s="48"/>
      <c r="I122" s="48">
        <f t="shared" si="13"/>
        <v>0</v>
      </c>
      <c r="J122" s="48"/>
      <c r="K122" s="48">
        <f t="shared" si="14"/>
        <v>0</v>
      </c>
      <c r="L122" s="48"/>
      <c r="M122" s="48">
        <f t="shared" si="15"/>
        <v>0</v>
      </c>
      <c r="N122" s="48"/>
      <c r="O122" s="48">
        <f t="shared" si="16"/>
        <v>0</v>
      </c>
      <c r="P122" s="49">
        <f t="shared" si="17"/>
        <v>47105.599999999999</v>
      </c>
    </row>
    <row r="123" spans="1:16" s="46" customFormat="1" ht="45">
      <c r="A123" s="21">
        <v>115</v>
      </c>
      <c r="B123" s="50"/>
      <c r="C123" s="86" t="s">
        <v>192</v>
      </c>
      <c r="D123" s="20" t="s">
        <v>37</v>
      </c>
      <c r="E123" s="9">
        <v>4106.3999999999996</v>
      </c>
      <c r="F123" s="20">
        <v>8</v>
      </c>
      <c r="G123" s="48">
        <f t="shared" ref="G123" si="18">E123*F123</f>
        <v>32851.199999999997</v>
      </c>
      <c r="H123" s="48"/>
      <c r="I123" s="48">
        <f t="shared" ref="I123" si="19">H123*E123</f>
        <v>0</v>
      </c>
      <c r="J123" s="48"/>
      <c r="K123" s="48">
        <f t="shared" ref="K123" si="20">J123*E123</f>
        <v>0</v>
      </c>
      <c r="L123" s="48"/>
      <c r="M123" s="48">
        <f t="shared" ref="M123" si="21">L123*E123</f>
        <v>0</v>
      </c>
      <c r="N123" s="48"/>
      <c r="O123" s="48">
        <f t="shared" ref="O123" si="22">N123*E123</f>
        <v>0</v>
      </c>
      <c r="P123" s="49">
        <f t="shared" ref="P123" si="23">O123+M123+K123+I123+G123</f>
        <v>32851.199999999997</v>
      </c>
    </row>
    <row r="124" spans="1:16" s="46" customFormat="1" ht="45">
      <c r="A124" s="21">
        <v>116</v>
      </c>
      <c r="B124" s="50"/>
      <c r="C124" s="91" t="s">
        <v>199</v>
      </c>
      <c r="D124" s="20" t="s">
        <v>37</v>
      </c>
      <c r="E124" s="9">
        <v>70800</v>
      </c>
      <c r="F124" s="20">
        <v>3</v>
      </c>
      <c r="G124" s="48">
        <f t="shared" si="12"/>
        <v>212400</v>
      </c>
      <c r="H124" s="48"/>
      <c r="I124" s="48">
        <f t="shared" si="13"/>
        <v>0</v>
      </c>
      <c r="J124" s="48"/>
      <c r="K124" s="48">
        <f t="shared" si="14"/>
        <v>0</v>
      </c>
      <c r="L124" s="48"/>
      <c r="M124" s="48">
        <f t="shared" si="15"/>
        <v>0</v>
      </c>
      <c r="N124" s="48"/>
      <c r="O124" s="48">
        <f t="shared" si="16"/>
        <v>0</v>
      </c>
      <c r="P124" s="49">
        <f t="shared" si="17"/>
        <v>212400</v>
      </c>
    </row>
    <row r="125" spans="1:16" ht="15.75">
      <c r="C125" s="73"/>
      <c r="P125" s="65">
        <f>SUM(P51:P124)</f>
        <v>6473375.209999999</v>
      </c>
    </row>
    <row r="126" spans="1:16" ht="15.75">
      <c r="C126" s="73"/>
      <c r="P126" s="65">
        <f>P125+P50</f>
        <v>6975344.629999999</v>
      </c>
    </row>
    <row r="127" spans="1:16">
      <c r="C127" s="73"/>
    </row>
    <row r="128" spans="1:16" s="46" customFormat="1" ht="15.75">
      <c r="A128" s="1262" t="s">
        <v>200</v>
      </c>
      <c r="B128" s="1262"/>
      <c r="C128" s="1262"/>
      <c r="D128" s="1262"/>
      <c r="E128" s="1262"/>
      <c r="F128" s="1262"/>
      <c r="G128" s="1262"/>
      <c r="H128" s="1262"/>
      <c r="I128" s="1262"/>
      <c r="J128" s="1262"/>
      <c r="K128" s="1262"/>
      <c r="N128" s="47"/>
    </row>
    <row r="129" spans="1:14" s="46" customFormat="1" ht="15.75">
      <c r="A129" s="1262"/>
      <c r="B129" s="1262"/>
      <c r="C129" s="1262"/>
      <c r="D129" s="1262"/>
      <c r="E129" s="1262"/>
      <c r="F129" s="1262"/>
      <c r="G129" s="1262"/>
      <c r="H129" s="1262"/>
      <c r="I129" s="1262"/>
      <c r="J129" s="1262"/>
      <c r="K129" s="1262"/>
      <c r="N129" s="47"/>
    </row>
    <row r="130" spans="1:14" ht="22.5">
      <c r="A130" s="93"/>
      <c r="B130" s="93"/>
      <c r="C130" s="94"/>
      <c r="D130" s="93"/>
      <c r="E130" s="93"/>
      <c r="F130" s="93"/>
      <c r="G130" s="93"/>
      <c r="H130" s="93"/>
      <c r="I130" s="93"/>
      <c r="J130" s="93"/>
      <c r="K130" s="93"/>
    </row>
    <row r="131" spans="1:14" ht="15.75">
      <c r="A131" s="1253" t="s">
        <v>201</v>
      </c>
      <c r="B131" s="1253"/>
      <c r="C131" s="1253"/>
      <c r="D131" s="1253"/>
      <c r="E131" s="1253"/>
      <c r="F131" s="1253"/>
      <c r="G131" s="1253"/>
      <c r="H131" s="1253"/>
      <c r="I131" s="95"/>
      <c r="J131" s="95"/>
      <c r="K131" s="95"/>
    </row>
    <row r="132" spans="1:14">
      <c r="A132" s="1254" t="s">
        <v>202</v>
      </c>
      <c r="B132" s="1254"/>
      <c r="C132" s="1254"/>
      <c r="D132" s="1254" t="s">
        <v>203</v>
      </c>
      <c r="E132" s="1254"/>
      <c r="F132" s="95"/>
      <c r="G132" s="95"/>
      <c r="H132" s="96" t="s">
        <v>204</v>
      </c>
      <c r="I132" s="95"/>
      <c r="J132" s="96" t="s">
        <v>205</v>
      </c>
      <c r="K132" s="96"/>
    </row>
    <row r="133" spans="1:14">
      <c r="A133" s="1255" t="s">
        <v>206</v>
      </c>
      <c r="B133" s="1255"/>
      <c r="C133" s="1255"/>
      <c r="D133" s="1256" t="s">
        <v>207</v>
      </c>
      <c r="E133" s="1256"/>
      <c r="F133" s="1256"/>
      <c r="G133" s="95"/>
      <c r="H133" s="97" t="s">
        <v>208</v>
      </c>
      <c r="I133" s="95"/>
      <c r="J133" s="98">
        <v>46235</v>
      </c>
      <c r="K133" s="98"/>
    </row>
    <row r="134" spans="1:14">
      <c r="A134" s="1102" t="s">
        <v>209</v>
      </c>
      <c r="B134" s="1103" t="s">
        <v>210</v>
      </c>
      <c r="C134" s="1103" t="s">
        <v>211</v>
      </c>
      <c r="D134" s="1270" t="s">
        <v>112</v>
      </c>
      <c r="E134" s="99"/>
      <c r="F134" s="1093" t="s">
        <v>212</v>
      </c>
      <c r="G134" s="1094"/>
      <c r="H134" s="1094"/>
      <c r="I134" s="1095"/>
      <c r="J134" s="1096" t="s">
        <v>213</v>
      </c>
      <c r="K134" s="1102" t="s">
        <v>214</v>
      </c>
    </row>
    <row r="135" spans="1:14">
      <c r="A135" s="1103"/>
      <c r="B135" s="1103"/>
      <c r="C135" s="1103"/>
      <c r="D135" s="1271"/>
      <c r="E135" s="100" t="s">
        <v>114</v>
      </c>
      <c r="F135" s="100" t="s">
        <v>215</v>
      </c>
      <c r="G135" s="100" t="s">
        <v>1</v>
      </c>
      <c r="H135" s="100" t="s">
        <v>216</v>
      </c>
      <c r="I135" s="100" t="s">
        <v>217</v>
      </c>
      <c r="J135" s="1097"/>
      <c r="K135" s="1102"/>
    </row>
    <row r="136" spans="1:14" ht="31.5">
      <c r="A136" s="100">
        <v>1</v>
      </c>
      <c r="B136" s="101" t="s">
        <v>218</v>
      </c>
      <c r="C136" s="59" t="s">
        <v>219</v>
      </c>
      <c r="D136" s="102" t="s">
        <v>220</v>
      </c>
      <c r="E136" s="7">
        <v>7.0949999999999998</v>
      </c>
      <c r="F136" s="103">
        <v>0</v>
      </c>
      <c r="G136" s="103">
        <v>0</v>
      </c>
      <c r="H136" s="103">
        <v>0</v>
      </c>
      <c r="I136" s="103">
        <v>0</v>
      </c>
      <c r="J136" s="104">
        <v>24000</v>
      </c>
      <c r="K136" s="105">
        <f>SUM(E136*24000)</f>
        <v>170280</v>
      </c>
    </row>
    <row r="137" spans="1:14" ht="31.5">
      <c r="A137" s="106">
        <v>2</v>
      </c>
      <c r="B137" s="107" t="s">
        <v>221</v>
      </c>
      <c r="C137" s="108" t="s">
        <v>222</v>
      </c>
      <c r="D137" s="109" t="s">
        <v>5</v>
      </c>
      <c r="E137" s="110">
        <v>0</v>
      </c>
      <c r="F137" s="110">
        <v>0</v>
      </c>
      <c r="G137" s="110">
        <v>0</v>
      </c>
      <c r="H137" s="110">
        <v>0</v>
      </c>
      <c r="I137" s="111">
        <v>1</v>
      </c>
      <c r="J137" s="112">
        <v>100</v>
      </c>
      <c r="K137" s="112">
        <f>SUM(I137*100)</f>
        <v>100</v>
      </c>
    </row>
    <row r="138" spans="1:14" ht="31.5">
      <c r="A138" s="100">
        <v>3</v>
      </c>
      <c r="B138" s="101" t="s">
        <v>218</v>
      </c>
      <c r="C138" s="113" t="s">
        <v>223</v>
      </c>
      <c r="D138" s="109" t="s">
        <v>220</v>
      </c>
      <c r="E138" s="110">
        <v>0</v>
      </c>
      <c r="F138" s="110">
        <v>0</v>
      </c>
      <c r="G138" s="110">
        <v>0</v>
      </c>
      <c r="H138" s="110">
        <v>0</v>
      </c>
      <c r="I138" s="114">
        <v>0</v>
      </c>
      <c r="J138" s="114">
        <v>10000</v>
      </c>
      <c r="K138" s="115">
        <f>SUM(I138*10000)</f>
        <v>0</v>
      </c>
    </row>
    <row r="139" spans="1:14" ht="31.5">
      <c r="A139" s="100">
        <v>4</v>
      </c>
      <c r="B139" s="101" t="s">
        <v>224</v>
      </c>
      <c r="C139" s="7" t="s">
        <v>225</v>
      </c>
      <c r="D139" s="102" t="s">
        <v>5</v>
      </c>
      <c r="E139" s="105">
        <v>34</v>
      </c>
      <c r="F139" s="103">
        <v>0</v>
      </c>
      <c r="G139" s="103">
        <v>0</v>
      </c>
      <c r="H139" s="103">
        <v>0</v>
      </c>
      <c r="I139" s="103">
        <v>0</v>
      </c>
      <c r="J139" s="104">
        <v>60</v>
      </c>
      <c r="K139" s="104">
        <f>SUM(E139*60)</f>
        <v>2040</v>
      </c>
    </row>
    <row r="140" spans="1:14" ht="31.5">
      <c r="A140" s="106">
        <v>5</v>
      </c>
      <c r="B140" s="116" t="s">
        <v>226</v>
      </c>
      <c r="C140" s="59" t="s">
        <v>227</v>
      </c>
      <c r="D140" s="102" t="s">
        <v>5</v>
      </c>
      <c r="E140" s="105">
        <v>16</v>
      </c>
      <c r="F140" s="103">
        <v>0</v>
      </c>
      <c r="G140" s="103">
        <v>0</v>
      </c>
      <c r="H140" s="103">
        <v>0</v>
      </c>
      <c r="I140" s="103">
        <v>0</v>
      </c>
      <c r="J140" s="104">
        <v>281</v>
      </c>
      <c r="K140" s="104">
        <f>SUM(E140*281)</f>
        <v>4496</v>
      </c>
    </row>
    <row r="141" spans="1:14" ht="31.5">
      <c r="A141" s="100">
        <v>6</v>
      </c>
      <c r="B141" s="107" t="s">
        <v>228</v>
      </c>
      <c r="C141" s="113" t="s">
        <v>229</v>
      </c>
      <c r="D141" s="109" t="s">
        <v>230</v>
      </c>
      <c r="E141" s="117">
        <v>0</v>
      </c>
      <c r="F141" s="110">
        <v>0</v>
      </c>
      <c r="G141" s="110">
        <v>0</v>
      </c>
      <c r="H141" s="110">
        <v>0</v>
      </c>
      <c r="I141" s="114">
        <v>0.84399999999999997</v>
      </c>
      <c r="J141" s="118">
        <v>54161</v>
      </c>
      <c r="K141" s="110">
        <f>SUM(I141*54161)</f>
        <v>45711.883999999998</v>
      </c>
    </row>
    <row r="142" spans="1:14" ht="31.5">
      <c r="A142" s="100">
        <v>7</v>
      </c>
      <c r="B142" s="107" t="s">
        <v>231</v>
      </c>
      <c r="C142" s="113" t="s">
        <v>232</v>
      </c>
      <c r="D142" s="109" t="s">
        <v>230</v>
      </c>
      <c r="E142" s="110">
        <v>0</v>
      </c>
      <c r="F142" s="110">
        <v>0</v>
      </c>
      <c r="G142" s="110">
        <v>0</v>
      </c>
      <c r="H142" s="110">
        <v>0</v>
      </c>
      <c r="I142" s="114">
        <v>1.008</v>
      </c>
      <c r="J142" s="114">
        <v>54161</v>
      </c>
      <c r="K142" s="110">
        <f>SUM(I142*54161)</f>
        <v>54594.288</v>
      </c>
    </row>
    <row r="143" spans="1:14" ht="31.5">
      <c r="A143" s="106">
        <v>8</v>
      </c>
      <c r="B143" s="101" t="s">
        <v>233</v>
      </c>
      <c r="C143" s="59" t="s">
        <v>234</v>
      </c>
      <c r="D143" s="102" t="s">
        <v>5</v>
      </c>
      <c r="E143" s="103">
        <v>8</v>
      </c>
      <c r="F143" s="103">
        <v>0</v>
      </c>
      <c r="G143" s="103">
        <v>0</v>
      </c>
      <c r="H143" s="103">
        <v>0</v>
      </c>
      <c r="I143" s="103">
        <v>0</v>
      </c>
      <c r="J143" s="103">
        <v>484.65</v>
      </c>
      <c r="K143" s="103">
        <f>SUM(E143*484.65)</f>
        <v>3877.2</v>
      </c>
    </row>
    <row r="144" spans="1:14" ht="31.5">
      <c r="A144" s="100">
        <v>9</v>
      </c>
      <c r="B144" s="119" t="s">
        <v>235</v>
      </c>
      <c r="C144" s="59" t="s">
        <v>236</v>
      </c>
      <c r="D144" s="102" t="s">
        <v>5</v>
      </c>
      <c r="E144" s="103">
        <v>3</v>
      </c>
      <c r="F144" s="103">
        <v>0</v>
      </c>
      <c r="G144" s="103">
        <v>0</v>
      </c>
      <c r="H144" s="103">
        <v>0</v>
      </c>
      <c r="I144" s="103">
        <v>0</v>
      </c>
      <c r="J144" s="104">
        <v>1150.8</v>
      </c>
      <c r="K144" s="104">
        <f>SUM(E144*1150.8)</f>
        <v>3452.3999999999996</v>
      </c>
    </row>
    <row r="145" spans="1:11" ht="31.5">
      <c r="A145" s="100">
        <v>10</v>
      </c>
      <c r="B145" s="120" t="s">
        <v>237</v>
      </c>
      <c r="C145" s="121" t="s">
        <v>238</v>
      </c>
      <c r="D145" s="102" t="s">
        <v>239</v>
      </c>
      <c r="E145" s="103">
        <v>16</v>
      </c>
      <c r="F145" s="103"/>
      <c r="G145" s="103"/>
      <c r="H145" s="103"/>
      <c r="I145" s="103"/>
      <c r="J145" s="104">
        <v>7003.3</v>
      </c>
      <c r="K145" s="104">
        <f>SUM(E145*7003.3)</f>
        <v>112052.8</v>
      </c>
    </row>
    <row r="146" spans="1:11" ht="15.75">
      <c r="A146" s="106">
        <v>11</v>
      </c>
      <c r="B146" s="101" t="s">
        <v>240</v>
      </c>
      <c r="C146" s="121" t="s">
        <v>241</v>
      </c>
      <c r="D146" s="102" t="s">
        <v>37</v>
      </c>
      <c r="E146" s="103">
        <v>48</v>
      </c>
      <c r="F146" s="103"/>
      <c r="G146" s="103"/>
      <c r="H146" s="103"/>
      <c r="I146" s="103"/>
      <c r="J146" s="104">
        <v>1829</v>
      </c>
      <c r="K146" s="104">
        <f>SUM(E146*J146)</f>
        <v>87792</v>
      </c>
    </row>
    <row r="147" spans="1:11" ht="31.5">
      <c r="A147" s="100">
        <v>12</v>
      </c>
      <c r="B147" s="122" t="s">
        <v>242</v>
      </c>
      <c r="C147" s="123" t="s">
        <v>243</v>
      </c>
      <c r="D147" s="102" t="s">
        <v>5</v>
      </c>
      <c r="E147" s="103">
        <v>7</v>
      </c>
      <c r="F147" s="103">
        <v>0</v>
      </c>
      <c r="G147" s="103">
        <v>0</v>
      </c>
      <c r="H147" s="103">
        <v>0</v>
      </c>
      <c r="I147" s="103">
        <v>0</v>
      </c>
      <c r="J147" s="104">
        <v>590</v>
      </c>
      <c r="K147" s="124">
        <f>SUM(E147*590)</f>
        <v>4130</v>
      </c>
    </row>
    <row r="148" spans="1:11" ht="47.25">
      <c r="A148" s="100">
        <v>13</v>
      </c>
      <c r="B148" s="122" t="s">
        <v>244</v>
      </c>
      <c r="C148" s="59" t="s">
        <v>245</v>
      </c>
      <c r="D148" s="1265" t="s">
        <v>246</v>
      </c>
      <c r="E148" s="103">
        <v>8</v>
      </c>
      <c r="F148" s="103">
        <v>0</v>
      </c>
      <c r="G148" s="103">
        <v>0</v>
      </c>
      <c r="H148" s="103">
        <v>0</v>
      </c>
      <c r="I148" s="103">
        <v>0</v>
      </c>
      <c r="J148" s="103">
        <v>1739.32</v>
      </c>
      <c r="K148" s="104">
        <f>SUM(E148*1739.32)</f>
        <v>13914.56</v>
      </c>
    </row>
    <row r="149" spans="1:11" ht="47.25">
      <c r="A149" s="106">
        <v>14</v>
      </c>
      <c r="B149" s="122" t="s">
        <v>244</v>
      </c>
      <c r="C149" s="59" t="s">
        <v>247</v>
      </c>
      <c r="D149" s="1266"/>
      <c r="E149" s="103">
        <v>8</v>
      </c>
      <c r="F149" s="103">
        <v>0</v>
      </c>
      <c r="G149" s="103">
        <v>0</v>
      </c>
      <c r="H149" s="103">
        <v>0</v>
      </c>
      <c r="I149" s="103">
        <v>0</v>
      </c>
      <c r="J149" s="104">
        <v>1622.5</v>
      </c>
      <c r="K149" s="104">
        <f>SUM(E149*1622.5)</f>
        <v>12980</v>
      </c>
    </row>
    <row r="150" spans="1:11" ht="57">
      <c r="A150" s="100">
        <v>15</v>
      </c>
      <c r="B150" s="122" t="s">
        <v>248</v>
      </c>
      <c r="C150" s="125" t="s">
        <v>249</v>
      </c>
      <c r="D150" s="102" t="s">
        <v>246</v>
      </c>
      <c r="E150" s="103">
        <v>7</v>
      </c>
      <c r="F150" s="103">
        <v>0</v>
      </c>
      <c r="G150" s="103">
        <v>0</v>
      </c>
      <c r="H150" s="103">
        <v>0</v>
      </c>
      <c r="I150" s="103">
        <v>0</v>
      </c>
      <c r="J150" s="103">
        <v>1739.32</v>
      </c>
      <c r="K150" s="104">
        <f>SUM(E150*1739.32)</f>
        <v>12175.24</v>
      </c>
    </row>
    <row r="151" spans="1:11" ht="57">
      <c r="A151" s="100">
        <v>16</v>
      </c>
      <c r="B151" s="122" t="s">
        <v>248</v>
      </c>
      <c r="C151" s="125" t="s">
        <v>250</v>
      </c>
      <c r="D151" s="102" t="s">
        <v>246</v>
      </c>
      <c r="E151" s="103">
        <v>5</v>
      </c>
      <c r="F151" s="103">
        <v>0</v>
      </c>
      <c r="G151" s="103">
        <v>0</v>
      </c>
      <c r="H151" s="103">
        <v>0</v>
      </c>
      <c r="I151" s="103">
        <v>0</v>
      </c>
      <c r="J151" s="104">
        <v>1864.4</v>
      </c>
      <c r="K151" s="104">
        <f>SUM(E151*1864.4)</f>
        <v>9322</v>
      </c>
    </row>
    <row r="152" spans="1:11" ht="47.25">
      <c r="A152" s="106">
        <v>17</v>
      </c>
      <c r="B152" s="122" t="s">
        <v>251</v>
      </c>
      <c r="C152" s="59" t="s">
        <v>252</v>
      </c>
      <c r="D152" s="102" t="s">
        <v>253</v>
      </c>
      <c r="E152" s="103">
        <v>4</v>
      </c>
      <c r="F152" s="103">
        <v>0</v>
      </c>
      <c r="G152" s="103">
        <v>0</v>
      </c>
      <c r="H152" s="103">
        <v>0</v>
      </c>
      <c r="I152" s="103">
        <v>0</v>
      </c>
      <c r="J152" s="103">
        <v>626.58000000000004</v>
      </c>
      <c r="K152" s="103">
        <f>SUM(E152*626.58)</f>
        <v>2506.3200000000002</v>
      </c>
    </row>
    <row r="153" spans="1:11" ht="15.75">
      <c r="A153" s="100">
        <v>18</v>
      </c>
      <c r="B153" s="122" t="s">
        <v>254</v>
      </c>
      <c r="C153" s="126" t="s">
        <v>255</v>
      </c>
      <c r="D153" s="103" t="s">
        <v>256</v>
      </c>
      <c r="E153" s="60">
        <v>155</v>
      </c>
      <c r="F153" s="103">
        <v>0</v>
      </c>
      <c r="G153" s="103">
        <v>0</v>
      </c>
      <c r="H153" s="103">
        <v>0</v>
      </c>
      <c r="I153" s="103">
        <v>0</v>
      </c>
      <c r="J153" s="104">
        <v>20</v>
      </c>
      <c r="K153" s="103">
        <f>SUM(E153*20)</f>
        <v>3100</v>
      </c>
    </row>
    <row r="154" spans="1:11" ht="47.25">
      <c r="A154" s="100">
        <v>19</v>
      </c>
      <c r="B154" s="127" t="s">
        <v>257</v>
      </c>
      <c r="C154" s="113" t="s">
        <v>258</v>
      </c>
      <c r="D154" s="110" t="s">
        <v>195</v>
      </c>
      <c r="E154" s="128">
        <v>0</v>
      </c>
      <c r="F154" s="110">
        <v>0</v>
      </c>
      <c r="G154" s="110">
        <v>0</v>
      </c>
      <c r="H154" s="110">
        <v>0</v>
      </c>
      <c r="I154" s="115">
        <v>1439.26</v>
      </c>
      <c r="J154" s="115">
        <v>10</v>
      </c>
      <c r="K154" s="110">
        <f>SUM(I154*J154)</f>
        <v>14392.6</v>
      </c>
    </row>
    <row r="155" spans="1:11" ht="15.75">
      <c r="A155" s="106">
        <v>20</v>
      </c>
      <c r="B155" s="127" t="s">
        <v>257</v>
      </c>
      <c r="C155" s="59" t="s">
        <v>259</v>
      </c>
      <c r="D155" s="103" t="s">
        <v>67</v>
      </c>
      <c r="E155" s="60">
        <v>1.46</v>
      </c>
      <c r="F155" s="103">
        <v>0</v>
      </c>
      <c r="G155" s="103">
        <v>0</v>
      </c>
      <c r="H155" s="103">
        <v>0</v>
      </c>
      <c r="I155" s="104">
        <v>0</v>
      </c>
      <c r="J155" s="104">
        <v>78735.5</v>
      </c>
      <c r="K155" s="103">
        <f>SUM(E155*J155)</f>
        <v>114953.83</v>
      </c>
    </row>
    <row r="156" spans="1:11" ht="31.5">
      <c r="A156" s="100">
        <v>21</v>
      </c>
      <c r="B156" s="122" t="s">
        <v>260</v>
      </c>
      <c r="C156" s="59" t="s">
        <v>261</v>
      </c>
      <c r="D156" s="103" t="s">
        <v>37</v>
      </c>
      <c r="E156" s="60">
        <v>24</v>
      </c>
      <c r="F156" s="103">
        <v>0</v>
      </c>
      <c r="G156" s="103">
        <v>0</v>
      </c>
      <c r="H156" s="103">
        <v>0</v>
      </c>
      <c r="I156" s="104">
        <v>0</v>
      </c>
      <c r="J156" s="104">
        <v>3764.2</v>
      </c>
      <c r="K156" s="103">
        <f>SUM(E156*J156)</f>
        <v>90340.799999999988</v>
      </c>
    </row>
    <row r="157" spans="1:11" ht="31.5">
      <c r="A157" s="100">
        <v>22</v>
      </c>
      <c r="B157" s="122" t="s">
        <v>262</v>
      </c>
      <c r="C157" s="59" t="s">
        <v>263</v>
      </c>
      <c r="D157" s="103" t="s">
        <v>195</v>
      </c>
      <c r="E157" s="60">
        <v>20</v>
      </c>
      <c r="F157" s="103">
        <v>0</v>
      </c>
      <c r="G157" s="103">
        <v>0</v>
      </c>
      <c r="H157" s="103">
        <v>0</v>
      </c>
      <c r="I157" s="104">
        <v>0</v>
      </c>
      <c r="J157" s="104">
        <v>348.1</v>
      </c>
      <c r="K157" s="103">
        <f>SUM(E157*J157)</f>
        <v>6962</v>
      </c>
    </row>
    <row r="158" spans="1:11" ht="47.25">
      <c r="A158" s="106">
        <v>23</v>
      </c>
      <c r="B158" s="127" t="s">
        <v>264</v>
      </c>
      <c r="C158" s="113" t="s">
        <v>265</v>
      </c>
      <c r="D158" s="110" t="s">
        <v>266</v>
      </c>
      <c r="E158" s="129">
        <v>0</v>
      </c>
      <c r="F158" s="110">
        <v>0</v>
      </c>
      <c r="G158" s="110">
        <v>0</v>
      </c>
      <c r="H158" s="110">
        <v>0</v>
      </c>
      <c r="I158" s="115">
        <v>6</v>
      </c>
      <c r="J158" s="115">
        <v>4965.62</v>
      </c>
      <c r="K158" s="110">
        <f>SUM(I158*4965.62)</f>
        <v>29793.72</v>
      </c>
    </row>
    <row r="159" spans="1:11" ht="31.5">
      <c r="A159" s="106">
        <v>24</v>
      </c>
      <c r="B159" s="127"/>
      <c r="C159" s="113" t="s">
        <v>267</v>
      </c>
      <c r="D159" s="110" t="s">
        <v>268</v>
      </c>
      <c r="E159" s="129">
        <v>8.5000000000000006E-2</v>
      </c>
      <c r="F159" s="110">
        <v>0</v>
      </c>
      <c r="G159" s="110">
        <v>0</v>
      </c>
      <c r="H159" s="110">
        <v>0</v>
      </c>
      <c r="I159" s="104">
        <v>0</v>
      </c>
      <c r="J159" s="115">
        <v>268992.8</v>
      </c>
      <c r="K159" s="115">
        <f>E159*J159</f>
        <v>22864.387999999999</v>
      </c>
    </row>
    <row r="160" spans="1:11" ht="15.75">
      <c r="A160" s="100"/>
      <c r="B160" s="103"/>
      <c r="C160" s="103"/>
      <c r="D160" s="103"/>
      <c r="E160" s="103"/>
      <c r="F160" s="103"/>
      <c r="G160" s="103"/>
      <c r="H160" s="1267" t="s">
        <v>269</v>
      </c>
      <c r="I160" s="1268"/>
      <c r="J160" s="1269"/>
      <c r="K160" s="130">
        <f>SUM(K136:K159)</f>
        <v>821832.03</v>
      </c>
    </row>
    <row r="161" spans="1:11">
      <c r="A161" s="100"/>
      <c r="B161" s="103"/>
      <c r="C161" s="103"/>
      <c r="D161" s="103"/>
      <c r="E161" s="103"/>
      <c r="F161" s="103"/>
      <c r="G161" s="103"/>
      <c r="H161" s="103"/>
      <c r="I161" s="103"/>
      <c r="J161" s="103"/>
      <c r="K161" s="103"/>
    </row>
    <row r="162" spans="1:11">
      <c r="A162" s="95"/>
      <c r="B162" s="95"/>
      <c r="C162" s="95"/>
      <c r="D162" s="95"/>
      <c r="E162" s="95"/>
      <c r="F162" s="95"/>
      <c r="G162" s="95"/>
      <c r="H162" s="95"/>
      <c r="I162" s="95"/>
      <c r="J162" s="95"/>
      <c r="K162" s="95"/>
    </row>
    <row r="163" spans="1:11" ht="15.75">
      <c r="A163" s="131"/>
      <c r="B163" s="131" t="s">
        <v>270</v>
      </c>
      <c r="C163" s="95"/>
      <c r="D163" s="95"/>
      <c r="E163" s="95"/>
      <c r="F163" s="95"/>
      <c r="G163" s="95"/>
      <c r="H163" s="95"/>
      <c r="I163" s="95"/>
      <c r="J163" s="95"/>
      <c r="K163" s="95"/>
    </row>
    <row r="164" spans="1:11">
      <c r="A164" s="1102" t="s">
        <v>271</v>
      </c>
      <c r="B164" s="1103" t="s">
        <v>210</v>
      </c>
      <c r="C164" s="1270" t="s">
        <v>211</v>
      </c>
      <c r="D164" s="1270" t="s">
        <v>112</v>
      </c>
      <c r="E164" s="99"/>
      <c r="F164" s="1093" t="s">
        <v>212</v>
      </c>
      <c r="G164" s="1094"/>
      <c r="H164" s="1094"/>
      <c r="I164" s="1095"/>
      <c r="J164" s="1096" t="s">
        <v>213</v>
      </c>
      <c r="K164" s="1102" t="s">
        <v>214</v>
      </c>
    </row>
    <row r="165" spans="1:11">
      <c r="A165" s="1103"/>
      <c r="B165" s="1103"/>
      <c r="C165" s="1271"/>
      <c r="D165" s="1271"/>
      <c r="E165" s="100" t="s">
        <v>272</v>
      </c>
      <c r="F165" s="100" t="s">
        <v>215</v>
      </c>
      <c r="G165" s="100" t="s">
        <v>1</v>
      </c>
      <c r="H165" s="100" t="s">
        <v>216</v>
      </c>
      <c r="I165" s="100" t="s">
        <v>217</v>
      </c>
      <c r="J165" s="1097"/>
      <c r="K165" s="1102"/>
    </row>
    <row r="166" spans="1:11" ht="60">
      <c r="A166" s="100">
        <v>1</v>
      </c>
      <c r="B166" s="103" t="s">
        <v>273</v>
      </c>
      <c r="C166" s="132" t="s">
        <v>274</v>
      </c>
      <c r="D166" s="133" t="s">
        <v>37</v>
      </c>
      <c r="E166" s="103">
        <v>1</v>
      </c>
      <c r="F166" s="100"/>
      <c r="G166" s="100"/>
      <c r="H166" s="100"/>
      <c r="I166" s="100"/>
      <c r="J166" s="133">
        <v>82718</v>
      </c>
      <c r="K166" s="133">
        <f>SUM(E166*J166)</f>
        <v>82718</v>
      </c>
    </row>
    <row r="167" spans="1:11" ht="75">
      <c r="A167" s="100">
        <v>2</v>
      </c>
      <c r="B167" s="103" t="s">
        <v>275</v>
      </c>
      <c r="C167" s="19" t="s">
        <v>276</v>
      </c>
      <c r="D167" s="103" t="s">
        <v>266</v>
      </c>
      <c r="E167" s="103">
        <v>1</v>
      </c>
      <c r="F167" s="103"/>
      <c r="G167" s="103"/>
      <c r="H167" s="100"/>
      <c r="I167" s="103"/>
      <c r="J167" s="134">
        <v>11782.3</v>
      </c>
      <c r="K167" s="133">
        <f t="shared" ref="K167:K179" si="24">SUM(E167*J167)</f>
        <v>11782.3</v>
      </c>
    </row>
    <row r="168" spans="1:11" ht="75">
      <c r="A168" s="100">
        <v>3</v>
      </c>
      <c r="B168" s="103" t="s">
        <v>277</v>
      </c>
      <c r="C168" s="132" t="s">
        <v>278</v>
      </c>
      <c r="D168" s="103" t="s">
        <v>266</v>
      </c>
      <c r="E168" s="103">
        <v>1</v>
      </c>
      <c r="F168" s="103"/>
      <c r="G168" s="103"/>
      <c r="H168" s="103"/>
      <c r="I168" s="103"/>
      <c r="J168" s="133">
        <v>11782.3</v>
      </c>
      <c r="K168" s="133">
        <f t="shared" si="24"/>
        <v>11782.3</v>
      </c>
    </row>
    <row r="169" spans="1:11" ht="75">
      <c r="A169" s="100">
        <v>4</v>
      </c>
      <c r="B169" s="103" t="s">
        <v>279</v>
      </c>
      <c r="C169" s="132" t="s">
        <v>280</v>
      </c>
      <c r="D169" s="103" t="s">
        <v>266</v>
      </c>
      <c r="E169" s="103">
        <v>1</v>
      </c>
      <c r="F169" s="103"/>
      <c r="G169" s="103"/>
      <c r="H169" s="103"/>
      <c r="I169" s="103"/>
      <c r="J169" s="133">
        <v>13623.1</v>
      </c>
      <c r="K169" s="133">
        <f t="shared" si="24"/>
        <v>13623.1</v>
      </c>
    </row>
    <row r="170" spans="1:11" ht="75">
      <c r="A170" s="100">
        <v>5</v>
      </c>
      <c r="B170" s="103" t="s">
        <v>281</v>
      </c>
      <c r="C170" s="132" t="s">
        <v>282</v>
      </c>
      <c r="D170" s="103" t="s">
        <v>266</v>
      </c>
      <c r="E170" s="103">
        <v>1</v>
      </c>
      <c r="F170" s="103"/>
      <c r="G170" s="103"/>
      <c r="H170" s="103"/>
      <c r="I170" s="103"/>
      <c r="J170" s="133">
        <v>14803.1</v>
      </c>
      <c r="K170" s="133">
        <f t="shared" si="24"/>
        <v>14803.1</v>
      </c>
    </row>
    <row r="171" spans="1:11" ht="30">
      <c r="A171" s="100">
        <v>6</v>
      </c>
      <c r="B171" s="103"/>
      <c r="C171" s="132" t="s">
        <v>283</v>
      </c>
      <c r="D171" s="103" t="s">
        <v>37</v>
      </c>
      <c r="E171" s="103">
        <v>1</v>
      </c>
      <c r="F171" s="103"/>
      <c r="G171" s="103"/>
      <c r="H171" s="103"/>
      <c r="I171" s="103"/>
      <c r="J171" s="104">
        <v>29441</v>
      </c>
      <c r="K171" s="133">
        <f t="shared" si="24"/>
        <v>29441</v>
      </c>
    </row>
    <row r="172" spans="1:11" ht="45">
      <c r="A172" s="100">
        <v>7</v>
      </c>
      <c r="B172" s="103" t="s">
        <v>284</v>
      </c>
      <c r="C172" s="132" t="s">
        <v>285</v>
      </c>
      <c r="D172" s="103" t="s">
        <v>37</v>
      </c>
      <c r="E172" s="103">
        <v>2</v>
      </c>
      <c r="F172" s="103"/>
      <c r="G172" s="103"/>
      <c r="H172" s="103"/>
      <c r="I172" s="103"/>
      <c r="J172" s="104">
        <v>3127</v>
      </c>
      <c r="K172" s="133">
        <f t="shared" si="24"/>
        <v>6254</v>
      </c>
    </row>
    <row r="173" spans="1:11" ht="30">
      <c r="A173" s="100">
        <v>8</v>
      </c>
      <c r="B173" s="103" t="s">
        <v>286</v>
      </c>
      <c r="C173" s="132" t="s">
        <v>287</v>
      </c>
      <c r="D173" s="103" t="s">
        <v>37</v>
      </c>
      <c r="E173" s="103">
        <v>1</v>
      </c>
      <c r="F173" s="103"/>
      <c r="G173" s="103"/>
      <c r="H173" s="103"/>
      <c r="I173" s="103"/>
      <c r="J173" s="104">
        <v>4071</v>
      </c>
      <c r="K173" s="133">
        <f t="shared" si="24"/>
        <v>4071</v>
      </c>
    </row>
    <row r="174" spans="1:11" ht="30">
      <c r="A174" s="100">
        <v>9</v>
      </c>
      <c r="B174" s="103"/>
      <c r="C174" s="132" t="s">
        <v>288</v>
      </c>
      <c r="D174" s="103" t="s">
        <v>37</v>
      </c>
      <c r="E174" s="103">
        <v>1</v>
      </c>
      <c r="F174" s="103"/>
      <c r="G174" s="103"/>
      <c r="H174" s="103"/>
      <c r="I174" s="103"/>
      <c r="J174" s="104">
        <v>31978</v>
      </c>
      <c r="K174" s="133">
        <f t="shared" si="24"/>
        <v>31978</v>
      </c>
    </row>
    <row r="175" spans="1:11" ht="45">
      <c r="A175" s="100">
        <v>10</v>
      </c>
      <c r="B175" s="103" t="s">
        <v>289</v>
      </c>
      <c r="C175" s="132" t="s">
        <v>290</v>
      </c>
      <c r="D175" s="103" t="s">
        <v>37</v>
      </c>
      <c r="E175" s="103">
        <v>4</v>
      </c>
      <c r="F175" s="103"/>
      <c r="G175" s="103"/>
      <c r="H175" s="103"/>
      <c r="I175" s="103"/>
      <c r="J175" s="104">
        <v>4661</v>
      </c>
      <c r="K175" s="133">
        <f t="shared" si="24"/>
        <v>18644</v>
      </c>
    </row>
    <row r="176" spans="1:11" ht="45">
      <c r="A176" s="100">
        <v>11</v>
      </c>
      <c r="B176" s="103" t="s">
        <v>291</v>
      </c>
      <c r="C176" s="132" t="s">
        <v>292</v>
      </c>
      <c r="D176" s="103" t="s">
        <v>37</v>
      </c>
      <c r="E176" s="103">
        <v>2</v>
      </c>
      <c r="F176" s="103"/>
      <c r="G176" s="103"/>
      <c r="H176" s="100"/>
      <c r="I176" s="103"/>
      <c r="J176" s="104">
        <v>4661</v>
      </c>
      <c r="K176" s="133">
        <f t="shared" si="24"/>
        <v>9322</v>
      </c>
    </row>
    <row r="177" spans="1:11" ht="45">
      <c r="A177" s="100">
        <v>12</v>
      </c>
      <c r="B177" s="103" t="s">
        <v>293</v>
      </c>
      <c r="C177" s="132" t="s">
        <v>294</v>
      </c>
      <c r="D177" s="103" t="s">
        <v>37</v>
      </c>
      <c r="E177" s="103">
        <v>2</v>
      </c>
      <c r="F177" s="103"/>
      <c r="G177" s="103"/>
      <c r="H177" s="100"/>
      <c r="I177" s="103"/>
      <c r="J177" s="104">
        <v>2265.6</v>
      </c>
      <c r="K177" s="133">
        <f t="shared" si="24"/>
        <v>4531.2</v>
      </c>
    </row>
    <row r="178" spans="1:11" ht="30">
      <c r="A178" s="100">
        <v>13</v>
      </c>
      <c r="B178" s="103" t="s">
        <v>295</v>
      </c>
      <c r="C178" s="132" t="s">
        <v>296</v>
      </c>
      <c r="D178" s="103" t="s">
        <v>37</v>
      </c>
      <c r="E178" s="103">
        <v>2</v>
      </c>
      <c r="F178" s="103"/>
      <c r="G178" s="103"/>
      <c r="H178" s="103"/>
      <c r="I178" s="103"/>
      <c r="J178" s="104">
        <v>7599.2</v>
      </c>
      <c r="K178" s="133">
        <f t="shared" si="24"/>
        <v>15198.4</v>
      </c>
    </row>
    <row r="179" spans="1:11" ht="15.75">
      <c r="A179" s="100">
        <v>14</v>
      </c>
      <c r="B179" s="103"/>
      <c r="C179" s="135" t="s">
        <v>297</v>
      </c>
      <c r="D179" s="103" t="s">
        <v>37</v>
      </c>
      <c r="E179" s="103">
        <v>2</v>
      </c>
      <c r="F179" s="103"/>
      <c r="G179" s="103"/>
      <c r="H179" s="103"/>
      <c r="I179" s="103"/>
      <c r="J179" s="104">
        <v>4082.8</v>
      </c>
      <c r="K179" s="133">
        <f t="shared" si="24"/>
        <v>8165.6</v>
      </c>
    </row>
    <row r="180" spans="1:11">
      <c r="A180" s="100">
        <v>15</v>
      </c>
      <c r="B180" s="103"/>
      <c r="C180" s="136" t="s">
        <v>298</v>
      </c>
      <c r="D180" s="103" t="s">
        <v>37</v>
      </c>
      <c r="E180" s="103">
        <v>5</v>
      </c>
      <c r="F180" s="103"/>
      <c r="G180" s="103"/>
      <c r="H180" s="103"/>
      <c r="I180" s="103"/>
      <c r="J180" s="104">
        <v>2631.4</v>
      </c>
      <c r="K180" s="104">
        <f>SUM(E180*J180)</f>
        <v>13157</v>
      </c>
    </row>
    <row r="181" spans="1:11">
      <c r="A181" s="100">
        <v>16</v>
      </c>
      <c r="B181" s="103" t="s">
        <v>299</v>
      </c>
      <c r="C181" s="136" t="s">
        <v>300</v>
      </c>
      <c r="D181" s="103" t="s">
        <v>37</v>
      </c>
      <c r="E181" s="103">
        <v>6</v>
      </c>
      <c r="F181" s="103"/>
      <c r="G181" s="103"/>
      <c r="H181" s="103"/>
      <c r="I181" s="103"/>
      <c r="J181" s="104">
        <v>407.1</v>
      </c>
      <c r="K181" s="104">
        <f t="shared" ref="K181:K185" si="25">SUM(E181*J181)</f>
        <v>2442.6000000000004</v>
      </c>
    </row>
    <row r="182" spans="1:11" ht="60">
      <c r="A182" s="100">
        <v>17</v>
      </c>
      <c r="B182" s="103" t="s">
        <v>301</v>
      </c>
      <c r="C182" s="136" t="s">
        <v>302</v>
      </c>
      <c r="D182" s="103" t="s">
        <v>37</v>
      </c>
      <c r="E182" s="103">
        <v>5</v>
      </c>
      <c r="F182" s="103"/>
      <c r="G182" s="103"/>
      <c r="H182" s="103"/>
      <c r="I182" s="103"/>
      <c r="J182" s="104">
        <v>4436.8</v>
      </c>
      <c r="K182" s="104">
        <f t="shared" si="25"/>
        <v>22184</v>
      </c>
    </row>
    <row r="183" spans="1:11" ht="30">
      <c r="A183" s="100">
        <v>18</v>
      </c>
      <c r="B183" s="103" t="s">
        <v>303</v>
      </c>
      <c r="C183" s="136" t="s">
        <v>304</v>
      </c>
      <c r="D183" s="103" t="s">
        <v>46</v>
      </c>
      <c r="E183" s="103">
        <v>130</v>
      </c>
      <c r="F183" s="103"/>
      <c r="G183" s="103"/>
      <c r="H183" s="103"/>
      <c r="I183" s="103"/>
      <c r="J183" s="103">
        <v>1270.8599999999999</v>
      </c>
      <c r="K183" s="103">
        <f t="shared" si="25"/>
        <v>165211.79999999999</v>
      </c>
    </row>
    <row r="184" spans="1:11" ht="30">
      <c r="A184" s="100">
        <v>19</v>
      </c>
      <c r="B184" s="103"/>
      <c r="C184" s="136" t="s">
        <v>305</v>
      </c>
      <c r="D184" s="103" t="s">
        <v>37</v>
      </c>
      <c r="E184" s="103">
        <v>2</v>
      </c>
      <c r="F184" s="103"/>
      <c r="G184" s="103"/>
      <c r="H184" s="103"/>
      <c r="I184" s="103"/>
      <c r="J184" s="104">
        <v>38768.9</v>
      </c>
      <c r="K184" s="104">
        <f t="shared" si="25"/>
        <v>77537.8</v>
      </c>
    </row>
    <row r="185" spans="1:11" ht="30">
      <c r="A185" s="137">
        <v>20</v>
      </c>
      <c r="B185" s="103" t="s">
        <v>306</v>
      </c>
      <c r="C185" s="136" t="s">
        <v>307</v>
      </c>
      <c r="D185" s="138" t="s">
        <v>37</v>
      </c>
      <c r="E185" s="138">
        <v>1</v>
      </c>
      <c r="F185" s="138"/>
      <c r="G185" s="138"/>
      <c r="H185" s="138"/>
      <c r="I185" s="138"/>
      <c r="J185" s="139">
        <v>12059.6</v>
      </c>
      <c r="K185" s="139">
        <f t="shared" si="25"/>
        <v>12059.6</v>
      </c>
    </row>
    <row r="186" spans="1:11">
      <c r="A186" s="103"/>
      <c r="B186" s="103"/>
      <c r="C186" s="10"/>
      <c r="D186" s="103"/>
      <c r="E186" s="103"/>
      <c r="F186" s="103"/>
      <c r="G186" s="103"/>
      <c r="H186" s="103"/>
      <c r="I186" s="103"/>
      <c r="J186" s="100" t="s">
        <v>80</v>
      </c>
      <c r="K186" s="140">
        <f>SUM(K166:K185)</f>
        <v>554906.79999999993</v>
      </c>
    </row>
    <row r="187" spans="1:11">
      <c r="A187" s="95"/>
      <c r="B187" s="95"/>
      <c r="C187" s="73"/>
      <c r="D187" s="95"/>
      <c r="E187" s="95"/>
      <c r="F187" s="95"/>
      <c r="G187" s="95"/>
      <c r="H187" s="95"/>
      <c r="I187" s="95"/>
      <c r="J187" s="95"/>
      <c r="K187" s="95"/>
    </row>
    <row r="188" spans="1:11">
      <c r="A188" s="95"/>
      <c r="B188" s="95"/>
      <c r="C188" s="73"/>
      <c r="D188" s="95"/>
      <c r="E188" s="95"/>
      <c r="F188" s="95"/>
      <c r="G188" s="95"/>
      <c r="H188" s="95"/>
      <c r="I188" s="95"/>
      <c r="J188" s="95"/>
      <c r="K188" s="95"/>
    </row>
    <row r="189" spans="1:11" ht="15.75">
      <c r="A189" s="95"/>
      <c r="B189" s="95"/>
      <c r="C189" s="141"/>
      <c r="D189" s="95"/>
      <c r="E189" s="1253"/>
      <c r="F189" s="1253"/>
      <c r="G189" s="95"/>
      <c r="H189" s="95"/>
      <c r="I189" s="95"/>
      <c r="J189" s="95"/>
      <c r="K189" s="95"/>
    </row>
    <row r="190" spans="1:11">
      <c r="A190" s="95"/>
      <c r="B190" s="142" t="s">
        <v>308</v>
      </c>
      <c r="C190" s="73" t="s">
        <v>309</v>
      </c>
      <c r="D190" s="95" t="s">
        <v>310</v>
      </c>
      <c r="E190" s="95" t="s">
        <v>311</v>
      </c>
      <c r="F190" s="95"/>
      <c r="G190" s="95"/>
      <c r="H190" s="95"/>
      <c r="I190" s="95"/>
      <c r="J190" s="95"/>
      <c r="K190" s="95"/>
    </row>
    <row r="191" spans="1:11">
      <c r="A191" s="95"/>
      <c r="B191" s="95">
        <v>825317.0419999999</v>
      </c>
      <c r="C191" s="96">
        <v>26899.279999999999</v>
      </c>
      <c r="D191" s="143">
        <v>30384.29</v>
      </c>
      <c r="E191" s="144">
        <f>B191+C191-D191</f>
        <v>821832.03199999989</v>
      </c>
      <c r="F191" s="143"/>
      <c r="G191" s="95"/>
      <c r="H191" s="95"/>
      <c r="I191" s="96"/>
      <c r="J191" s="95"/>
      <c r="K191" s="95"/>
    </row>
    <row r="192" spans="1:11">
      <c r="A192" s="95"/>
      <c r="B192" s="95"/>
      <c r="C192" s="96"/>
      <c r="D192" s="1254"/>
      <c r="E192" s="1254"/>
      <c r="F192" s="1254"/>
      <c r="G192" s="95"/>
      <c r="H192" s="1254"/>
      <c r="I192" s="1254"/>
      <c r="J192" s="1254"/>
      <c r="K192" s="95"/>
    </row>
    <row r="193" spans="1:11">
      <c r="A193" s="1263" t="s">
        <v>200</v>
      </c>
      <c r="B193" s="1263"/>
      <c r="C193" s="1263"/>
      <c r="D193" s="1263"/>
      <c r="E193" s="1263"/>
      <c r="F193" s="1263"/>
      <c r="G193" s="1263"/>
      <c r="H193" s="1263"/>
      <c r="I193" s="1263"/>
      <c r="J193" s="1263"/>
      <c r="K193" s="145"/>
    </row>
    <row r="194" spans="1:11">
      <c r="A194" s="1263"/>
      <c r="B194" s="1263"/>
      <c r="C194" s="1263"/>
      <c r="D194" s="1263"/>
      <c r="E194" s="1263"/>
      <c r="F194" s="1263"/>
      <c r="G194" s="1263"/>
      <c r="H194" s="1263"/>
      <c r="I194" s="1263"/>
      <c r="J194" s="1263"/>
      <c r="K194" s="145"/>
    </row>
    <row r="195" spans="1:11">
      <c r="A195" s="146"/>
      <c r="B195" s="95"/>
      <c r="C195" s="147"/>
      <c r="D195" s="147"/>
      <c r="E195" s="145"/>
      <c r="F195" s="145"/>
      <c r="G195" s="145"/>
      <c r="H195" s="145"/>
      <c r="I195" s="145"/>
      <c r="J195" s="145"/>
      <c r="K195" s="145"/>
    </row>
    <row r="196" spans="1:11">
      <c r="A196" s="1264" t="s">
        <v>312</v>
      </c>
      <c r="B196" s="1264"/>
      <c r="C196" s="1264"/>
      <c r="D196" s="148"/>
      <c r="E196" s="145"/>
      <c r="F196" s="145"/>
      <c r="G196" s="145"/>
      <c r="H196" s="1264" t="s">
        <v>204</v>
      </c>
      <c r="I196" s="1264"/>
      <c r="J196" s="145" t="s">
        <v>313</v>
      </c>
      <c r="K196" s="145"/>
    </row>
    <row r="197" spans="1:11">
      <c r="A197" s="1264" t="s">
        <v>314</v>
      </c>
      <c r="B197" s="1264"/>
      <c r="C197" s="1264"/>
      <c r="D197" s="148"/>
      <c r="E197" s="145"/>
      <c r="F197" s="145"/>
      <c r="G197" s="145"/>
      <c r="H197" s="149" t="s">
        <v>208</v>
      </c>
      <c r="I197" s="1272">
        <v>46235</v>
      </c>
      <c r="J197" s="1272"/>
      <c r="K197" s="145"/>
    </row>
    <row r="198" spans="1:11">
      <c r="A198" s="150" t="s">
        <v>315</v>
      </c>
      <c r="B198" s="151"/>
      <c r="C198" s="152" t="s">
        <v>316</v>
      </c>
      <c r="D198" s="148"/>
      <c r="E198" s="145"/>
      <c r="F198" s="145"/>
      <c r="G198" s="145"/>
      <c r="H198" s="149"/>
      <c r="I198" s="145"/>
      <c r="J198" s="145"/>
      <c r="K198" s="145"/>
    </row>
    <row r="199" spans="1:11" ht="15.75">
      <c r="A199" s="1253"/>
      <c r="B199" s="1253"/>
      <c r="C199" s="1253"/>
      <c r="D199" s="1253"/>
      <c r="E199" s="1253"/>
      <c r="F199" s="1253"/>
      <c r="G199" s="1253"/>
      <c r="H199" s="1253"/>
      <c r="I199" s="1253"/>
      <c r="J199" s="1253"/>
      <c r="K199" s="1253"/>
    </row>
    <row r="200" spans="1:11">
      <c r="A200" s="1102" t="s">
        <v>209</v>
      </c>
      <c r="B200" s="1103" t="s">
        <v>210</v>
      </c>
      <c r="C200" s="1250" t="s">
        <v>211</v>
      </c>
      <c r="D200" s="1273" t="s">
        <v>112</v>
      </c>
      <c r="E200" s="1103" t="s">
        <v>212</v>
      </c>
      <c r="F200" s="1103"/>
      <c r="G200" s="1103"/>
      <c r="H200" s="1103"/>
      <c r="I200" s="1103"/>
      <c r="J200" s="1096" t="s">
        <v>317</v>
      </c>
      <c r="K200" s="1096" t="s">
        <v>214</v>
      </c>
    </row>
    <row r="201" spans="1:11">
      <c r="A201" s="1103"/>
      <c r="B201" s="1103"/>
      <c r="C201" s="1250"/>
      <c r="D201" s="1274"/>
      <c r="E201" s="100" t="s">
        <v>114</v>
      </c>
      <c r="F201" s="153" t="s">
        <v>215</v>
      </c>
      <c r="G201" s="100" t="s">
        <v>1</v>
      </c>
      <c r="H201" s="153" t="s">
        <v>216</v>
      </c>
      <c r="I201" s="100" t="s">
        <v>217</v>
      </c>
      <c r="J201" s="1097"/>
      <c r="K201" s="1097"/>
    </row>
    <row r="202" spans="1:11" ht="15.75">
      <c r="A202" s="100">
        <v>1</v>
      </c>
      <c r="B202" s="154" t="s">
        <v>318</v>
      </c>
      <c r="C202" s="155" t="s">
        <v>319</v>
      </c>
      <c r="D202" s="102" t="s">
        <v>40</v>
      </c>
      <c r="E202" s="156">
        <v>3</v>
      </c>
      <c r="F202" s="157"/>
      <c r="G202" s="157"/>
      <c r="H202" s="157"/>
      <c r="I202" s="157"/>
      <c r="J202" s="158">
        <v>100</v>
      </c>
      <c r="K202" s="159">
        <f>J202*E202</f>
        <v>300</v>
      </c>
    </row>
    <row r="203" spans="1:11" ht="15.75">
      <c r="A203" s="100">
        <v>2</v>
      </c>
      <c r="B203" s="154" t="s">
        <v>320</v>
      </c>
      <c r="C203" s="155" t="s">
        <v>321</v>
      </c>
      <c r="D203" s="102" t="s">
        <v>40</v>
      </c>
      <c r="E203" s="156">
        <v>2</v>
      </c>
      <c r="F203" s="157"/>
      <c r="G203" s="157"/>
      <c r="H203" s="157"/>
      <c r="I203" s="157"/>
      <c r="J203" s="158">
        <v>100</v>
      </c>
      <c r="K203" s="159">
        <f t="shared" ref="K203:K266" si="26">J203*E203</f>
        <v>200</v>
      </c>
    </row>
    <row r="204" spans="1:11" ht="15.75">
      <c r="A204" s="100">
        <v>3</v>
      </c>
      <c r="B204" s="154" t="s">
        <v>322</v>
      </c>
      <c r="C204" s="155" t="s">
        <v>323</v>
      </c>
      <c r="D204" s="102" t="s">
        <v>324</v>
      </c>
      <c r="E204" s="156">
        <v>415</v>
      </c>
      <c r="F204" s="157"/>
      <c r="G204" s="157"/>
      <c r="H204" s="157"/>
      <c r="I204" s="157"/>
      <c r="J204" s="158">
        <v>20</v>
      </c>
      <c r="K204" s="159">
        <f t="shared" si="26"/>
        <v>8300</v>
      </c>
    </row>
    <row r="205" spans="1:11" ht="15.75">
      <c r="A205" s="100">
        <v>4</v>
      </c>
      <c r="B205" s="160"/>
      <c r="C205" s="155" t="s">
        <v>325</v>
      </c>
      <c r="D205" s="102" t="s">
        <v>40</v>
      </c>
      <c r="E205" s="156">
        <v>1</v>
      </c>
      <c r="F205" s="157"/>
      <c r="G205" s="157"/>
      <c r="H205" s="157"/>
      <c r="I205" s="157"/>
      <c r="J205" s="158">
        <v>1000</v>
      </c>
      <c r="K205" s="159">
        <f t="shared" si="26"/>
        <v>1000</v>
      </c>
    </row>
    <row r="206" spans="1:11" ht="15.75">
      <c r="A206" s="100">
        <v>5</v>
      </c>
      <c r="B206" s="154"/>
      <c r="C206" s="155" t="s">
        <v>326</v>
      </c>
      <c r="D206" s="102" t="s">
        <v>40</v>
      </c>
      <c r="E206" s="156">
        <v>1</v>
      </c>
      <c r="F206" s="157"/>
      <c r="G206" s="157"/>
      <c r="H206" s="157"/>
      <c r="I206" s="157"/>
      <c r="J206" s="158">
        <v>100</v>
      </c>
      <c r="K206" s="159">
        <f t="shared" si="26"/>
        <v>100</v>
      </c>
    </row>
    <row r="207" spans="1:11" ht="31.5">
      <c r="A207" s="100">
        <v>6</v>
      </c>
      <c r="B207" s="160" t="s">
        <v>327</v>
      </c>
      <c r="C207" s="155" t="s">
        <v>328</v>
      </c>
      <c r="D207" s="102" t="s">
        <v>7</v>
      </c>
      <c r="E207" s="156">
        <v>10</v>
      </c>
      <c r="F207" s="157"/>
      <c r="G207" s="157"/>
      <c r="H207" s="157"/>
      <c r="I207" s="157"/>
      <c r="J207" s="158">
        <v>25</v>
      </c>
      <c r="K207" s="159">
        <f t="shared" si="26"/>
        <v>250</v>
      </c>
    </row>
    <row r="208" spans="1:11" ht="31.5">
      <c r="A208" s="100">
        <v>7</v>
      </c>
      <c r="B208" s="154" t="s">
        <v>329</v>
      </c>
      <c r="C208" s="155" t="s">
        <v>330</v>
      </c>
      <c r="D208" s="102" t="s">
        <v>324</v>
      </c>
      <c r="E208" s="156">
        <v>145</v>
      </c>
      <c r="F208" s="157"/>
      <c r="G208" s="157"/>
      <c r="H208" s="157"/>
      <c r="I208" s="157"/>
      <c r="J208" s="158">
        <v>1976</v>
      </c>
      <c r="K208" s="159">
        <f t="shared" si="26"/>
        <v>286520</v>
      </c>
    </row>
    <row r="209" spans="1:11" ht="31.5">
      <c r="A209" s="100">
        <v>8</v>
      </c>
      <c r="B209" s="160" t="s">
        <v>331</v>
      </c>
      <c r="C209" s="155" t="s">
        <v>332</v>
      </c>
      <c r="D209" s="102" t="s">
        <v>333</v>
      </c>
      <c r="E209" s="156">
        <v>245</v>
      </c>
      <c r="F209" s="157"/>
      <c r="G209" s="157"/>
      <c r="H209" s="157"/>
      <c r="I209" s="157"/>
      <c r="J209" s="158">
        <v>38.25</v>
      </c>
      <c r="K209" s="159">
        <f t="shared" si="26"/>
        <v>9371.25</v>
      </c>
    </row>
    <row r="210" spans="1:11" ht="63">
      <c r="A210" s="100">
        <v>9</v>
      </c>
      <c r="B210" s="160"/>
      <c r="C210" s="155" t="s">
        <v>334</v>
      </c>
      <c r="D210" s="102" t="s">
        <v>40</v>
      </c>
      <c r="E210" s="156">
        <v>4</v>
      </c>
      <c r="F210" s="157"/>
      <c r="G210" s="157"/>
      <c r="H210" s="157"/>
      <c r="I210" s="157"/>
      <c r="J210" s="158">
        <v>11925</v>
      </c>
      <c r="K210" s="159">
        <f t="shared" si="26"/>
        <v>47700</v>
      </c>
    </row>
    <row r="211" spans="1:11" ht="63">
      <c r="A211" s="100">
        <v>10</v>
      </c>
      <c r="B211" s="160"/>
      <c r="C211" s="155" t="s">
        <v>335</v>
      </c>
      <c r="D211" s="102" t="s">
        <v>40</v>
      </c>
      <c r="E211" s="156">
        <v>1</v>
      </c>
      <c r="F211" s="157"/>
      <c r="G211" s="157"/>
      <c r="H211" s="157"/>
      <c r="I211" s="157"/>
      <c r="J211" s="158">
        <v>15300</v>
      </c>
      <c r="K211" s="159">
        <f t="shared" si="26"/>
        <v>15300</v>
      </c>
    </row>
    <row r="212" spans="1:11" ht="31.5">
      <c r="A212" s="100">
        <v>11</v>
      </c>
      <c r="B212" s="160"/>
      <c r="C212" s="155" t="s">
        <v>336</v>
      </c>
      <c r="D212" s="102" t="s">
        <v>337</v>
      </c>
      <c r="E212" s="161">
        <v>0.72899999999999998</v>
      </c>
      <c r="F212" s="157"/>
      <c r="G212" s="157"/>
      <c r="H212" s="157"/>
      <c r="I212" s="157"/>
      <c r="J212" s="158">
        <v>66200</v>
      </c>
      <c r="K212" s="159">
        <f t="shared" si="26"/>
        <v>48259.799999999996</v>
      </c>
    </row>
    <row r="213" spans="1:11" ht="31.5">
      <c r="A213" s="100">
        <v>12</v>
      </c>
      <c r="B213" s="154" t="s">
        <v>338</v>
      </c>
      <c r="C213" s="155" t="s">
        <v>339</v>
      </c>
      <c r="D213" s="102" t="s">
        <v>40</v>
      </c>
      <c r="E213" s="156">
        <v>3</v>
      </c>
      <c r="F213" s="157"/>
      <c r="G213" s="157"/>
      <c r="H213" s="157"/>
      <c r="I213" s="157"/>
      <c r="J213" s="158">
        <v>9994</v>
      </c>
      <c r="K213" s="159">
        <f t="shared" si="26"/>
        <v>29982</v>
      </c>
    </row>
    <row r="214" spans="1:11" ht="31.5">
      <c r="A214" s="100">
        <v>13</v>
      </c>
      <c r="B214" s="162" t="s">
        <v>340</v>
      </c>
      <c r="C214" s="155" t="s">
        <v>341</v>
      </c>
      <c r="D214" s="156" t="s">
        <v>40</v>
      </c>
      <c r="E214" s="156">
        <v>5</v>
      </c>
      <c r="F214" s="157"/>
      <c r="G214" s="157"/>
      <c r="H214" s="157"/>
      <c r="I214" s="157"/>
      <c r="J214" s="158">
        <v>1123.6500000000001</v>
      </c>
      <c r="K214" s="159">
        <f t="shared" si="26"/>
        <v>5618.25</v>
      </c>
    </row>
    <row r="215" spans="1:11" ht="31.5">
      <c r="A215" s="100">
        <v>14</v>
      </c>
      <c r="B215" s="162" t="s">
        <v>342</v>
      </c>
      <c r="C215" s="155" t="s">
        <v>343</v>
      </c>
      <c r="D215" s="156" t="s">
        <v>40</v>
      </c>
      <c r="E215" s="156">
        <v>3</v>
      </c>
      <c r="F215" s="157"/>
      <c r="G215" s="157"/>
      <c r="H215" s="157"/>
      <c r="I215" s="157"/>
      <c r="J215" s="158">
        <v>1072.57</v>
      </c>
      <c r="K215" s="159">
        <f t="shared" si="26"/>
        <v>3217.71</v>
      </c>
    </row>
    <row r="216" spans="1:11" ht="15.75">
      <c r="A216" s="100">
        <v>15</v>
      </c>
      <c r="B216" s="162" t="s">
        <v>226</v>
      </c>
      <c r="C216" s="155" t="s">
        <v>344</v>
      </c>
      <c r="D216" s="156" t="s">
        <v>193</v>
      </c>
      <c r="E216" s="156">
        <v>47</v>
      </c>
      <c r="F216" s="157"/>
      <c r="G216" s="157"/>
      <c r="H216" s="157"/>
      <c r="I216" s="157"/>
      <c r="J216" s="163">
        <v>625</v>
      </c>
      <c r="K216" s="159">
        <f t="shared" si="26"/>
        <v>29375</v>
      </c>
    </row>
    <row r="217" spans="1:11" ht="78.75">
      <c r="A217" s="100">
        <v>16</v>
      </c>
      <c r="B217" s="154" t="s">
        <v>345</v>
      </c>
      <c r="C217" s="164" t="s">
        <v>346</v>
      </c>
      <c r="D217" s="156" t="s">
        <v>40</v>
      </c>
      <c r="E217" s="156">
        <v>2</v>
      </c>
      <c r="F217" s="157"/>
      <c r="G217" s="157"/>
      <c r="H217" s="157"/>
      <c r="I217" s="157"/>
      <c r="J217" s="158">
        <v>5272.07</v>
      </c>
      <c r="K217" s="159">
        <f t="shared" si="26"/>
        <v>10544.14</v>
      </c>
    </row>
    <row r="218" spans="1:11" ht="63">
      <c r="A218" s="100">
        <v>17</v>
      </c>
      <c r="B218" s="154" t="s">
        <v>347</v>
      </c>
      <c r="C218" s="164" t="s">
        <v>348</v>
      </c>
      <c r="D218" s="156" t="s">
        <v>40</v>
      </c>
      <c r="E218" s="156">
        <v>2</v>
      </c>
      <c r="F218" s="157"/>
      <c r="G218" s="157"/>
      <c r="H218" s="157"/>
      <c r="I218" s="157"/>
      <c r="J218" s="163">
        <v>4704.57</v>
      </c>
      <c r="K218" s="159">
        <f t="shared" si="26"/>
        <v>9409.14</v>
      </c>
    </row>
    <row r="219" spans="1:11" ht="63">
      <c r="A219" s="100">
        <v>18</v>
      </c>
      <c r="B219" s="165"/>
      <c r="C219" s="164" t="s">
        <v>349</v>
      </c>
      <c r="D219" s="156" t="s">
        <v>40</v>
      </c>
      <c r="E219" s="156">
        <v>3</v>
      </c>
      <c r="F219" s="157"/>
      <c r="G219" s="157"/>
      <c r="H219" s="157"/>
      <c r="I219" s="157"/>
      <c r="J219" s="163">
        <v>5273.21</v>
      </c>
      <c r="K219" s="159">
        <f t="shared" si="26"/>
        <v>15819.630000000001</v>
      </c>
    </row>
    <row r="220" spans="1:11" ht="63">
      <c r="A220" s="100">
        <v>19</v>
      </c>
      <c r="B220" s="154" t="s">
        <v>350</v>
      </c>
      <c r="C220" s="155" t="s">
        <v>351</v>
      </c>
      <c r="D220" s="166" t="s">
        <v>40</v>
      </c>
      <c r="E220" s="156">
        <v>8</v>
      </c>
      <c r="F220" s="157"/>
      <c r="G220" s="157"/>
      <c r="H220" s="157"/>
      <c r="I220" s="157"/>
      <c r="J220" s="163">
        <v>3966.82</v>
      </c>
      <c r="K220" s="159">
        <f t="shared" si="26"/>
        <v>31734.560000000001</v>
      </c>
    </row>
    <row r="221" spans="1:11" ht="63">
      <c r="A221" s="100">
        <v>20</v>
      </c>
      <c r="B221" s="167" t="s">
        <v>352</v>
      </c>
      <c r="C221" s="164" t="s">
        <v>353</v>
      </c>
      <c r="D221" s="166" t="s">
        <v>40</v>
      </c>
      <c r="E221" s="156">
        <v>4</v>
      </c>
      <c r="F221" s="157"/>
      <c r="G221" s="157"/>
      <c r="H221" s="157"/>
      <c r="I221" s="157"/>
      <c r="J221" s="158">
        <v>2775.07</v>
      </c>
      <c r="K221" s="159">
        <f t="shared" si="26"/>
        <v>11100.28</v>
      </c>
    </row>
    <row r="222" spans="1:11" ht="63">
      <c r="A222" s="100">
        <v>21</v>
      </c>
      <c r="B222" s="167" t="s">
        <v>352</v>
      </c>
      <c r="C222" s="164" t="s">
        <v>354</v>
      </c>
      <c r="D222" s="166" t="s">
        <v>40</v>
      </c>
      <c r="E222" s="156">
        <v>2</v>
      </c>
      <c r="F222" s="157"/>
      <c r="G222" s="157"/>
      <c r="H222" s="157"/>
      <c r="I222" s="157"/>
      <c r="J222" s="163">
        <v>2662.71</v>
      </c>
      <c r="K222" s="159">
        <f t="shared" si="26"/>
        <v>5325.42</v>
      </c>
    </row>
    <row r="223" spans="1:11" ht="63">
      <c r="A223" s="100">
        <v>22</v>
      </c>
      <c r="B223" s="167" t="s">
        <v>355</v>
      </c>
      <c r="C223" s="164" t="s">
        <v>356</v>
      </c>
      <c r="D223" s="166" t="s">
        <v>40</v>
      </c>
      <c r="E223" s="156">
        <v>10</v>
      </c>
      <c r="F223" s="157"/>
      <c r="G223" s="157"/>
      <c r="H223" s="157"/>
      <c r="I223" s="157"/>
      <c r="J223" s="163">
        <v>2662.71</v>
      </c>
      <c r="K223" s="159">
        <f t="shared" si="26"/>
        <v>26627.1</v>
      </c>
    </row>
    <row r="224" spans="1:11" ht="63">
      <c r="A224" s="100">
        <v>23</v>
      </c>
      <c r="B224" s="167" t="s">
        <v>355</v>
      </c>
      <c r="C224" s="164" t="s">
        <v>357</v>
      </c>
      <c r="D224" s="166" t="s">
        <v>40</v>
      </c>
      <c r="E224" s="156">
        <v>2</v>
      </c>
      <c r="F224" s="157"/>
      <c r="G224" s="157"/>
      <c r="H224" s="157"/>
      <c r="I224" s="157"/>
      <c r="J224" s="163">
        <v>2771.67</v>
      </c>
      <c r="K224" s="159">
        <f t="shared" si="26"/>
        <v>5543.34</v>
      </c>
    </row>
    <row r="225" spans="1:11" ht="47.25">
      <c r="A225" s="100">
        <v>24</v>
      </c>
      <c r="B225" s="165" t="s">
        <v>358</v>
      </c>
      <c r="C225" s="164" t="s">
        <v>359</v>
      </c>
      <c r="D225" s="166" t="s">
        <v>40</v>
      </c>
      <c r="E225" s="156">
        <v>3</v>
      </c>
      <c r="F225" s="157"/>
      <c r="G225" s="157"/>
      <c r="H225" s="157"/>
      <c r="I225" s="157"/>
      <c r="J225" s="163">
        <v>1947.66</v>
      </c>
      <c r="K225" s="159">
        <f t="shared" si="26"/>
        <v>5842.9800000000005</v>
      </c>
    </row>
    <row r="226" spans="1:11" ht="47.25">
      <c r="A226" s="100">
        <v>25</v>
      </c>
      <c r="B226" s="167" t="s">
        <v>360</v>
      </c>
      <c r="C226" s="164" t="s">
        <v>361</v>
      </c>
      <c r="D226" s="166" t="s">
        <v>40</v>
      </c>
      <c r="E226" s="156">
        <v>6</v>
      </c>
      <c r="F226" s="157"/>
      <c r="G226" s="157"/>
      <c r="H226" s="157"/>
      <c r="I226" s="157"/>
      <c r="J226" s="163">
        <v>1102.08</v>
      </c>
      <c r="K226" s="159">
        <f t="shared" si="26"/>
        <v>6612.48</v>
      </c>
    </row>
    <row r="227" spans="1:11" ht="15.75">
      <c r="A227" s="100">
        <v>26</v>
      </c>
      <c r="B227" s="167" t="s">
        <v>42</v>
      </c>
      <c r="C227" s="164" t="s">
        <v>362</v>
      </c>
      <c r="D227" s="156" t="s">
        <v>40</v>
      </c>
      <c r="E227" s="156">
        <v>2</v>
      </c>
      <c r="F227" s="157"/>
      <c r="G227" s="157"/>
      <c r="H227" s="157"/>
      <c r="I227" s="157"/>
      <c r="J227" s="163">
        <v>27943.82</v>
      </c>
      <c r="K227" s="159">
        <f t="shared" si="26"/>
        <v>55887.64</v>
      </c>
    </row>
    <row r="228" spans="1:11" ht="15.75">
      <c r="A228" s="100">
        <v>27</v>
      </c>
      <c r="B228" s="154" t="s">
        <v>363</v>
      </c>
      <c r="C228" s="155" t="s">
        <v>364</v>
      </c>
      <c r="D228" s="156" t="s">
        <v>365</v>
      </c>
      <c r="E228" s="161">
        <v>0.38700000000000001</v>
      </c>
      <c r="F228" s="157"/>
      <c r="G228" s="157"/>
      <c r="H228" s="157"/>
      <c r="I228" s="157"/>
      <c r="J228" s="158">
        <v>453053.76</v>
      </c>
      <c r="K228" s="159">
        <f t="shared" si="26"/>
        <v>175331.80512</v>
      </c>
    </row>
    <row r="229" spans="1:11" ht="15.75">
      <c r="A229" s="100">
        <v>28</v>
      </c>
      <c r="B229" s="168" t="s">
        <v>366</v>
      </c>
      <c r="C229" s="169" t="s">
        <v>367</v>
      </c>
      <c r="D229" s="156" t="s">
        <v>40</v>
      </c>
      <c r="E229" s="156">
        <v>5</v>
      </c>
      <c r="F229" s="157"/>
      <c r="G229" s="157"/>
      <c r="H229" s="157"/>
      <c r="I229" s="157"/>
      <c r="J229" s="163">
        <v>2243.63</v>
      </c>
      <c r="K229" s="159">
        <f t="shared" si="26"/>
        <v>11218.150000000001</v>
      </c>
    </row>
    <row r="230" spans="1:11" ht="31.5">
      <c r="A230" s="100">
        <v>29</v>
      </c>
      <c r="B230" s="165" t="s">
        <v>368</v>
      </c>
      <c r="C230" s="164" t="s">
        <v>369</v>
      </c>
      <c r="D230" s="156" t="s">
        <v>4</v>
      </c>
      <c r="E230" s="156">
        <v>0.32800000000000001</v>
      </c>
      <c r="F230" s="157"/>
      <c r="G230" s="157"/>
      <c r="H230" s="157"/>
      <c r="I230" s="157"/>
      <c r="J230" s="158">
        <v>108389.54</v>
      </c>
      <c r="K230" s="159">
        <f t="shared" si="26"/>
        <v>35551.769119999997</v>
      </c>
    </row>
    <row r="231" spans="1:11" ht="31.5">
      <c r="A231" s="100">
        <v>30</v>
      </c>
      <c r="B231" s="165" t="s">
        <v>370</v>
      </c>
      <c r="C231" s="164" t="s">
        <v>371</v>
      </c>
      <c r="D231" s="156" t="s">
        <v>4</v>
      </c>
      <c r="E231" s="156">
        <v>0.61399999999999999</v>
      </c>
      <c r="F231" s="157"/>
      <c r="G231" s="157"/>
      <c r="H231" s="157"/>
      <c r="I231" s="157"/>
      <c r="J231" s="158">
        <v>108389.54</v>
      </c>
      <c r="K231" s="159">
        <f t="shared" si="26"/>
        <v>66551.177559999996</v>
      </c>
    </row>
    <row r="232" spans="1:11" ht="63">
      <c r="A232" s="100">
        <v>31</v>
      </c>
      <c r="B232" s="167" t="s">
        <v>372</v>
      </c>
      <c r="C232" s="164" t="s">
        <v>373</v>
      </c>
      <c r="D232" s="156" t="s">
        <v>40</v>
      </c>
      <c r="E232" s="156">
        <v>1</v>
      </c>
      <c r="F232" s="157"/>
      <c r="G232" s="157"/>
      <c r="H232" s="157"/>
      <c r="I232" s="157"/>
      <c r="J232" s="158">
        <v>4347</v>
      </c>
      <c r="K232" s="159">
        <f t="shared" si="26"/>
        <v>4347</v>
      </c>
    </row>
    <row r="233" spans="1:11" ht="63">
      <c r="A233" s="100">
        <v>32</v>
      </c>
      <c r="B233" s="165" t="s">
        <v>374</v>
      </c>
      <c r="C233" s="164" t="s">
        <v>375</v>
      </c>
      <c r="D233" s="156" t="s">
        <v>40</v>
      </c>
      <c r="E233" s="156">
        <v>7</v>
      </c>
      <c r="F233" s="157"/>
      <c r="G233" s="157"/>
      <c r="H233" s="157"/>
      <c r="I233" s="157"/>
      <c r="J233" s="163">
        <v>4392.45</v>
      </c>
      <c r="K233" s="159">
        <f t="shared" si="26"/>
        <v>30747.149999999998</v>
      </c>
    </row>
    <row r="234" spans="1:11" ht="63">
      <c r="A234" s="100">
        <v>33</v>
      </c>
      <c r="B234" s="165" t="s">
        <v>376</v>
      </c>
      <c r="C234" s="164" t="s">
        <v>377</v>
      </c>
      <c r="D234" s="156" t="s">
        <v>40</v>
      </c>
      <c r="E234" s="156">
        <v>7</v>
      </c>
      <c r="F234" s="157"/>
      <c r="G234" s="157"/>
      <c r="H234" s="157"/>
      <c r="I234" s="157"/>
      <c r="J234" s="163">
        <v>3280.15</v>
      </c>
      <c r="K234" s="159">
        <f t="shared" si="26"/>
        <v>22961.05</v>
      </c>
    </row>
    <row r="235" spans="1:11" ht="47.25">
      <c r="A235" s="100">
        <v>34</v>
      </c>
      <c r="B235" s="165" t="s">
        <v>378</v>
      </c>
      <c r="C235" s="164" t="s">
        <v>379</v>
      </c>
      <c r="D235" s="156" t="s">
        <v>324</v>
      </c>
      <c r="E235" s="156">
        <v>175</v>
      </c>
      <c r="F235" s="157"/>
      <c r="G235" s="157"/>
      <c r="H235" s="157"/>
      <c r="I235" s="157"/>
      <c r="J235" s="158">
        <v>276.14999999999998</v>
      </c>
      <c r="K235" s="159">
        <f t="shared" si="26"/>
        <v>48326.249999999993</v>
      </c>
    </row>
    <row r="236" spans="1:11" ht="47.25">
      <c r="A236" s="100">
        <v>35</v>
      </c>
      <c r="B236" s="162" t="s">
        <v>340</v>
      </c>
      <c r="C236" s="155" t="s">
        <v>380</v>
      </c>
      <c r="D236" s="102" t="s">
        <v>193</v>
      </c>
      <c r="E236" s="156">
        <v>8</v>
      </c>
      <c r="F236" s="157"/>
      <c r="G236" s="157"/>
      <c r="H236" s="157"/>
      <c r="I236" s="157"/>
      <c r="J236" s="158">
        <v>1859.13</v>
      </c>
      <c r="K236" s="159">
        <f t="shared" si="26"/>
        <v>14873.04</v>
      </c>
    </row>
    <row r="237" spans="1:11" ht="47.25">
      <c r="A237" s="100">
        <v>36</v>
      </c>
      <c r="B237" s="170" t="s">
        <v>381</v>
      </c>
      <c r="C237" s="155" t="s">
        <v>382</v>
      </c>
      <c r="D237" s="102" t="s">
        <v>193</v>
      </c>
      <c r="E237" s="156">
        <v>3</v>
      </c>
      <c r="F237" s="157"/>
      <c r="G237" s="157"/>
      <c r="H237" s="157"/>
      <c r="I237" s="157"/>
      <c r="J237" s="163">
        <v>1623.05</v>
      </c>
      <c r="K237" s="159">
        <f t="shared" si="26"/>
        <v>4869.1499999999996</v>
      </c>
    </row>
    <row r="238" spans="1:11" ht="31.5">
      <c r="A238" s="100">
        <v>37</v>
      </c>
      <c r="B238" s="154" t="s">
        <v>383</v>
      </c>
      <c r="C238" s="155" t="s">
        <v>384</v>
      </c>
      <c r="D238" s="156" t="s">
        <v>4</v>
      </c>
      <c r="E238" s="156">
        <v>0.35799999999999998</v>
      </c>
      <c r="F238" s="157"/>
      <c r="G238" s="157"/>
      <c r="H238" s="157"/>
      <c r="I238" s="157"/>
      <c r="J238" s="163">
        <v>14145</v>
      </c>
      <c r="K238" s="159">
        <f t="shared" si="26"/>
        <v>5063.91</v>
      </c>
    </row>
    <row r="239" spans="1:11" ht="15.75">
      <c r="A239" s="100">
        <v>38</v>
      </c>
      <c r="B239" s="167"/>
      <c r="C239" s="164" t="s">
        <v>385</v>
      </c>
      <c r="D239" s="156" t="s">
        <v>386</v>
      </c>
      <c r="E239" s="156">
        <v>78</v>
      </c>
      <c r="F239" s="157"/>
      <c r="G239" s="157"/>
      <c r="H239" s="157"/>
      <c r="I239" s="157"/>
      <c r="J239" s="163">
        <v>1649</v>
      </c>
      <c r="K239" s="159">
        <f t="shared" si="26"/>
        <v>128622</v>
      </c>
    </row>
    <row r="240" spans="1:11" ht="31.5">
      <c r="A240" s="100">
        <v>39</v>
      </c>
      <c r="B240" s="165" t="s">
        <v>387</v>
      </c>
      <c r="C240" s="164" t="s">
        <v>388</v>
      </c>
      <c r="D240" s="156" t="s">
        <v>365</v>
      </c>
      <c r="E240" s="156">
        <v>0.59699999999999998</v>
      </c>
      <c r="F240" s="157"/>
      <c r="G240" s="157"/>
      <c r="H240" s="157"/>
      <c r="I240" s="157"/>
      <c r="J240" s="163">
        <v>223100</v>
      </c>
      <c r="K240" s="159">
        <f t="shared" si="26"/>
        <v>133190.69999999998</v>
      </c>
    </row>
    <row r="241" spans="1:11" ht="31.5">
      <c r="A241" s="100">
        <v>40</v>
      </c>
      <c r="B241" s="165" t="s">
        <v>378</v>
      </c>
      <c r="C241" s="164" t="s">
        <v>389</v>
      </c>
      <c r="D241" s="156" t="s">
        <v>365</v>
      </c>
      <c r="E241" s="156">
        <v>6.7000000000000004E-2</v>
      </c>
      <c r="F241" s="157"/>
      <c r="G241" s="157"/>
      <c r="H241" s="157"/>
      <c r="I241" s="157"/>
      <c r="J241" s="163">
        <v>339500</v>
      </c>
      <c r="K241" s="159">
        <f t="shared" si="26"/>
        <v>22746.5</v>
      </c>
    </row>
    <row r="242" spans="1:11" ht="15.75">
      <c r="A242" s="100">
        <v>41</v>
      </c>
      <c r="B242" s="167" t="s">
        <v>390</v>
      </c>
      <c r="C242" s="164" t="s">
        <v>148</v>
      </c>
      <c r="D242" s="156" t="s">
        <v>40</v>
      </c>
      <c r="E242" s="156">
        <v>6</v>
      </c>
      <c r="F242" s="157"/>
      <c r="G242" s="157"/>
      <c r="H242" s="157"/>
      <c r="I242" s="157"/>
      <c r="J242" s="163">
        <v>1052.45</v>
      </c>
      <c r="K242" s="159">
        <f t="shared" si="26"/>
        <v>6314.7000000000007</v>
      </c>
    </row>
    <row r="243" spans="1:11" ht="31.5">
      <c r="A243" s="100">
        <v>42</v>
      </c>
      <c r="B243" s="165" t="s">
        <v>363</v>
      </c>
      <c r="C243" s="164" t="s">
        <v>391</v>
      </c>
      <c r="D243" s="156" t="s">
        <v>324</v>
      </c>
      <c r="E243" s="156">
        <v>262</v>
      </c>
      <c r="F243" s="157"/>
      <c r="G243" s="157"/>
      <c r="H243" s="157"/>
      <c r="I243" s="157"/>
      <c r="J243" s="163">
        <v>970</v>
      </c>
      <c r="K243" s="159">
        <f t="shared" si="26"/>
        <v>254140</v>
      </c>
    </row>
    <row r="244" spans="1:11" ht="15.75">
      <c r="A244" s="100">
        <v>43</v>
      </c>
      <c r="B244" s="165"/>
      <c r="C244" s="164" t="s">
        <v>392</v>
      </c>
      <c r="D244" s="171" t="s">
        <v>40</v>
      </c>
      <c r="E244" s="156">
        <v>4</v>
      </c>
      <c r="F244" s="157"/>
      <c r="G244" s="157"/>
      <c r="H244" s="157"/>
      <c r="I244" s="157"/>
      <c r="J244" s="163">
        <v>2000</v>
      </c>
      <c r="K244" s="159">
        <f t="shared" si="26"/>
        <v>8000</v>
      </c>
    </row>
    <row r="245" spans="1:11" ht="31.5">
      <c r="A245" s="100">
        <v>44</v>
      </c>
      <c r="B245" s="154" t="s">
        <v>393</v>
      </c>
      <c r="C245" s="155" t="s">
        <v>394</v>
      </c>
      <c r="D245" s="156" t="s">
        <v>365</v>
      </c>
      <c r="E245" s="156">
        <v>0.24</v>
      </c>
      <c r="F245" s="157"/>
      <c r="G245" s="157"/>
      <c r="H245" s="157"/>
      <c r="I245" s="157"/>
      <c r="J245" s="158">
        <v>78749.440000000002</v>
      </c>
      <c r="K245" s="159">
        <f t="shared" si="26"/>
        <v>18899.865600000001</v>
      </c>
    </row>
    <row r="246" spans="1:11" ht="31.5">
      <c r="A246" s="100">
        <v>45</v>
      </c>
      <c r="B246" s="154" t="s">
        <v>395</v>
      </c>
      <c r="C246" s="155" t="s">
        <v>396</v>
      </c>
      <c r="D246" s="156" t="s">
        <v>365</v>
      </c>
      <c r="E246" s="156">
        <v>0.252</v>
      </c>
      <c r="F246" s="157"/>
      <c r="G246" s="157"/>
      <c r="H246" s="157"/>
      <c r="I246" s="157"/>
      <c r="J246" s="158">
        <v>128099.84</v>
      </c>
      <c r="K246" s="159">
        <f t="shared" si="26"/>
        <v>32281.159680000001</v>
      </c>
    </row>
    <row r="247" spans="1:11" ht="31.5">
      <c r="A247" s="100">
        <v>46</v>
      </c>
      <c r="B247" s="165" t="s">
        <v>387</v>
      </c>
      <c r="C247" s="155" t="s">
        <v>397</v>
      </c>
      <c r="D247" s="156" t="s">
        <v>365</v>
      </c>
      <c r="E247" s="156">
        <v>8.6999999999999994E-2</v>
      </c>
      <c r="F247" s="157"/>
      <c r="G247" s="157"/>
      <c r="H247" s="157"/>
      <c r="I247" s="157"/>
      <c r="J247" s="158">
        <v>173249.28</v>
      </c>
      <c r="K247" s="159">
        <f t="shared" si="26"/>
        <v>15072.687359999998</v>
      </c>
    </row>
    <row r="248" spans="1:11" ht="31.5">
      <c r="A248" s="100">
        <v>47</v>
      </c>
      <c r="B248" s="165" t="s">
        <v>378</v>
      </c>
      <c r="C248" s="155" t="s">
        <v>398</v>
      </c>
      <c r="D248" s="156" t="s">
        <v>365</v>
      </c>
      <c r="E248" s="156">
        <v>0.22500000000000001</v>
      </c>
      <c r="F248" s="157"/>
      <c r="G248" s="157"/>
      <c r="H248" s="157"/>
      <c r="I248" s="157"/>
      <c r="J248" s="158">
        <v>262499.84000000003</v>
      </c>
      <c r="K248" s="159">
        <f t="shared" si="26"/>
        <v>59062.464000000007</v>
      </c>
    </row>
    <row r="249" spans="1:11" ht="47.25">
      <c r="A249" s="100">
        <v>48</v>
      </c>
      <c r="B249" s="165" t="s">
        <v>376</v>
      </c>
      <c r="C249" s="155" t="s">
        <v>399</v>
      </c>
      <c r="D249" s="156" t="s">
        <v>40</v>
      </c>
      <c r="E249" s="156">
        <v>19</v>
      </c>
      <c r="F249" s="157"/>
      <c r="G249" s="157"/>
      <c r="H249" s="157"/>
      <c r="I249" s="157"/>
      <c r="J249" s="163">
        <v>2572.56</v>
      </c>
      <c r="K249" s="159">
        <f t="shared" si="26"/>
        <v>48878.64</v>
      </c>
    </row>
    <row r="250" spans="1:11" ht="31.5">
      <c r="A250" s="100">
        <v>49</v>
      </c>
      <c r="B250" s="154" t="s">
        <v>400</v>
      </c>
      <c r="C250" s="155" t="s">
        <v>401</v>
      </c>
      <c r="D250" s="102" t="s">
        <v>193</v>
      </c>
      <c r="E250" s="156">
        <v>3</v>
      </c>
      <c r="F250" s="157"/>
      <c r="G250" s="157"/>
      <c r="H250" s="157"/>
      <c r="I250" s="157"/>
      <c r="J250" s="163">
        <v>5459.86</v>
      </c>
      <c r="K250" s="159">
        <f t="shared" si="26"/>
        <v>16379.579999999998</v>
      </c>
    </row>
    <row r="251" spans="1:11" ht="47.25">
      <c r="A251" s="100">
        <v>50</v>
      </c>
      <c r="B251" s="167"/>
      <c r="C251" s="164" t="s">
        <v>402</v>
      </c>
      <c r="D251" s="102" t="s">
        <v>266</v>
      </c>
      <c r="E251" s="156">
        <v>1</v>
      </c>
      <c r="F251" s="157"/>
      <c r="G251" s="157"/>
      <c r="H251" s="157"/>
      <c r="I251" s="157"/>
      <c r="J251" s="163">
        <v>450000</v>
      </c>
      <c r="K251" s="159">
        <f t="shared" si="26"/>
        <v>450000</v>
      </c>
    </row>
    <row r="252" spans="1:11" ht="63">
      <c r="A252" s="100">
        <v>51</v>
      </c>
      <c r="B252" s="167" t="s">
        <v>355</v>
      </c>
      <c r="C252" s="155" t="s">
        <v>403</v>
      </c>
      <c r="D252" s="156" t="s">
        <v>40</v>
      </c>
      <c r="E252" s="156">
        <v>8</v>
      </c>
      <c r="F252" s="157"/>
      <c r="G252" s="157"/>
      <c r="H252" s="157"/>
      <c r="I252" s="157"/>
      <c r="J252" s="163">
        <v>3089.24</v>
      </c>
      <c r="K252" s="159">
        <f t="shared" si="26"/>
        <v>24713.919999999998</v>
      </c>
    </row>
    <row r="253" spans="1:11" ht="63">
      <c r="A253" s="100">
        <v>52</v>
      </c>
      <c r="B253" s="167" t="s">
        <v>352</v>
      </c>
      <c r="C253" s="155" t="s">
        <v>404</v>
      </c>
      <c r="D253" s="156" t="s">
        <v>40</v>
      </c>
      <c r="E253" s="156">
        <v>7</v>
      </c>
      <c r="F253" s="157"/>
      <c r="G253" s="157"/>
      <c r="H253" s="157"/>
      <c r="I253" s="157"/>
      <c r="J253" s="163">
        <v>3208.42</v>
      </c>
      <c r="K253" s="159">
        <f t="shared" si="26"/>
        <v>22458.940000000002</v>
      </c>
    </row>
    <row r="254" spans="1:11" ht="63">
      <c r="A254" s="100">
        <v>53</v>
      </c>
      <c r="B254" s="162" t="s">
        <v>405</v>
      </c>
      <c r="C254" s="155" t="s">
        <v>406</v>
      </c>
      <c r="D254" s="156" t="s">
        <v>40</v>
      </c>
      <c r="E254" s="156">
        <v>7</v>
      </c>
      <c r="F254" s="157"/>
      <c r="G254" s="157"/>
      <c r="H254" s="157"/>
      <c r="I254" s="157"/>
      <c r="J254" s="163">
        <v>3633.22</v>
      </c>
      <c r="K254" s="159">
        <f t="shared" si="26"/>
        <v>25432.539999999997</v>
      </c>
    </row>
    <row r="255" spans="1:11" ht="63">
      <c r="A255" s="100">
        <v>54</v>
      </c>
      <c r="B255" s="162" t="s">
        <v>407</v>
      </c>
      <c r="C255" s="155" t="s">
        <v>408</v>
      </c>
      <c r="D255" s="156" t="s">
        <v>40</v>
      </c>
      <c r="E255" s="156">
        <v>5</v>
      </c>
      <c r="F255" s="157"/>
      <c r="G255" s="157"/>
      <c r="H255" s="157"/>
      <c r="I255" s="157"/>
      <c r="J255" s="163">
        <v>3564.78</v>
      </c>
      <c r="K255" s="159">
        <f t="shared" si="26"/>
        <v>17823.900000000001</v>
      </c>
    </row>
    <row r="256" spans="1:11" ht="15.75">
      <c r="A256" s="100">
        <v>55</v>
      </c>
      <c r="B256" s="165" t="s">
        <v>409</v>
      </c>
      <c r="C256" s="164" t="s">
        <v>410</v>
      </c>
      <c r="D256" s="156" t="s">
        <v>365</v>
      </c>
      <c r="E256" s="156">
        <v>0.39800000000000002</v>
      </c>
      <c r="F256" s="157"/>
      <c r="G256" s="157"/>
      <c r="H256" s="157"/>
      <c r="I256" s="157"/>
      <c r="J256" s="163">
        <v>300000</v>
      </c>
      <c r="K256" s="159">
        <f t="shared" si="26"/>
        <v>119400</v>
      </c>
    </row>
    <row r="257" spans="1:11" ht="31.5">
      <c r="A257" s="100">
        <v>56</v>
      </c>
      <c r="B257" s="154" t="s">
        <v>411</v>
      </c>
      <c r="C257" s="155" t="s">
        <v>412</v>
      </c>
      <c r="D257" s="156" t="s">
        <v>365</v>
      </c>
      <c r="E257" s="161">
        <v>0.48499999999999999</v>
      </c>
      <c r="F257" s="157"/>
      <c r="G257" s="157"/>
      <c r="H257" s="157"/>
      <c r="I257" s="157"/>
      <c r="J257" s="163">
        <v>135000</v>
      </c>
      <c r="K257" s="159">
        <f t="shared" si="26"/>
        <v>65475</v>
      </c>
    </row>
    <row r="258" spans="1:11" ht="15.75">
      <c r="A258" s="100">
        <v>57</v>
      </c>
      <c r="B258" s="165" t="s">
        <v>409</v>
      </c>
      <c r="C258" s="164" t="s">
        <v>410</v>
      </c>
      <c r="D258" s="102" t="s">
        <v>67</v>
      </c>
      <c r="E258" s="156">
        <v>0.8</v>
      </c>
      <c r="F258" s="157"/>
      <c r="G258" s="157"/>
      <c r="H258" s="157"/>
      <c r="I258" s="157"/>
      <c r="J258" s="163">
        <v>300000</v>
      </c>
      <c r="K258" s="159">
        <f t="shared" si="26"/>
        <v>240000</v>
      </c>
    </row>
    <row r="259" spans="1:11" ht="31.5">
      <c r="A259" s="100">
        <v>58</v>
      </c>
      <c r="B259" s="154" t="s">
        <v>393</v>
      </c>
      <c r="C259" s="172" t="s">
        <v>413</v>
      </c>
      <c r="D259" s="156" t="s">
        <v>67</v>
      </c>
      <c r="E259" s="156">
        <v>0.51500000000000001</v>
      </c>
      <c r="F259" s="157"/>
      <c r="G259" s="157"/>
      <c r="H259" s="157"/>
      <c r="I259" s="157"/>
      <c r="J259" s="158">
        <v>87792</v>
      </c>
      <c r="K259" s="159">
        <f t="shared" si="26"/>
        <v>45212.880000000005</v>
      </c>
    </row>
    <row r="260" spans="1:11" ht="31.5">
      <c r="A260" s="100">
        <v>59</v>
      </c>
      <c r="B260" s="154" t="s">
        <v>395</v>
      </c>
      <c r="C260" s="172" t="s">
        <v>414</v>
      </c>
      <c r="D260" s="156" t="s">
        <v>67</v>
      </c>
      <c r="E260" s="156">
        <v>0.31</v>
      </c>
      <c r="F260" s="157"/>
      <c r="G260" s="157"/>
      <c r="H260" s="157"/>
      <c r="I260" s="157"/>
      <c r="J260" s="158">
        <v>137175</v>
      </c>
      <c r="K260" s="159">
        <f t="shared" si="26"/>
        <v>42524.25</v>
      </c>
    </row>
    <row r="261" spans="1:11" ht="31.5">
      <c r="A261" s="100">
        <v>60</v>
      </c>
      <c r="B261" s="165" t="s">
        <v>387</v>
      </c>
      <c r="C261" s="172" t="s">
        <v>415</v>
      </c>
      <c r="D261" s="156" t="s">
        <v>67</v>
      </c>
      <c r="E261" s="156">
        <v>0.26</v>
      </c>
      <c r="F261" s="157"/>
      <c r="G261" s="157"/>
      <c r="H261" s="157"/>
      <c r="I261" s="157"/>
      <c r="J261" s="158">
        <v>197532</v>
      </c>
      <c r="K261" s="159">
        <f t="shared" si="26"/>
        <v>51358.32</v>
      </c>
    </row>
    <row r="262" spans="1:11" ht="31.5">
      <c r="A262" s="100">
        <v>61</v>
      </c>
      <c r="B262" s="165" t="s">
        <v>378</v>
      </c>
      <c r="C262" s="172" t="s">
        <v>416</v>
      </c>
      <c r="D262" s="156" t="s">
        <v>67</v>
      </c>
      <c r="E262" s="161">
        <v>0.26500000000000001</v>
      </c>
      <c r="F262" s="157"/>
      <c r="G262" s="157"/>
      <c r="H262" s="157"/>
      <c r="I262" s="157"/>
      <c r="J262" s="158">
        <v>318246</v>
      </c>
      <c r="K262" s="159">
        <f t="shared" si="26"/>
        <v>84335.19</v>
      </c>
    </row>
    <row r="263" spans="1:11" ht="47.25">
      <c r="A263" s="100">
        <v>62</v>
      </c>
      <c r="B263" s="154" t="s">
        <v>417</v>
      </c>
      <c r="C263" s="173" t="s">
        <v>418</v>
      </c>
      <c r="D263" s="174" t="s">
        <v>40</v>
      </c>
      <c r="E263" s="174">
        <v>3</v>
      </c>
      <c r="F263" s="157"/>
      <c r="G263" s="157"/>
      <c r="H263" s="157"/>
      <c r="I263" s="157"/>
      <c r="J263" s="175">
        <v>3840.9</v>
      </c>
      <c r="K263" s="159">
        <f t="shared" si="26"/>
        <v>11522.7</v>
      </c>
    </row>
    <row r="264" spans="1:11" ht="31.5">
      <c r="A264" s="100">
        <v>63</v>
      </c>
      <c r="B264" s="162" t="s">
        <v>419</v>
      </c>
      <c r="C264" s="155" t="s">
        <v>420</v>
      </c>
      <c r="D264" s="156" t="s">
        <v>193</v>
      </c>
      <c r="E264" s="57">
        <v>1</v>
      </c>
      <c r="F264" s="157"/>
      <c r="G264" s="157"/>
      <c r="H264" s="157"/>
      <c r="I264" s="157"/>
      <c r="J264" s="176">
        <v>828164.95</v>
      </c>
      <c r="K264" s="159">
        <f t="shared" si="26"/>
        <v>828164.95</v>
      </c>
    </row>
    <row r="265" spans="1:11" ht="15.75">
      <c r="A265" s="100">
        <v>64</v>
      </c>
      <c r="B265" s="167" t="s">
        <v>421</v>
      </c>
      <c r="C265" s="173" t="s">
        <v>422</v>
      </c>
      <c r="D265" s="102" t="s">
        <v>40</v>
      </c>
      <c r="E265" s="7">
        <v>1</v>
      </c>
      <c r="F265" s="157"/>
      <c r="G265" s="157"/>
      <c r="H265" s="157"/>
      <c r="I265" s="157"/>
      <c r="J265" s="177">
        <v>76700</v>
      </c>
      <c r="K265" s="159">
        <f t="shared" si="26"/>
        <v>76700</v>
      </c>
    </row>
    <row r="266" spans="1:11" ht="47.25">
      <c r="A266" s="100">
        <v>65</v>
      </c>
      <c r="B266" s="170" t="s">
        <v>423</v>
      </c>
      <c r="C266" s="172" t="s">
        <v>424</v>
      </c>
      <c r="D266" s="102" t="s">
        <v>193</v>
      </c>
      <c r="E266" s="57">
        <v>1</v>
      </c>
      <c r="F266" s="157"/>
      <c r="G266" s="157"/>
      <c r="H266" s="157"/>
      <c r="I266" s="157"/>
      <c r="J266" s="178">
        <v>17700</v>
      </c>
      <c r="K266" s="159">
        <f t="shared" si="26"/>
        <v>17700</v>
      </c>
    </row>
    <row r="267" spans="1:11" ht="47.25">
      <c r="A267" s="100">
        <v>66</v>
      </c>
      <c r="B267" s="170" t="s">
        <v>425</v>
      </c>
      <c r="C267" s="172" t="s">
        <v>426</v>
      </c>
      <c r="D267" s="102" t="s">
        <v>193</v>
      </c>
      <c r="E267" s="57">
        <v>1</v>
      </c>
      <c r="F267" s="157"/>
      <c r="G267" s="157"/>
      <c r="H267" s="157"/>
      <c r="I267" s="157"/>
      <c r="J267" s="178">
        <v>17700</v>
      </c>
      <c r="K267" s="159">
        <f t="shared" ref="K267:K301" si="27">J267*E267</f>
        <v>17700</v>
      </c>
    </row>
    <row r="268" spans="1:11" ht="31.5">
      <c r="A268" s="100">
        <v>67</v>
      </c>
      <c r="B268" s="170" t="s">
        <v>427</v>
      </c>
      <c r="C268" s="172" t="s">
        <v>428</v>
      </c>
      <c r="D268" s="102" t="s">
        <v>193</v>
      </c>
      <c r="E268" s="57">
        <v>1</v>
      </c>
      <c r="F268" s="157"/>
      <c r="G268" s="157"/>
      <c r="H268" s="157"/>
      <c r="I268" s="157"/>
      <c r="J268" s="178">
        <v>11800</v>
      </c>
      <c r="K268" s="159">
        <f t="shared" si="27"/>
        <v>11800</v>
      </c>
    </row>
    <row r="269" spans="1:11" ht="31.5">
      <c r="A269" s="100">
        <v>68</v>
      </c>
      <c r="B269" s="170" t="s">
        <v>429</v>
      </c>
      <c r="C269" s="172" t="s">
        <v>430</v>
      </c>
      <c r="D269" s="102" t="s">
        <v>193</v>
      </c>
      <c r="E269" s="57">
        <v>1</v>
      </c>
      <c r="F269" s="157"/>
      <c r="G269" s="157"/>
      <c r="H269" s="157"/>
      <c r="I269" s="157"/>
      <c r="J269" s="178">
        <v>11800</v>
      </c>
      <c r="K269" s="159">
        <f t="shared" si="27"/>
        <v>11800</v>
      </c>
    </row>
    <row r="270" spans="1:11" ht="31.5">
      <c r="A270" s="100">
        <v>69</v>
      </c>
      <c r="B270" s="179" t="s">
        <v>431</v>
      </c>
      <c r="C270" s="173" t="s">
        <v>432</v>
      </c>
      <c r="D270" s="102" t="s">
        <v>7</v>
      </c>
      <c r="E270" s="57">
        <v>460</v>
      </c>
      <c r="F270" s="180"/>
      <c r="G270" s="180"/>
      <c r="H270" s="180"/>
      <c r="I270" s="180"/>
      <c r="J270" s="177">
        <v>65</v>
      </c>
      <c r="K270" s="159">
        <f t="shared" si="27"/>
        <v>29900</v>
      </c>
    </row>
    <row r="271" spans="1:11" ht="47.25">
      <c r="A271" s="100">
        <v>70</v>
      </c>
      <c r="B271" s="179"/>
      <c r="C271" s="173" t="s">
        <v>433</v>
      </c>
      <c r="D271" s="102" t="s">
        <v>266</v>
      </c>
      <c r="E271" s="57">
        <v>3</v>
      </c>
      <c r="F271" s="180"/>
      <c r="G271" s="180"/>
      <c r="H271" s="180"/>
      <c r="I271" s="180"/>
      <c r="J271" s="177">
        <v>1900</v>
      </c>
      <c r="K271" s="159">
        <f t="shared" si="27"/>
        <v>5700</v>
      </c>
    </row>
    <row r="272" spans="1:11" ht="47.25">
      <c r="A272" s="100">
        <v>71</v>
      </c>
      <c r="B272" s="181"/>
      <c r="C272" s="173" t="s">
        <v>434</v>
      </c>
      <c r="D272" s="156" t="s">
        <v>37</v>
      </c>
      <c r="E272" s="57">
        <v>1</v>
      </c>
      <c r="F272" s="180"/>
      <c r="G272" s="180"/>
      <c r="H272" s="180"/>
      <c r="I272" s="180"/>
      <c r="J272" s="176">
        <v>9199.2800000000007</v>
      </c>
      <c r="K272" s="159">
        <f t="shared" si="27"/>
        <v>9199.2800000000007</v>
      </c>
    </row>
    <row r="273" spans="1:11" ht="47.25">
      <c r="A273" s="100">
        <v>72</v>
      </c>
      <c r="B273" s="181" t="s">
        <v>435</v>
      </c>
      <c r="C273" s="173" t="s">
        <v>436</v>
      </c>
      <c r="D273" s="102" t="s">
        <v>193</v>
      </c>
      <c r="E273" s="60">
        <v>3</v>
      </c>
      <c r="F273" s="180"/>
      <c r="G273" s="180"/>
      <c r="H273" s="180"/>
      <c r="I273" s="180"/>
      <c r="J273" s="182">
        <v>2098.04</v>
      </c>
      <c r="K273" s="159">
        <f t="shared" si="27"/>
        <v>6294.12</v>
      </c>
    </row>
    <row r="274" spans="1:11" ht="47.25">
      <c r="A274" s="100">
        <v>73</v>
      </c>
      <c r="B274" s="181" t="s">
        <v>437</v>
      </c>
      <c r="C274" s="173" t="s">
        <v>438</v>
      </c>
      <c r="D274" s="102" t="s">
        <v>193</v>
      </c>
      <c r="E274" s="60">
        <v>7</v>
      </c>
      <c r="F274" s="180"/>
      <c r="G274" s="180"/>
      <c r="H274" s="180"/>
      <c r="I274" s="180"/>
      <c r="J274" s="182">
        <v>2027.24</v>
      </c>
      <c r="K274" s="159">
        <f t="shared" si="27"/>
        <v>14190.68</v>
      </c>
    </row>
    <row r="275" spans="1:11" ht="47.25">
      <c r="A275" s="100">
        <v>74</v>
      </c>
      <c r="B275" s="181" t="s">
        <v>439</v>
      </c>
      <c r="C275" s="173" t="s">
        <v>440</v>
      </c>
      <c r="D275" s="102" t="s">
        <v>193</v>
      </c>
      <c r="E275" s="60">
        <v>3</v>
      </c>
      <c r="F275" s="180"/>
      <c r="G275" s="180"/>
      <c r="H275" s="180"/>
      <c r="I275" s="180"/>
      <c r="J275" s="182">
        <v>1929.3</v>
      </c>
      <c r="K275" s="159">
        <f t="shared" si="27"/>
        <v>5787.9</v>
      </c>
    </row>
    <row r="276" spans="1:11" ht="47.25">
      <c r="A276" s="100">
        <v>75</v>
      </c>
      <c r="B276" s="181" t="s">
        <v>441</v>
      </c>
      <c r="C276" s="173" t="s">
        <v>442</v>
      </c>
      <c r="D276" s="102" t="s">
        <v>193</v>
      </c>
      <c r="E276" s="60">
        <v>3</v>
      </c>
      <c r="F276" s="180"/>
      <c r="G276" s="180"/>
      <c r="H276" s="180"/>
      <c r="I276" s="180"/>
      <c r="J276" s="182">
        <v>2060.2800000000002</v>
      </c>
      <c r="K276" s="159">
        <f t="shared" si="27"/>
        <v>6180.84</v>
      </c>
    </row>
    <row r="277" spans="1:11" ht="47.25">
      <c r="A277" s="100">
        <v>76</v>
      </c>
      <c r="B277" s="167" t="s">
        <v>372</v>
      </c>
      <c r="C277" s="173" t="s">
        <v>443</v>
      </c>
      <c r="D277" s="102" t="s">
        <v>193</v>
      </c>
      <c r="E277" s="60">
        <v>3</v>
      </c>
      <c r="F277" s="180"/>
      <c r="G277" s="180"/>
      <c r="H277" s="180"/>
      <c r="I277" s="180"/>
      <c r="J277" s="182">
        <v>4327.0600000000004</v>
      </c>
      <c r="K277" s="159">
        <f t="shared" si="27"/>
        <v>12981.18</v>
      </c>
    </row>
    <row r="278" spans="1:11" ht="47.25">
      <c r="A278" s="100">
        <v>77</v>
      </c>
      <c r="B278" s="181" t="s">
        <v>444</v>
      </c>
      <c r="C278" s="173" t="s">
        <v>445</v>
      </c>
      <c r="D278" s="102" t="s">
        <v>193</v>
      </c>
      <c r="E278" s="60">
        <v>2</v>
      </c>
      <c r="F278" s="180"/>
      <c r="G278" s="180"/>
      <c r="H278" s="180"/>
      <c r="I278" s="180"/>
      <c r="J278" s="182">
        <v>4776.6400000000003</v>
      </c>
      <c r="K278" s="159">
        <f t="shared" si="27"/>
        <v>9553.2800000000007</v>
      </c>
    </row>
    <row r="279" spans="1:11" ht="47.25">
      <c r="A279" s="100">
        <v>78</v>
      </c>
      <c r="B279" s="183"/>
      <c r="C279" s="184" t="s">
        <v>446</v>
      </c>
      <c r="D279" s="58" t="s">
        <v>62</v>
      </c>
      <c r="E279" s="57">
        <v>1</v>
      </c>
      <c r="F279" s="180"/>
      <c r="G279" s="180"/>
      <c r="H279" s="180"/>
      <c r="I279" s="180"/>
      <c r="J279" s="185">
        <v>5003.2</v>
      </c>
      <c r="K279" s="159">
        <f t="shared" si="27"/>
        <v>5003.2</v>
      </c>
    </row>
    <row r="280" spans="1:11" ht="94.5">
      <c r="A280" s="100">
        <v>79</v>
      </c>
      <c r="B280" s="186"/>
      <c r="C280" s="184" t="s">
        <v>447</v>
      </c>
      <c r="D280" s="58" t="s">
        <v>62</v>
      </c>
      <c r="E280" s="58">
        <v>2</v>
      </c>
      <c r="F280" s="187"/>
      <c r="G280" s="187"/>
      <c r="H280" s="187"/>
      <c r="I280" s="187"/>
      <c r="J280" s="58">
        <v>5888.2</v>
      </c>
      <c r="K280" s="188">
        <f t="shared" si="27"/>
        <v>11776.4</v>
      </c>
    </row>
    <row r="281" spans="1:11" ht="31.5">
      <c r="A281" s="100">
        <v>80</v>
      </c>
      <c r="B281" s="189"/>
      <c r="C281" s="190" t="s">
        <v>448</v>
      </c>
      <c r="D281" s="57" t="s">
        <v>449</v>
      </c>
      <c r="E281" s="57">
        <v>418</v>
      </c>
      <c r="F281" s="180"/>
      <c r="G281" s="180"/>
      <c r="H281" s="180"/>
      <c r="I281" s="180"/>
      <c r="J281" s="57">
        <v>73.16</v>
      </c>
      <c r="K281" s="159">
        <f t="shared" si="27"/>
        <v>30580.879999999997</v>
      </c>
    </row>
    <row r="282" spans="1:11" ht="15.75">
      <c r="A282" s="100">
        <v>81</v>
      </c>
      <c r="B282" s="189"/>
      <c r="C282" s="184" t="s">
        <v>450</v>
      </c>
      <c r="D282" s="102" t="s">
        <v>7</v>
      </c>
      <c r="E282" s="57">
        <v>33</v>
      </c>
      <c r="F282" s="180"/>
      <c r="G282" s="180"/>
      <c r="H282" s="180"/>
      <c r="I282" s="180"/>
      <c r="J282" s="57">
        <v>6454.6</v>
      </c>
      <c r="K282" s="159">
        <f t="shared" si="27"/>
        <v>213001.80000000002</v>
      </c>
    </row>
    <row r="283" spans="1:11" ht="31.5">
      <c r="A283" s="100">
        <v>82</v>
      </c>
      <c r="B283" s="189"/>
      <c r="C283" s="173" t="s">
        <v>451</v>
      </c>
      <c r="D283" s="102" t="s">
        <v>7</v>
      </c>
      <c r="E283" s="57">
        <v>200</v>
      </c>
      <c r="F283" s="180"/>
      <c r="G283" s="180"/>
      <c r="H283" s="180"/>
      <c r="I283" s="180"/>
      <c r="J283" s="191">
        <v>375.24</v>
      </c>
      <c r="K283" s="159">
        <f t="shared" si="27"/>
        <v>75048</v>
      </c>
    </row>
    <row r="284" spans="1:11" ht="37.5">
      <c r="A284" s="100">
        <v>83</v>
      </c>
      <c r="B284" s="189"/>
      <c r="C284" s="192" t="s">
        <v>452</v>
      </c>
      <c r="D284" s="156" t="s">
        <v>62</v>
      </c>
      <c r="E284" s="60">
        <v>2</v>
      </c>
      <c r="F284" s="180"/>
      <c r="G284" s="180"/>
      <c r="H284" s="180"/>
      <c r="I284" s="180"/>
      <c r="J284" s="191">
        <v>5233.3</v>
      </c>
      <c r="K284" s="159">
        <f t="shared" si="27"/>
        <v>10466.6</v>
      </c>
    </row>
    <row r="285" spans="1:11" ht="37.5">
      <c r="A285" s="100">
        <v>84</v>
      </c>
      <c r="B285" s="189"/>
      <c r="C285" s="192" t="s">
        <v>453</v>
      </c>
      <c r="D285" s="156" t="s">
        <v>62</v>
      </c>
      <c r="E285" s="8">
        <v>4</v>
      </c>
      <c r="F285" s="180"/>
      <c r="G285" s="180"/>
      <c r="H285" s="180"/>
      <c r="I285" s="180"/>
      <c r="J285" s="193">
        <v>5351.3</v>
      </c>
      <c r="K285" s="159">
        <f t="shared" si="27"/>
        <v>21405.200000000001</v>
      </c>
    </row>
    <row r="286" spans="1:11" ht="37.5">
      <c r="A286" s="100">
        <v>85</v>
      </c>
      <c r="B286" s="189"/>
      <c r="C286" s="192" t="s">
        <v>454</v>
      </c>
      <c r="D286" s="156" t="s">
        <v>62</v>
      </c>
      <c r="E286" s="8">
        <v>4</v>
      </c>
      <c r="F286" s="180"/>
      <c r="G286" s="180"/>
      <c r="H286" s="180"/>
      <c r="I286" s="180"/>
      <c r="J286" s="193">
        <v>5652.2</v>
      </c>
      <c r="K286" s="159">
        <f t="shared" si="27"/>
        <v>22608.799999999999</v>
      </c>
    </row>
    <row r="287" spans="1:11" ht="37.5">
      <c r="A287" s="100">
        <v>86</v>
      </c>
      <c r="B287" s="189"/>
      <c r="C287" s="192" t="s">
        <v>455</v>
      </c>
      <c r="D287" s="194" t="s">
        <v>62</v>
      </c>
      <c r="E287" s="8">
        <v>2</v>
      </c>
      <c r="F287" s="180"/>
      <c r="G287" s="180"/>
      <c r="H287" s="180"/>
      <c r="I287" s="180"/>
      <c r="J287" s="193">
        <v>3528.2</v>
      </c>
      <c r="K287" s="159">
        <f t="shared" si="27"/>
        <v>7056.4</v>
      </c>
    </row>
    <row r="288" spans="1:11" ht="15.75">
      <c r="A288" s="100">
        <v>87</v>
      </c>
      <c r="B288" s="183"/>
      <c r="C288" s="184" t="s">
        <v>456</v>
      </c>
      <c r="D288" s="195" t="s">
        <v>40</v>
      </c>
      <c r="E288" s="8">
        <v>3</v>
      </c>
      <c r="F288" s="180"/>
      <c r="G288" s="180"/>
      <c r="H288" s="180"/>
      <c r="I288" s="180"/>
      <c r="J288" s="193">
        <v>1000</v>
      </c>
      <c r="K288" s="159">
        <f t="shared" si="27"/>
        <v>3000</v>
      </c>
    </row>
    <row r="289" spans="1:11" ht="15.75">
      <c r="A289" s="100">
        <v>88</v>
      </c>
      <c r="B289" s="183"/>
      <c r="C289" s="184" t="s">
        <v>457</v>
      </c>
      <c r="D289" s="194" t="s">
        <v>62</v>
      </c>
      <c r="E289" s="8">
        <v>15</v>
      </c>
      <c r="F289" s="180"/>
      <c r="G289" s="180"/>
      <c r="H289" s="180"/>
      <c r="I289" s="180"/>
      <c r="J289" s="196">
        <v>352.82</v>
      </c>
      <c r="K289" s="159">
        <f t="shared" si="27"/>
        <v>5292.3</v>
      </c>
    </row>
    <row r="290" spans="1:11" ht="15.75">
      <c r="A290" s="100">
        <v>89</v>
      </c>
      <c r="B290" s="183"/>
      <c r="C290" s="184" t="s">
        <v>458</v>
      </c>
      <c r="D290" s="194" t="s">
        <v>62</v>
      </c>
      <c r="E290" s="8">
        <v>10</v>
      </c>
      <c r="F290" s="180"/>
      <c r="G290" s="180"/>
      <c r="H290" s="180"/>
      <c r="I290" s="180"/>
      <c r="J290" s="196">
        <v>584.1</v>
      </c>
      <c r="K290" s="159">
        <f t="shared" si="27"/>
        <v>5841</v>
      </c>
    </row>
    <row r="291" spans="1:11" ht="47.25">
      <c r="A291" s="100">
        <v>90</v>
      </c>
      <c r="B291" s="183"/>
      <c r="C291" s="184" t="s">
        <v>459</v>
      </c>
      <c r="D291" s="194" t="s">
        <v>62</v>
      </c>
      <c r="E291" s="8">
        <v>10</v>
      </c>
      <c r="F291" s="180"/>
      <c r="G291" s="180"/>
      <c r="H291" s="180"/>
      <c r="I291" s="180"/>
      <c r="J291" s="196">
        <v>2112.1999999999998</v>
      </c>
      <c r="K291" s="159">
        <f t="shared" si="27"/>
        <v>21122</v>
      </c>
    </row>
    <row r="292" spans="1:11" ht="47.25">
      <c r="A292" s="100">
        <v>91</v>
      </c>
      <c r="B292" s="183"/>
      <c r="C292" s="184" t="s">
        <v>460</v>
      </c>
      <c r="D292" s="194" t="s">
        <v>62</v>
      </c>
      <c r="E292" s="8">
        <v>13</v>
      </c>
      <c r="F292" s="180"/>
      <c r="G292" s="180"/>
      <c r="H292" s="180"/>
      <c r="I292" s="180"/>
      <c r="J292" s="196">
        <v>2578.3000000000002</v>
      </c>
      <c r="K292" s="159">
        <f t="shared" si="27"/>
        <v>33517.9</v>
      </c>
    </row>
    <row r="293" spans="1:11" ht="47.25">
      <c r="A293" s="100">
        <v>92</v>
      </c>
      <c r="B293" s="183"/>
      <c r="C293" s="184" t="s">
        <v>461</v>
      </c>
      <c r="D293" s="194" t="s">
        <v>62</v>
      </c>
      <c r="E293" s="8">
        <v>15</v>
      </c>
      <c r="F293" s="180"/>
      <c r="G293" s="180"/>
      <c r="H293" s="180"/>
      <c r="I293" s="180"/>
      <c r="J293" s="196">
        <v>2578.3000000000002</v>
      </c>
      <c r="K293" s="159">
        <f t="shared" si="27"/>
        <v>38674.5</v>
      </c>
    </row>
    <row r="294" spans="1:11" ht="47.25">
      <c r="A294" s="100">
        <v>93</v>
      </c>
      <c r="B294" s="183"/>
      <c r="C294" s="184" t="s">
        <v>462</v>
      </c>
      <c r="D294" s="194" t="s">
        <v>62</v>
      </c>
      <c r="E294" s="8">
        <v>15</v>
      </c>
      <c r="F294" s="180"/>
      <c r="G294" s="180"/>
      <c r="H294" s="180"/>
      <c r="I294" s="180"/>
      <c r="J294" s="196">
        <v>1787.7</v>
      </c>
      <c r="K294" s="159">
        <f t="shared" si="27"/>
        <v>26815.5</v>
      </c>
    </row>
    <row r="295" spans="1:11" ht="63">
      <c r="A295" s="100">
        <v>94</v>
      </c>
      <c r="B295" s="183"/>
      <c r="C295" s="184" t="s">
        <v>463</v>
      </c>
      <c r="D295" s="194" t="s">
        <v>62</v>
      </c>
      <c r="E295" s="8">
        <v>15</v>
      </c>
      <c r="F295" s="180"/>
      <c r="G295" s="180"/>
      <c r="H295" s="180"/>
      <c r="I295" s="180"/>
      <c r="J295" s="196">
        <v>1787.7</v>
      </c>
      <c r="K295" s="159">
        <f t="shared" si="27"/>
        <v>26815.5</v>
      </c>
    </row>
    <row r="296" spans="1:11" ht="47.25">
      <c r="A296" s="100">
        <v>95</v>
      </c>
      <c r="B296" s="183"/>
      <c r="C296" s="184" t="s">
        <v>464</v>
      </c>
      <c r="D296" s="194" t="s">
        <v>62</v>
      </c>
      <c r="E296" s="8">
        <v>6</v>
      </c>
      <c r="F296" s="180"/>
      <c r="G296" s="180"/>
      <c r="H296" s="180"/>
      <c r="I296" s="180"/>
      <c r="J296" s="196">
        <v>4773.1000000000004</v>
      </c>
      <c r="K296" s="159">
        <f t="shared" si="27"/>
        <v>28638.600000000002</v>
      </c>
    </row>
    <row r="297" spans="1:11" ht="47.25">
      <c r="A297" s="100">
        <v>96</v>
      </c>
      <c r="B297" s="183"/>
      <c r="C297" s="184" t="s">
        <v>465</v>
      </c>
      <c r="D297" s="194" t="s">
        <v>62</v>
      </c>
      <c r="E297" s="8">
        <v>6</v>
      </c>
      <c r="F297" s="180"/>
      <c r="G297" s="180"/>
      <c r="H297" s="180"/>
      <c r="I297" s="180"/>
      <c r="J297" s="196">
        <v>4773.1000000000004</v>
      </c>
      <c r="K297" s="159">
        <f t="shared" si="27"/>
        <v>28638.600000000002</v>
      </c>
    </row>
    <row r="298" spans="1:11" ht="30">
      <c r="A298" s="100">
        <v>97</v>
      </c>
      <c r="B298" s="189"/>
      <c r="C298" s="136" t="s">
        <v>466</v>
      </c>
      <c r="D298" s="194" t="s">
        <v>62</v>
      </c>
      <c r="E298" s="11">
        <v>5</v>
      </c>
      <c r="F298" s="180"/>
      <c r="G298" s="180"/>
      <c r="H298" s="180"/>
      <c r="I298" s="180"/>
      <c r="J298" s="166">
        <v>2767.1</v>
      </c>
      <c r="K298" s="159">
        <f t="shared" si="27"/>
        <v>13835.5</v>
      </c>
    </row>
    <row r="299" spans="1:11" ht="30">
      <c r="A299" s="100">
        <v>98</v>
      </c>
      <c r="B299" s="189"/>
      <c r="C299" s="10" t="s">
        <v>467</v>
      </c>
      <c r="D299" s="194" t="s">
        <v>62</v>
      </c>
      <c r="E299" s="11">
        <v>4</v>
      </c>
      <c r="F299" s="180"/>
      <c r="G299" s="180"/>
      <c r="H299" s="180"/>
      <c r="I299" s="180"/>
      <c r="J299" s="57">
        <v>2590.1</v>
      </c>
      <c r="K299" s="159">
        <f t="shared" si="27"/>
        <v>10360.4</v>
      </c>
    </row>
    <row r="300" spans="1:11" ht="30">
      <c r="A300" s="100">
        <v>99</v>
      </c>
      <c r="B300" s="189"/>
      <c r="C300" s="197" t="s">
        <v>468</v>
      </c>
      <c r="D300" s="156" t="s">
        <v>62</v>
      </c>
      <c r="E300" s="11">
        <v>8</v>
      </c>
      <c r="F300" s="180"/>
      <c r="G300" s="180"/>
      <c r="H300" s="180"/>
      <c r="I300" s="180"/>
      <c r="J300" s="57">
        <v>3000</v>
      </c>
      <c r="K300" s="159">
        <f t="shared" si="27"/>
        <v>24000</v>
      </c>
    </row>
    <row r="301" spans="1:11" ht="45">
      <c r="A301" s="100">
        <v>100</v>
      </c>
      <c r="B301" s="189"/>
      <c r="C301" s="197" t="s">
        <v>469</v>
      </c>
      <c r="D301" s="156" t="s">
        <v>62</v>
      </c>
      <c r="E301" s="11">
        <v>1</v>
      </c>
      <c r="F301" s="180"/>
      <c r="G301" s="180"/>
      <c r="H301" s="180"/>
      <c r="I301" s="180"/>
      <c r="J301" s="133">
        <v>949900</v>
      </c>
      <c r="K301" s="159">
        <f t="shared" si="27"/>
        <v>949900</v>
      </c>
    </row>
    <row r="302" spans="1:11" ht="18.75">
      <c r="A302" s="1284"/>
      <c r="B302" s="1284"/>
      <c r="C302" s="1284"/>
      <c r="D302" s="1284"/>
      <c r="E302" s="1284"/>
      <c r="F302" s="1284"/>
      <c r="G302" s="1284"/>
      <c r="H302" s="1284"/>
      <c r="I302" s="1284"/>
      <c r="J302" s="1285"/>
      <c r="K302" s="198">
        <f>SUM(K202:K301)</f>
        <v>5710678.4184399992</v>
      </c>
    </row>
    <row r="303" spans="1:11" ht="15.75">
      <c r="A303" s="100">
        <v>101</v>
      </c>
      <c r="B303" s="103"/>
      <c r="C303" s="172" t="s">
        <v>470</v>
      </c>
      <c r="D303" s="199" t="s">
        <v>40</v>
      </c>
      <c r="E303" s="157"/>
      <c r="F303" s="157"/>
      <c r="G303" s="200">
        <v>3</v>
      </c>
      <c r="H303" s="157"/>
      <c r="I303" s="157"/>
      <c r="J303" s="177">
        <v>4500</v>
      </c>
      <c r="K303" s="201">
        <f t="shared" ref="K303:K307" si="28">J303*G303</f>
        <v>13500</v>
      </c>
    </row>
    <row r="304" spans="1:11" ht="63">
      <c r="A304" s="100">
        <v>102</v>
      </c>
      <c r="B304" s="103"/>
      <c r="C304" s="173" t="s">
        <v>471</v>
      </c>
      <c r="D304" s="199" t="s">
        <v>40</v>
      </c>
      <c r="E304" s="157"/>
      <c r="F304" s="157"/>
      <c r="G304" s="200">
        <v>1</v>
      </c>
      <c r="H304" s="157"/>
      <c r="I304" s="157"/>
      <c r="J304" s="177">
        <v>4500</v>
      </c>
      <c r="K304" s="201">
        <f t="shared" si="28"/>
        <v>4500</v>
      </c>
    </row>
    <row r="305" spans="1:11" ht="47.25">
      <c r="A305" s="100">
        <v>103</v>
      </c>
      <c r="B305" s="165" t="s">
        <v>472</v>
      </c>
      <c r="C305" s="173" t="s">
        <v>473</v>
      </c>
      <c r="D305" s="199" t="s">
        <v>40</v>
      </c>
      <c r="E305" s="157"/>
      <c r="F305" s="157"/>
      <c r="G305" s="200">
        <v>3</v>
      </c>
      <c r="H305" s="157"/>
      <c r="I305" s="157"/>
      <c r="J305" s="177">
        <v>6000</v>
      </c>
      <c r="K305" s="201">
        <f t="shared" si="28"/>
        <v>18000</v>
      </c>
    </row>
    <row r="306" spans="1:11" ht="31.5">
      <c r="A306" s="100">
        <v>104</v>
      </c>
      <c r="B306" s="202"/>
      <c r="C306" s="184" t="s">
        <v>474</v>
      </c>
      <c r="D306" s="199" t="s">
        <v>40</v>
      </c>
      <c r="E306" s="157"/>
      <c r="F306" s="157"/>
      <c r="G306" s="200">
        <v>1</v>
      </c>
      <c r="H306" s="157"/>
      <c r="I306" s="157"/>
      <c r="J306" s="177">
        <v>8000</v>
      </c>
      <c r="K306" s="201">
        <f t="shared" si="28"/>
        <v>8000</v>
      </c>
    </row>
    <row r="307" spans="1:11" ht="15.75">
      <c r="A307" s="100">
        <v>105</v>
      </c>
      <c r="B307" s="202"/>
      <c r="C307" s="184" t="s">
        <v>456</v>
      </c>
      <c r="D307" s="199" t="s">
        <v>40</v>
      </c>
      <c r="E307" s="157"/>
      <c r="F307" s="157"/>
      <c r="G307" s="200">
        <v>3</v>
      </c>
      <c r="H307" s="157"/>
      <c r="I307" s="157"/>
      <c r="J307" s="177">
        <v>2000</v>
      </c>
      <c r="K307" s="201">
        <f t="shared" si="28"/>
        <v>6000</v>
      </c>
    </row>
    <row r="308" spans="1:11">
      <c r="A308" s="100"/>
      <c r="B308" s="1282" t="s">
        <v>80</v>
      </c>
      <c r="C308" s="1282"/>
      <c r="D308" s="1282"/>
      <c r="E308" s="1282"/>
      <c r="F308" s="1282"/>
      <c r="G308" s="1282"/>
      <c r="H308" s="1282"/>
      <c r="I308" s="1282"/>
      <c r="J308" s="1283"/>
      <c r="K308" s="203">
        <f>SUM(K303:K307)</f>
        <v>50000</v>
      </c>
    </row>
    <row r="309" spans="1:11" ht="31.5">
      <c r="A309" s="100">
        <v>106</v>
      </c>
      <c r="B309" s="189" t="s">
        <v>475</v>
      </c>
      <c r="C309" s="204" t="s">
        <v>476</v>
      </c>
      <c r="D309" s="205" t="s">
        <v>40</v>
      </c>
      <c r="E309" s="157"/>
      <c r="F309" s="157"/>
      <c r="G309" s="157"/>
      <c r="H309" s="157"/>
      <c r="I309" s="200">
        <v>3</v>
      </c>
      <c r="J309" s="182">
        <v>100</v>
      </c>
      <c r="K309" s="201">
        <f t="shared" ref="K309:K340" si="29">J309*I309</f>
        <v>300</v>
      </c>
    </row>
    <row r="310" spans="1:11" ht="31.5">
      <c r="A310" s="100">
        <v>107</v>
      </c>
      <c r="B310" s="162"/>
      <c r="C310" s="204" t="s">
        <v>477</v>
      </c>
      <c r="D310" s="205" t="s">
        <v>40</v>
      </c>
      <c r="E310" s="157"/>
      <c r="F310" s="157"/>
      <c r="G310" s="157"/>
      <c r="H310" s="157"/>
      <c r="I310" s="200">
        <v>1</v>
      </c>
      <c r="J310" s="182">
        <v>2000</v>
      </c>
      <c r="K310" s="201">
        <f t="shared" si="29"/>
        <v>2000</v>
      </c>
    </row>
    <row r="311" spans="1:11" ht="31.5">
      <c r="A311" s="100">
        <v>108</v>
      </c>
      <c r="B311" s="189" t="s">
        <v>478</v>
      </c>
      <c r="C311" s="204" t="s">
        <v>479</v>
      </c>
      <c r="D311" s="205" t="s">
        <v>40</v>
      </c>
      <c r="E311" s="157"/>
      <c r="F311" s="157"/>
      <c r="G311" s="157"/>
      <c r="H311" s="157"/>
      <c r="I311" s="200">
        <v>1</v>
      </c>
      <c r="J311" s="182">
        <v>2000</v>
      </c>
      <c r="K311" s="201">
        <f t="shared" si="29"/>
        <v>2000</v>
      </c>
    </row>
    <row r="312" spans="1:11" ht="47.25">
      <c r="A312" s="100">
        <v>109</v>
      </c>
      <c r="B312" s="162" t="s">
        <v>480</v>
      </c>
      <c r="C312" s="206" t="s">
        <v>481</v>
      </c>
      <c r="D312" s="205" t="s">
        <v>5</v>
      </c>
      <c r="E312" s="157"/>
      <c r="F312" s="157"/>
      <c r="G312" s="157"/>
      <c r="H312" s="157"/>
      <c r="I312" s="200">
        <v>1</v>
      </c>
      <c r="J312" s="207">
        <v>8000</v>
      </c>
      <c r="K312" s="201">
        <f t="shared" si="29"/>
        <v>8000</v>
      </c>
    </row>
    <row r="313" spans="1:11" ht="31.5">
      <c r="A313" s="100">
        <v>110</v>
      </c>
      <c r="B313" s="189" t="s">
        <v>482</v>
      </c>
      <c r="C313" s="206" t="s">
        <v>483</v>
      </c>
      <c r="D313" s="199" t="s">
        <v>40</v>
      </c>
      <c r="E313" s="157"/>
      <c r="F313" s="157"/>
      <c r="G313" s="157"/>
      <c r="H313" s="157"/>
      <c r="I313" s="200">
        <v>1</v>
      </c>
      <c r="J313" s="207">
        <v>1000</v>
      </c>
      <c r="K313" s="201">
        <f t="shared" si="29"/>
        <v>1000</v>
      </c>
    </row>
    <row r="314" spans="1:11" ht="31.5">
      <c r="A314" s="100">
        <v>111</v>
      </c>
      <c r="B314" s="189" t="s">
        <v>484</v>
      </c>
      <c r="C314" s="208" t="s">
        <v>485</v>
      </c>
      <c r="D314" s="199" t="s">
        <v>40</v>
      </c>
      <c r="E314" s="157"/>
      <c r="F314" s="157"/>
      <c r="G314" s="157"/>
      <c r="H314" s="157"/>
      <c r="I314" s="200">
        <v>1</v>
      </c>
      <c r="J314" s="207">
        <v>1500</v>
      </c>
      <c r="K314" s="201">
        <f t="shared" si="29"/>
        <v>1500</v>
      </c>
    </row>
    <row r="315" spans="1:11" ht="31.5">
      <c r="A315" s="100">
        <v>112</v>
      </c>
      <c r="B315" s="209"/>
      <c r="C315" s="204" t="s">
        <v>486</v>
      </c>
      <c r="D315" s="199" t="s">
        <v>7</v>
      </c>
      <c r="E315" s="157"/>
      <c r="F315" s="157"/>
      <c r="G315" s="157"/>
      <c r="H315" s="157"/>
      <c r="I315" s="200">
        <v>50</v>
      </c>
      <c r="J315" s="207">
        <v>25</v>
      </c>
      <c r="K315" s="201">
        <f t="shared" si="29"/>
        <v>1250</v>
      </c>
    </row>
    <row r="316" spans="1:11" ht="31.5">
      <c r="A316" s="100">
        <v>113</v>
      </c>
      <c r="B316" s="189" t="s">
        <v>484</v>
      </c>
      <c r="C316" s="206" t="s">
        <v>487</v>
      </c>
      <c r="D316" s="199" t="s">
        <v>40</v>
      </c>
      <c r="E316" s="157"/>
      <c r="F316" s="157"/>
      <c r="G316" s="157"/>
      <c r="H316" s="157"/>
      <c r="I316" s="200">
        <v>2</v>
      </c>
      <c r="J316" s="207">
        <v>1000</v>
      </c>
      <c r="K316" s="201">
        <f t="shared" si="29"/>
        <v>2000</v>
      </c>
    </row>
    <row r="317" spans="1:11" ht="31.5">
      <c r="A317" s="100">
        <v>114</v>
      </c>
      <c r="B317" s="189" t="s">
        <v>484</v>
      </c>
      <c r="C317" s="172" t="s">
        <v>488</v>
      </c>
      <c r="D317" s="199" t="s">
        <v>40</v>
      </c>
      <c r="E317" s="157"/>
      <c r="F317" s="157"/>
      <c r="G317" s="157"/>
      <c r="H317" s="157"/>
      <c r="I317" s="200">
        <v>1</v>
      </c>
      <c r="J317" s="207">
        <v>500</v>
      </c>
      <c r="K317" s="201">
        <f t="shared" si="29"/>
        <v>500</v>
      </c>
    </row>
    <row r="318" spans="1:11" ht="47.25">
      <c r="A318" s="100">
        <v>115</v>
      </c>
      <c r="B318" s="189" t="s">
        <v>484</v>
      </c>
      <c r="C318" s="173" t="s">
        <v>489</v>
      </c>
      <c r="D318" s="102" t="s">
        <v>193</v>
      </c>
      <c r="E318" s="157"/>
      <c r="F318" s="157"/>
      <c r="G318" s="157"/>
      <c r="H318" s="157"/>
      <c r="I318" s="200">
        <v>1</v>
      </c>
      <c r="J318" s="207">
        <v>2500</v>
      </c>
      <c r="K318" s="201">
        <f t="shared" si="29"/>
        <v>2500</v>
      </c>
    </row>
    <row r="319" spans="1:11" ht="31.5">
      <c r="A319" s="100">
        <v>116</v>
      </c>
      <c r="B319" s="181"/>
      <c r="C319" s="210" t="s">
        <v>490</v>
      </c>
      <c r="D319" s="102" t="s">
        <v>7</v>
      </c>
      <c r="E319" s="145"/>
      <c r="F319" s="145"/>
      <c r="G319" s="145"/>
      <c r="H319" s="157"/>
      <c r="I319" s="200">
        <v>49</v>
      </c>
      <c r="J319" s="207">
        <v>30</v>
      </c>
      <c r="K319" s="201">
        <f t="shared" si="29"/>
        <v>1470</v>
      </c>
    </row>
    <row r="320" spans="1:11" ht="31.5">
      <c r="A320" s="100">
        <v>117</v>
      </c>
      <c r="B320" s="189"/>
      <c r="C320" s="211" t="s">
        <v>491</v>
      </c>
      <c r="D320" s="102" t="s">
        <v>7</v>
      </c>
      <c r="E320" s="157"/>
      <c r="F320" s="157"/>
      <c r="G320" s="157"/>
      <c r="H320" s="157"/>
      <c r="I320" s="200">
        <v>30</v>
      </c>
      <c r="J320" s="207">
        <v>25</v>
      </c>
      <c r="K320" s="201">
        <f t="shared" si="29"/>
        <v>750</v>
      </c>
    </row>
    <row r="321" spans="1:11" ht="47.25">
      <c r="A321" s="100">
        <v>118</v>
      </c>
      <c r="B321" s="162" t="s">
        <v>480</v>
      </c>
      <c r="C321" s="173" t="s">
        <v>492</v>
      </c>
      <c r="D321" s="102" t="s">
        <v>193</v>
      </c>
      <c r="E321" s="157"/>
      <c r="F321" s="157"/>
      <c r="G321" s="157"/>
      <c r="H321" s="157"/>
      <c r="I321" s="200">
        <v>1</v>
      </c>
      <c r="J321" s="182">
        <v>3500</v>
      </c>
      <c r="K321" s="201">
        <f t="shared" si="29"/>
        <v>3500</v>
      </c>
    </row>
    <row r="322" spans="1:11" ht="31.5">
      <c r="A322" s="100">
        <v>119</v>
      </c>
      <c r="B322" s="189" t="s">
        <v>484</v>
      </c>
      <c r="C322" s="173" t="s">
        <v>493</v>
      </c>
      <c r="D322" s="102" t="s">
        <v>193</v>
      </c>
      <c r="E322" s="157"/>
      <c r="F322" s="157"/>
      <c r="G322" s="157"/>
      <c r="H322" s="157"/>
      <c r="I322" s="200">
        <v>1</v>
      </c>
      <c r="J322" s="182">
        <v>1500</v>
      </c>
      <c r="K322" s="201">
        <f t="shared" si="29"/>
        <v>1500</v>
      </c>
    </row>
    <row r="323" spans="1:11" ht="47.25">
      <c r="A323" s="100">
        <v>120</v>
      </c>
      <c r="B323" s="189" t="s">
        <v>482</v>
      </c>
      <c r="C323" s="173" t="s">
        <v>494</v>
      </c>
      <c r="D323" s="102" t="s">
        <v>193</v>
      </c>
      <c r="E323" s="157"/>
      <c r="F323" s="157"/>
      <c r="G323" s="157"/>
      <c r="H323" s="157"/>
      <c r="I323" s="200">
        <v>2</v>
      </c>
      <c r="J323" s="207">
        <v>900</v>
      </c>
      <c r="K323" s="201">
        <f t="shared" si="29"/>
        <v>1800</v>
      </c>
    </row>
    <row r="324" spans="1:11" ht="31.5">
      <c r="A324" s="100">
        <v>121</v>
      </c>
      <c r="B324" s="183"/>
      <c r="C324" s="164" t="s">
        <v>495</v>
      </c>
      <c r="D324" s="212" t="s">
        <v>40</v>
      </c>
      <c r="E324" s="157"/>
      <c r="F324" s="157"/>
      <c r="G324" s="157"/>
      <c r="H324" s="157"/>
      <c r="I324" s="200">
        <v>1</v>
      </c>
      <c r="J324" s="207">
        <v>500</v>
      </c>
      <c r="K324" s="201">
        <f t="shared" si="29"/>
        <v>500</v>
      </c>
    </row>
    <row r="325" spans="1:11" ht="31.5">
      <c r="A325" s="100">
        <v>122</v>
      </c>
      <c r="B325" s="183"/>
      <c r="C325" s="164" t="s">
        <v>496</v>
      </c>
      <c r="D325" s="57" t="s">
        <v>40</v>
      </c>
      <c r="E325" s="157"/>
      <c r="F325" s="157"/>
      <c r="G325" s="157"/>
      <c r="H325" s="157"/>
      <c r="I325" s="200">
        <v>1</v>
      </c>
      <c r="J325" s="207">
        <v>1500</v>
      </c>
      <c r="K325" s="201">
        <f t="shared" si="29"/>
        <v>1500</v>
      </c>
    </row>
    <row r="326" spans="1:11" ht="31.5">
      <c r="A326" s="100">
        <v>123</v>
      </c>
      <c r="B326" s="183"/>
      <c r="C326" s="164" t="s">
        <v>497</v>
      </c>
      <c r="D326" s="57" t="s">
        <v>40</v>
      </c>
      <c r="E326" s="157"/>
      <c r="F326" s="157"/>
      <c r="G326" s="157"/>
      <c r="H326" s="157"/>
      <c r="I326" s="200">
        <v>1</v>
      </c>
      <c r="J326" s="207">
        <v>2500</v>
      </c>
      <c r="K326" s="201">
        <f t="shared" si="29"/>
        <v>2500</v>
      </c>
    </row>
    <row r="327" spans="1:11" ht="31.5">
      <c r="A327" s="100">
        <v>124</v>
      </c>
      <c r="B327" s="189"/>
      <c r="C327" s="213" t="s">
        <v>498</v>
      </c>
      <c r="D327" s="57" t="s">
        <v>40</v>
      </c>
      <c r="E327" s="157"/>
      <c r="F327" s="157"/>
      <c r="G327" s="157"/>
      <c r="H327" s="157"/>
      <c r="I327" s="200">
        <v>1</v>
      </c>
      <c r="J327" s="207">
        <v>500</v>
      </c>
      <c r="K327" s="201">
        <f t="shared" si="29"/>
        <v>500</v>
      </c>
    </row>
    <row r="328" spans="1:11" ht="47.25">
      <c r="A328" s="100">
        <v>125</v>
      </c>
      <c r="B328" s="189"/>
      <c r="C328" s="214" t="s">
        <v>499</v>
      </c>
      <c r="D328" s="57" t="s">
        <v>40</v>
      </c>
      <c r="E328" s="157"/>
      <c r="F328" s="157"/>
      <c r="G328" s="157"/>
      <c r="H328" s="157"/>
      <c r="I328" s="200">
        <v>1</v>
      </c>
      <c r="J328" s="207">
        <v>1000</v>
      </c>
      <c r="K328" s="201">
        <f t="shared" si="29"/>
        <v>1000</v>
      </c>
    </row>
    <row r="329" spans="1:11" ht="31.5">
      <c r="A329" s="100">
        <v>126</v>
      </c>
      <c r="B329" s="189"/>
      <c r="C329" s="215" t="s">
        <v>500</v>
      </c>
      <c r="D329" s="57" t="s">
        <v>40</v>
      </c>
      <c r="E329" s="157"/>
      <c r="F329" s="157"/>
      <c r="G329" s="157"/>
      <c r="H329" s="157"/>
      <c r="I329" s="200">
        <v>2</v>
      </c>
      <c r="J329" s="207">
        <v>300</v>
      </c>
      <c r="K329" s="201">
        <f t="shared" si="29"/>
        <v>600</v>
      </c>
    </row>
    <row r="330" spans="1:11" ht="31.5">
      <c r="A330" s="100">
        <v>127</v>
      </c>
      <c r="B330" s="189"/>
      <c r="C330" s="215" t="s">
        <v>500</v>
      </c>
      <c r="D330" s="57" t="s">
        <v>40</v>
      </c>
      <c r="E330" s="157"/>
      <c r="F330" s="157"/>
      <c r="G330" s="157"/>
      <c r="H330" s="157"/>
      <c r="I330" s="200">
        <v>1</v>
      </c>
      <c r="J330" s="207">
        <v>400</v>
      </c>
      <c r="K330" s="201">
        <f t="shared" si="29"/>
        <v>400</v>
      </c>
    </row>
    <row r="331" spans="1:11" ht="31.5">
      <c r="A331" s="100">
        <v>128</v>
      </c>
      <c r="B331" s="183"/>
      <c r="C331" s="184" t="s">
        <v>501</v>
      </c>
      <c r="D331" s="102" t="s">
        <v>193</v>
      </c>
      <c r="E331" s="157"/>
      <c r="F331" s="157"/>
      <c r="G331" s="157"/>
      <c r="H331" s="157"/>
      <c r="I331" s="57">
        <v>140</v>
      </c>
      <c r="J331" s="177">
        <v>150</v>
      </c>
      <c r="K331" s="201">
        <f t="shared" si="29"/>
        <v>21000</v>
      </c>
    </row>
    <row r="332" spans="1:11" ht="31.5">
      <c r="A332" s="100">
        <v>129</v>
      </c>
      <c r="B332" s="183"/>
      <c r="C332" s="184" t="s">
        <v>502</v>
      </c>
      <c r="D332" s="57" t="s">
        <v>503</v>
      </c>
      <c r="E332" s="157"/>
      <c r="F332" s="157"/>
      <c r="G332" s="157"/>
      <c r="H332" s="157"/>
      <c r="I332" s="57">
        <v>220</v>
      </c>
      <c r="J332" s="177">
        <v>30</v>
      </c>
      <c r="K332" s="201">
        <f t="shared" si="29"/>
        <v>6600</v>
      </c>
    </row>
    <row r="333" spans="1:11" ht="45">
      <c r="A333" s="100">
        <v>130</v>
      </c>
      <c r="B333" s="183"/>
      <c r="C333" s="136" t="s">
        <v>504</v>
      </c>
      <c r="D333" s="57" t="s">
        <v>37</v>
      </c>
      <c r="E333" s="157"/>
      <c r="F333" s="157"/>
      <c r="G333" s="157"/>
      <c r="H333" s="157"/>
      <c r="I333" s="57">
        <v>15</v>
      </c>
      <c r="J333" s="177">
        <v>30</v>
      </c>
      <c r="K333" s="201">
        <f t="shared" si="29"/>
        <v>450</v>
      </c>
    </row>
    <row r="334" spans="1:11" ht="30">
      <c r="A334" s="100">
        <v>131</v>
      </c>
      <c r="B334" s="183"/>
      <c r="C334" s="136" t="s">
        <v>505</v>
      </c>
      <c r="D334" s="57" t="s">
        <v>37</v>
      </c>
      <c r="E334" s="157"/>
      <c r="F334" s="157"/>
      <c r="G334" s="157"/>
      <c r="H334" s="157"/>
      <c r="I334" s="57">
        <v>1</v>
      </c>
      <c r="J334" s="177">
        <v>2500</v>
      </c>
      <c r="K334" s="201">
        <f t="shared" si="29"/>
        <v>2500</v>
      </c>
    </row>
    <row r="335" spans="1:11" ht="31.5">
      <c r="A335" s="100">
        <v>132</v>
      </c>
      <c r="B335" s="183"/>
      <c r="C335" s="123" t="s">
        <v>506</v>
      </c>
      <c r="D335" s="57" t="s">
        <v>37</v>
      </c>
      <c r="E335" s="157"/>
      <c r="F335" s="157"/>
      <c r="G335" s="157"/>
      <c r="H335" s="157"/>
      <c r="I335" s="57">
        <v>1</v>
      </c>
      <c r="J335" s="177">
        <v>200</v>
      </c>
      <c r="K335" s="201">
        <f t="shared" si="29"/>
        <v>200</v>
      </c>
    </row>
    <row r="336" spans="1:11" ht="47.25">
      <c r="A336" s="100">
        <v>133</v>
      </c>
      <c r="B336" s="183"/>
      <c r="C336" s="123" t="s">
        <v>507</v>
      </c>
      <c r="D336" s="102" t="s">
        <v>4</v>
      </c>
      <c r="E336" s="157"/>
      <c r="F336" s="157"/>
      <c r="G336" s="157"/>
      <c r="H336" s="157"/>
      <c r="I336" s="57">
        <v>0.9</v>
      </c>
      <c r="J336" s="177">
        <v>110000</v>
      </c>
      <c r="K336" s="201">
        <f t="shared" si="29"/>
        <v>99000</v>
      </c>
    </row>
    <row r="337" spans="1:11" ht="31.5">
      <c r="A337" s="100">
        <v>134</v>
      </c>
      <c r="B337" s="183"/>
      <c r="C337" s="123" t="s">
        <v>508</v>
      </c>
      <c r="D337" s="102" t="s">
        <v>37</v>
      </c>
      <c r="E337" s="157"/>
      <c r="F337" s="157"/>
      <c r="G337" s="157"/>
      <c r="H337" s="157"/>
      <c r="I337" s="57">
        <v>2</v>
      </c>
      <c r="J337" s="177">
        <v>1500</v>
      </c>
      <c r="K337" s="201">
        <f t="shared" si="29"/>
        <v>3000</v>
      </c>
    </row>
    <row r="338" spans="1:11" ht="31.5">
      <c r="A338" s="100">
        <v>135</v>
      </c>
      <c r="B338" s="183"/>
      <c r="C338" s="216" t="s">
        <v>509</v>
      </c>
      <c r="D338" s="102" t="s">
        <v>195</v>
      </c>
      <c r="E338" s="217"/>
      <c r="F338" s="157"/>
      <c r="G338" s="157"/>
      <c r="H338" s="157"/>
      <c r="I338" s="57">
        <v>820</v>
      </c>
      <c r="J338" s="177">
        <v>30</v>
      </c>
      <c r="K338" s="201">
        <f t="shared" si="29"/>
        <v>24600</v>
      </c>
    </row>
    <row r="339" spans="1:11" ht="31.5">
      <c r="A339" s="100">
        <v>136</v>
      </c>
      <c r="B339" s="183"/>
      <c r="C339" s="216" t="s">
        <v>510</v>
      </c>
      <c r="D339" s="57" t="s">
        <v>62</v>
      </c>
      <c r="E339" s="217"/>
      <c r="F339" s="157"/>
      <c r="G339" s="157"/>
      <c r="H339" s="157"/>
      <c r="I339" s="57">
        <v>1</v>
      </c>
      <c r="J339" s="177">
        <v>3500</v>
      </c>
      <c r="K339" s="201">
        <f t="shared" si="29"/>
        <v>3500</v>
      </c>
    </row>
    <row r="340" spans="1:11" ht="47.25">
      <c r="A340" s="100"/>
      <c r="B340" s="189"/>
      <c r="C340" s="190" t="s">
        <v>511</v>
      </c>
      <c r="D340" s="57" t="s">
        <v>62</v>
      </c>
      <c r="E340" s="217"/>
      <c r="F340" s="157"/>
      <c r="G340" s="157"/>
      <c r="H340" s="157"/>
      <c r="I340" s="57">
        <v>1</v>
      </c>
      <c r="J340" s="177">
        <v>4500</v>
      </c>
      <c r="K340" s="201">
        <f t="shared" si="29"/>
        <v>4500</v>
      </c>
    </row>
    <row r="341" spans="1:11">
      <c r="A341" s="157"/>
      <c r="B341" s="1286" t="s">
        <v>80</v>
      </c>
      <c r="C341" s="1286"/>
      <c r="D341" s="1286"/>
      <c r="E341" s="1286"/>
      <c r="F341" s="1286"/>
      <c r="G341" s="1286"/>
      <c r="H341" s="1286"/>
      <c r="I341" s="1286"/>
      <c r="J341" s="1287"/>
      <c r="K341" s="218">
        <f>SUM(K309:K340)</f>
        <v>202420</v>
      </c>
    </row>
    <row r="342" spans="1:11" ht="18.75">
      <c r="A342" s="1288"/>
      <c r="B342" s="1288"/>
      <c r="C342" s="1288"/>
      <c r="D342" s="1288"/>
      <c r="E342" s="1288"/>
      <c r="F342" s="1288"/>
      <c r="G342" s="1288"/>
      <c r="H342" s="1288"/>
      <c r="I342" s="1288"/>
      <c r="J342" s="1288"/>
      <c r="K342" s="1289"/>
    </row>
    <row r="343" spans="1:11" ht="47.25">
      <c r="A343" s="219">
        <v>137</v>
      </c>
      <c r="B343" s="220"/>
      <c r="C343" s="221" t="s">
        <v>512</v>
      </c>
      <c r="D343" s="222" t="s">
        <v>193</v>
      </c>
      <c r="E343" s="222">
        <v>3</v>
      </c>
      <c r="F343" s="223"/>
      <c r="G343" s="223"/>
      <c r="H343" s="223"/>
      <c r="I343" s="223"/>
      <c r="J343" s="224">
        <v>70202.92</v>
      </c>
      <c r="K343" s="225">
        <f t="shared" ref="K343:K360" si="30">J343*E343</f>
        <v>210608.76</v>
      </c>
    </row>
    <row r="344" spans="1:11" ht="63">
      <c r="A344" s="100">
        <v>138</v>
      </c>
      <c r="B344" s="189"/>
      <c r="C344" s="173" t="s">
        <v>513</v>
      </c>
      <c r="D344" s="57" t="s">
        <v>193</v>
      </c>
      <c r="E344" s="57">
        <v>2</v>
      </c>
      <c r="F344" s="180"/>
      <c r="G344" s="180"/>
      <c r="H344" s="180"/>
      <c r="I344" s="180"/>
      <c r="J344" s="176">
        <v>57650.080000000002</v>
      </c>
      <c r="K344" s="159">
        <f t="shared" si="30"/>
        <v>115300.16</v>
      </c>
    </row>
    <row r="345" spans="1:11" ht="15.75">
      <c r="A345" s="219">
        <v>139</v>
      </c>
      <c r="B345" s="189"/>
      <c r="C345" s="173" t="s">
        <v>514</v>
      </c>
      <c r="D345" s="57" t="s">
        <v>193</v>
      </c>
      <c r="E345" s="57">
        <v>2</v>
      </c>
      <c r="F345" s="180"/>
      <c r="G345" s="180"/>
      <c r="H345" s="180"/>
      <c r="I345" s="180"/>
      <c r="J345" s="176">
        <v>61834.36</v>
      </c>
      <c r="K345" s="159">
        <f t="shared" si="30"/>
        <v>123668.72</v>
      </c>
    </row>
    <row r="346" spans="1:11" ht="31.5">
      <c r="A346" s="100">
        <v>140</v>
      </c>
      <c r="B346" s="189"/>
      <c r="C346" s="173" t="s">
        <v>515</v>
      </c>
      <c r="D346" s="57" t="s">
        <v>193</v>
      </c>
      <c r="E346" s="57">
        <v>3</v>
      </c>
      <c r="F346" s="180"/>
      <c r="G346" s="180"/>
      <c r="H346" s="180"/>
      <c r="I346" s="180"/>
      <c r="J346" s="176">
        <v>16853.349999999999</v>
      </c>
      <c r="K346" s="159">
        <f t="shared" si="30"/>
        <v>50560.049999999996</v>
      </c>
    </row>
    <row r="347" spans="1:11" ht="31.5">
      <c r="A347" s="219">
        <v>141</v>
      </c>
      <c r="B347" s="189"/>
      <c r="C347" s="173" t="s">
        <v>516</v>
      </c>
      <c r="D347" s="57" t="s">
        <v>193</v>
      </c>
      <c r="E347" s="57">
        <v>6</v>
      </c>
      <c r="F347" s="180"/>
      <c r="G347" s="180"/>
      <c r="H347" s="180"/>
      <c r="I347" s="180"/>
      <c r="J347" s="176">
        <v>9879.5499999999993</v>
      </c>
      <c r="K347" s="159">
        <f t="shared" si="30"/>
        <v>59277.299999999996</v>
      </c>
    </row>
    <row r="348" spans="1:11" ht="31.5">
      <c r="A348" s="100">
        <v>142</v>
      </c>
      <c r="B348" s="189"/>
      <c r="C348" s="173" t="s">
        <v>517</v>
      </c>
      <c r="D348" s="57" t="s">
        <v>193</v>
      </c>
      <c r="E348" s="57">
        <v>1</v>
      </c>
      <c r="F348" s="180"/>
      <c r="G348" s="180"/>
      <c r="H348" s="180"/>
      <c r="I348" s="180"/>
      <c r="J348" s="177">
        <v>5172.2349999999997</v>
      </c>
      <c r="K348" s="159">
        <f t="shared" si="30"/>
        <v>5172.2349999999997</v>
      </c>
    </row>
    <row r="349" spans="1:11" ht="31.5">
      <c r="A349" s="219">
        <v>143</v>
      </c>
      <c r="B349" s="189"/>
      <c r="C349" s="173" t="s">
        <v>518</v>
      </c>
      <c r="D349" s="57" t="s">
        <v>193</v>
      </c>
      <c r="E349" s="57">
        <v>2</v>
      </c>
      <c r="F349" s="180"/>
      <c r="G349" s="180"/>
      <c r="H349" s="180"/>
      <c r="I349" s="180"/>
      <c r="J349" s="177">
        <v>5288.4650000000001</v>
      </c>
      <c r="K349" s="159">
        <f t="shared" si="30"/>
        <v>10576.93</v>
      </c>
    </row>
    <row r="350" spans="1:11" ht="47.25">
      <c r="A350" s="100">
        <v>144</v>
      </c>
      <c r="B350" s="189"/>
      <c r="C350" s="210" t="s">
        <v>519</v>
      </c>
      <c r="D350" s="57" t="s">
        <v>193</v>
      </c>
      <c r="E350" s="156">
        <v>2</v>
      </c>
      <c r="F350" s="180"/>
      <c r="G350" s="180"/>
      <c r="H350" s="180"/>
      <c r="I350" s="180"/>
      <c r="J350" s="176">
        <v>380780.1</v>
      </c>
      <c r="K350" s="159">
        <f t="shared" si="30"/>
        <v>761560.2</v>
      </c>
    </row>
    <row r="351" spans="1:11" ht="47.25">
      <c r="A351" s="219">
        <v>145</v>
      </c>
      <c r="B351" s="189"/>
      <c r="C351" s="173" t="s">
        <v>520</v>
      </c>
      <c r="D351" s="57" t="s">
        <v>67</v>
      </c>
      <c r="E351" s="156">
        <v>0.5</v>
      </c>
      <c r="F351" s="180"/>
      <c r="G351" s="180"/>
      <c r="H351" s="180"/>
      <c r="I351" s="180"/>
      <c r="J351" s="176">
        <v>659661.30000000005</v>
      </c>
      <c r="K351" s="159">
        <f t="shared" si="30"/>
        <v>329830.65000000002</v>
      </c>
    </row>
    <row r="352" spans="1:11" ht="31.5">
      <c r="A352" s="100">
        <v>146</v>
      </c>
      <c r="B352" s="189"/>
      <c r="C352" s="173" t="s">
        <v>521</v>
      </c>
      <c r="D352" s="57" t="s">
        <v>193</v>
      </c>
      <c r="E352" s="156">
        <v>2</v>
      </c>
      <c r="F352" s="180"/>
      <c r="G352" s="180"/>
      <c r="H352" s="180"/>
      <c r="I352" s="180"/>
      <c r="J352" s="226">
        <v>290563.20000000001</v>
      </c>
      <c r="K352" s="159">
        <f t="shared" si="30"/>
        <v>581126.40000000002</v>
      </c>
    </row>
    <row r="353" spans="1:11" ht="47.25">
      <c r="A353" s="219">
        <v>147</v>
      </c>
      <c r="B353" s="189"/>
      <c r="C353" s="173" t="s">
        <v>522</v>
      </c>
      <c r="D353" s="57" t="s">
        <v>193</v>
      </c>
      <c r="E353" s="156">
        <v>1</v>
      </c>
      <c r="F353" s="180"/>
      <c r="G353" s="180"/>
      <c r="H353" s="180"/>
      <c r="I353" s="180"/>
      <c r="J353" s="176">
        <v>84110.399999999994</v>
      </c>
      <c r="K353" s="159">
        <f t="shared" si="30"/>
        <v>84110.399999999994</v>
      </c>
    </row>
    <row r="354" spans="1:11" ht="31.5">
      <c r="A354" s="100">
        <v>148</v>
      </c>
      <c r="B354" s="189"/>
      <c r="C354" s="173" t="s">
        <v>523</v>
      </c>
      <c r="D354" s="57" t="s">
        <v>67</v>
      </c>
      <c r="E354" s="156">
        <v>1</v>
      </c>
      <c r="F354" s="180"/>
      <c r="G354" s="180"/>
      <c r="H354" s="180"/>
      <c r="I354" s="180"/>
      <c r="J354" s="176">
        <v>484744</v>
      </c>
      <c r="K354" s="159">
        <f t="shared" si="30"/>
        <v>484744</v>
      </c>
    </row>
    <row r="355" spans="1:11" ht="15.75">
      <c r="A355" s="219">
        <v>149</v>
      </c>
      <c r="B355" s="189"/>
      <c r="C355" s="173" t="s">
        <v>367</v>
      </c>
      <c r="D355" s="57" t="s">
        <v>193</v>
      </c>
      <c r="E355" s="156">
        <v>20</v>
      </c>
      <c r="F355" s="180"/>
      <c r="G355" s="180"/>
      <c r="H355" s="180"/>
      <c r="I355" s="180"/>
      <c r="J355" s="176">
        <v>2867.4</v>
      </c>
      <c r="K355" s="159">
        <f t="shared" si="30"/>
        <v>57348</v>
      </c>
    </row>
    <row r="356" spans="1:11" ht="31.5">
      <c r="A356" s="100">
        <v>150</v>
      </c>
      <c r="B356" s="189"/>
      <c r="C356" s="190" t="s">
        <v>524</v>
      </c>
      <c r="D356" s="57" t="s">
        <v>67</v>
      </c>
      <c r="E356" s="156">
        <v>1</v>
      </c>
      <c r="F356" s="180"/>
      <c r="G356" s="180"/>
      <c r="H356" s="180"/>
      <c r="I356" s="180"/>
      <c r="J356" s="226">
        <v>122720</v>
      </c>
      <c r="K356" s="159">
        <f t="shared" si="30"/>
        <v>122720</v>
      </c>
    </row>
    <row r="357" spans="1:11" ht="31.5">
      <c r="A357" s="219">
        <v>151</v>
      </c>
      <c r="B357" s="189"/>
      <c r="C357" s="190" t="s">
        <v>525</v>
      </c>
      <c r="D357" s="57" t="s">
        <v>67</v>
      </c>
      <c r="E357" s="156">
        <v>1</v>
      </c>
      <c r="F357" s="180"/>
      <c r="G357" s="180"/>
      <c r="H357" s="180"/>
      <c r="I357" s="180"/>
      <c r="J357" s="226">
        <v>208624</v>
      </c>
      <c r="K357" s="159">
        <f t="shared" si="30"/>
        <v>208624</v>
      </c>
    </row>
    <row r="358" spans="1:11" ht="31.5">
      <c r="A358" s="100">
        <v>152</v>
      </c>
      <c r="B358" s="189"/>
      <c r="C358" s="190" t="s">
        <v>526</v>
      </c>
      <c r="D358" s="57" t="s">
        <v>67</v>
      </c>
      <c r="E358" s="156">
        <v>1</v>
      </c>
      <c r="F358" s="180"/>
      <c r="G358" s="180"/>
      <c r="H358" s="180"/>
      <c r="I358" s="180"/>
      <c r="J358" s="226">
        <v>306800</v>
      </c>
      <c r="K358" s="159">
        <f t="shared" si="30"/>
        <v>306800</v>
      </c>
    </row>
    <row r="359" spans="1:11" ht="47.25">
      <c r="A359" s="219">
        <v>153</v>
      </c>
      <c r="B359" s="189"/>
      <c r="C359" s="190" t="s">
        <v>527</v>
      </c>
      <c r="D359" s="57" t="s">
        <v>193</v>
      </c>
      <c r="E359" s="156">
        <v>3</v>
      </c>
      <c r="F359" s="180"/>
      <c r="G359" s="180"/>
      <c r="H359" s="180"/>
      <c r="I359" s="180"/>
      <c r="J359" s="176">
        <v>101898.9</v>
      </c>
      <c r="K359" s="159">
        <f t="shared" si="30"/>
        <v>305696.69999999995</v>
      </c>
    </row>
    <row r="360" spans="1:11" ht="15.75">
      <c r="A360" s="100">
        <v>154</v>
      </c>
      <c r="B360" s="189"/>
      <c r="C360" s="190" t="s">
        <v>528</v>
      </c>
      <c r="D360" s="57" t="s">
        <v>449</v>
      </c>
      <c r="E360" s="156">
        <v>3135</v>
      </c>
      <c r="F360" s="180"/>
      <c r="G360" s="180"/>
      <c r="H360" s="180"/>
      <c r="I360" s="180"/>
      <c r="J360" s="176">
        <v>0</v>
      </c>
      <c r="K360" s="159">
        <f t="shared" si="30"/>
        <v>0</v>
      </c>
    </row>
    <row r="361" spans="1:11" ht="15.75">
      <c r="A361" s="157"/>
      <c r="B361" s="1290" t="s">
        <v>80</v>
      </c>
      <c r="C361" s="1291"/>
      <c r="D361" s="1291"/>
      <c r="E361" s="1291"/>
      <c r="F361" s="1291"/>
      <c r="G361" s="1291"/>
      <c r="H361" s="1291"/>
      <c r="I361" s="1291"/>
      <c r="J361" s="1292"/>
      <c r="K361" s="227">
        <f>SUM(K343:K360)</f>
        <v>3817724.5049999999</v>
      </c>
    </row>
    <row r="362" spans="1:11" ht="15.75">
      <c r="A362" s="1275" t="s">
        <v>529</v>
      </c>
      <c r="B362" s="1276"/>
      <c r="C362" s="1276"/>
      <c r="D362" s="1276"/>
      <c r="E362" s="1276"/>
      <c r="F362" s="1276"/>
      <c r="G362" s="1276"/>
      <c r="H362" s="1276"/>
      <c r="I362" s="1276"/>
      <c r="J362" s="1276"/>
      <c r="K362" s="1277"/>
    </row>
    <row r="363" spans="1:11" ht="42.75">
      <c r="A363" s="100">
        <v>155</v>
      </c>
      <c r="B363" s="138"/>
      <c r="C363" s="228" t="s">
        <v>530</v>
      </c>
      <c r="D363" s="212" t="s">
        <v>40</v>
      </c>
      <c r="E363" s="229">
        <v>4</v>
      </c>
      <c r="F363" s="122"/>
      <c r="G363" s="122"/>
      <c r="H363" s="122"/>
      <c r="I363" s="122"/>
      <c r="J363" s="229">
        <v>179286.22</v>
      </c>
      <c r="K363" s="230">
        <f>J363*E363</f>
        <v>717144.88</v>
      </c>
    </row>
    <row r="364" spans="1:11">
      <c r="A364" s="1278" t="s">
        <v>80</v>
      </c>
      <c r="B364" s="1278"/>
      <c r="C364" s="1278"/>
      <c r="D364" s="1278"/>
      <c r="E364" s="1278"/>
      <c r="F364" s="1278"/>
      <c r="G364" s="1278"/>
      <c r="H364" s="1278"/>
      <c r="I364" s="1278"/>
      <c r="J364" s="1278"/>
      <c r="K364" s="231">
        <f>SUM(K363:K363)</f>
        <v>717144.88</v>
      </c>
    </row>
    <row r="365" spans="1:11" ht="15.75">
      <c r="A365" s="145"/>
      <c r="B365" s="95"/>
      <c r="C365" s="147"/>
      <c r="D365" s="147"/>
      <c r="E365" s="145"/>
      <c r="F365" s="145"/>
      <c r="G365" s="145"/>
      <c r="H365" s="145"/>
      <c r="I365" s="145"/>
      <c r="J365" s="46"/>
      <c r="K365" s="145"/>
    </row>
    <row r="366" spans="1:11" ht="15.75">
      <c r="A366" s="1279" t="s">
        <v>531</v>
      </c>
      <c r="B366" s="1279"/>
      <c r="C366" s="1279"/>
      <c r="D366" s="1279"/>
      <c r="E366" s="1279"/>
      <c r="F366" s="1279"/>
      <c r="G366" s="1279"/>
      <c r="H366" s="1279"/>
      <c r="I366" s="1279"/>
      <c r="J366" s="1279"/>
      <c r="K366" s="1279"/>
    </row>
    <row r="367" spans="1:11" ht="31.5">
      <c r="A367" s="232">
        <v>1</v>
      </c>
      <c r="B367" s="233"/>
      <c r="C367" s="155" t="s">
        <v>532</v>
      </c>
      <c r="D367" s="102" t="s">
        <v>40</v>
      </c>
      <c r="E367" s="234">
        <v>1</v>
      </c>
      <c r="F367" s="235"/>
      <c r="G367" s="235"/>
      <c r="H367" s="235"/>
      <c r="I367" s="235"/>
      <c r="J367" s="236">
        <v>2000</v>
      </c>
      <c r="K367" s="237">
        <f>J367*E367</f>
        <v>2000</v>
      </c>
    </row>
    <row r="368" spans="1:11" ht="15.75">
      <c r="A368" s="238">
        <v>2</v>
      </c>
      <c r="B368" s="162" t="s">
        <v>533</v>
      </c>
      <c r="C368" s="155" t="s">
        <v>534</v>
      </c>
      <c r="D368" s="102" t="s">
        <v>40</v>
      </c>
      <c r="E368" s="234">
        <v>6</v>
      </c>
      <c r="F368" s="235"/>
      <c r="G368" s="235"/>
      <c r="H368" s="235"/>
      <c r="I368" s="235"/>
      <c r="J368" s="236">
        <v>681.68</v>
      </c>
      <c r="K368" s="237">
        <f t="shared" ref="K368:K396" si="31">J368*E368</f>
        <v>4090.08</v>
      </c>
    </row>
    <row r="369" spans="1:11" ht="15.75">
      <c r="A369" s="238">
        <v>3</v>
      </c>
      <c r="B369" s="162" t="s">
        <v>535</v>
      </c>
      <c r="C369" s="155" t="s">
        <v>536</v>
      </c>
      <c r="D369" s="102" t="s">
        <v>40</v>
      </c>
      <c r="E369" s="234">
        <v>6</v>
      </c>
      <c r="F369" s="235"/>
      <c r="G369" s="235"/>
      <c r="H369" s="235"/>
      <c r="I369" s="235"/>
      <c r="J369" s="236">
        <v>826.82</v>
      </c>
      <c r="K369" s="237">
        <f t="shared" si="31"/>
        <v>4960.92</v>
      </c>
    </row>
    <row r="370" spans="1:11" ht="15.75">
      <c r="A370" s="238">
        <v>4</v>
      </c>
      <c r="B370" s="162" t="s">
        <v>301</v>
      </c>
      <c r="C370" s="155"/>
      <c r="D370" s="102" t="s">
        <v>40</v>
      </c>
      <c r="E370" s="234">
        <v>6</v>
      </c>
      <c r="F370" s="235"/>
      <c r="G370" s="235"/>
      <c r="H370" s="235"/>
      <c r="I370" s="235"/>
      <c r="J370" s="236">
        <v>1755.85</v>
      </c>
      <c r="K370" s="237">
        <f t="shared" si="31"/>
        <v>10535.099999999999</v>
      </c>
    </row>
    <row r="371" spans="1:11" ht="15.75">
      <c r="A371" s="238">
        <v>5</v>
      </c>
      <c r="B371" s="162" t="s">
        <v>537</v>
      </c>
      <c r="C371" s="155" t="s">
        <v>538</v>
      </c>
      <c r="D371" s="102" t="s">
        <v>539</v>
      </c>
      <c r="E371" s="239">
        <v>3</v>
      </c>
      <c r="F371" s="235"/>
      <c r="G371" s="235"/>
      <c r="H371" s="235"/>
      <c r="I371" s="235"/>
      <c r="J371" s="236">
        <v>749.47</v>
      </c>
      <c r="K371" s="237">
        <f t="shared" si="31"/>
        <v>2248.41</v>
      </c>
    </row>
    <row r="372" spans="1:11" ht="15.75">
      <c r="A372" s="238">
        <v>6</v>
      </c>
      <c r="B372" s="189" t="s">
        <v>540</v>
      </c>
      <c r="C372" s="155" t="s">
        <v>541</v>
      </c>
      <c r="D372" s="102" t="s">
        <v>40</v>
      </c>
      <c r="E372" s="239">
        <v>2</v>
      </c>
      <c r="F372" s="235"/>
      <c r="G372" s="235"/>
      <c r="H372" s="235"/>
      <c r="I372" s="235"/>
      <c r="J372" s="236">
        <v>2840</v>
      </c>
      <c r="K372" s="237">
        <f t="shared" si="31"/>
        <v>5680</v>
      </c>
    </row>
    <row r="373" spans="1:11" ht="15.75">
      <c r="A373" s="238">
        <v>7</v>
      </c>
      <c r="B373" s="162"/>
      <c r="C373" s="155" t="s">
        <v>542</v>
      </c>
      <c r="D373" s="102" t="s">
        <v>40</v>
      </c>
      <c r="E373" s="239">
        <v>4</v>
      </c>
      <c r="F373" s="235"/>
      <c r="G373" s="235"/>
      <c r="H373" s="235"/>
      <c r="I373" s="235"/>
      <c r="J373" s="236">
        <v>1817.82</v>
      </c>
      <c r="K373" s="237">
        <f t="shared" si="31"/>
        <v>7271.28</v>
      </c>
    </row>
    <row r="374" spans="1:11" ht="15.75">
      <c r="A374" s="238">
        <v>8</v>
      </c>
      <c r="B374" s="240"/>
      <c r="C374" s="155" t="s">
        <v>543</v>
      </c>
      <c r="D374" s="102" t="s">
        <v>40</v>
      </c>
      <c r="E374" s="239">
        <v>1</v>
      </c>
      <c r="F374" s="235"/>
      <c r="G374" s="235"/>
      <c r="H374" s="235"/>
      <c r="I374" s="235"/>
      <c r="J374" s="236">
        <v>8437</v>
      </c>
      <c r="K374" s="237">
        <f t="shared" si="31"/>
        <v>8437</v>
      </c>
    </row>
    <row r="375" spans="1:11" ht="15.75">
      <c r="A375" s="238">
        <v>9</v>
      </c>
      <c r="B375" s="189" t="s">
        <v>544</v>
      </c>
      <c r="C375" s="155" t="s">
        <v>545</v>
      </c>
      <c r="D375" s="102" t="s">
        <v>40</v>
      </c>
      <c r="E375" s="239">
        <v>1</v>
      </c>
      <c r="F375" s="235"/>
      <c r="G375" s="235"/>
      <c r="H375" s="235"/>
      <c r="I375" s="235"/>
      <c r="J375" s="236">
        <v>18000</v>
      </c>
      <c r="K375" s="237">
        <f t="shared" si="31"/>
        <v>18000</v>
      </c>
    </row>
    <row r="376" spans="1:11" ht="15.75">
      <c r="A376" s="238">
        <v>10</v>
      </c>
      <c r="B376" s="240"/>
      <c r="C376" s="155" t="s">
        <v>546</v>
      </c>
      <c r="D376" s="102" t="s">
        <v>40</v>
      </c>
      <c r="E376" s="239">
        <v>2</v>
      </c>
      <c r="F376" s="235"/>
      <c r="G376" s="235"/>
      <c r="H376" s="235"/>
      <c r="I376" s="235"/>
      <c r="J376" s="236">
        <v>3375</v>
      </c>
      <c r="K376" s="237">
        <f t="shared" si="31"/>
        <v>6750</v>
      </c>
    </row>
    <row r="377" spans="1:11" ht="15.75">
      <c r="A377" s="238">
        <v>11</v>
      </c>
      <c r="B377" s="162" t="s">
        <v>547</v>
      </c>
      <c r="C377" s="155" t="s">
        <v>548</v>
      </c>
      <c r="D377" s="102" t="s">
        <v>539</v>
      </c>
      <c r="E377" s="239">
        <v>5</v>
      </c>
      <c r="F377" s="235"/>
      <c r="G377" s="235"/>
      <c r="H377" s="235"/>
      <c r="I377" s="235"/>
      <c r="J377" s="236">
        <v>749.47</v>
      </c>
      <c r="K377" s="237">
        <f t="shared" si="31"/>
        <v>3747.3500000000004</v>
      </c>
    </row>
    <row r="378" spans="1:11" ht="31.5">
      <c r="A378" s="238">
        <v>12</v>
      </c>
      <c r="B378" s="241"/>
      <c r="C378" s="164" t="s">
        <v>549</v>
      </c>
      <c r="D378" s="102" t="s">
        <v>40</v>
      </c>
      <c r="E378" s="239">
        <v>1</v>
      </c>
      <c r="F378" s="235"/>
      <c r="G378" s="235"/>
      <c r="H378" s="235"/>
      <c r="I378" s="235"/>
      <c r="J378" s="236">
        <v>14142.1</v>
      </c>
      <c r="K378" s="237">
        <f t="shared" si="31"/>
        <v>14142.1</v>
      </c>
    </row>
    <row r="379" spans="1:11" ht="47.25">
      <c r="A379" s="238">
        <v>13</v>
      </c>
      <c r="B379" s="181" t="s">
        <v>550</v>
      </c>
      <c r="C379" s="164" t="s">
        <v>551</v>
      </c>
      <c r="D379" s="102" t="s">
        <v>40</v>
      </c>
      <c r="E379" s="239">
        <v>1</v>
      </c>
      <c r="F379" s="235"/>
      <c r="G379" s="235"/>
      <c r="H379" s="235"/>
      <c r="I379" s="235"/>
      <c r="J379" s="236">
        <v>3359.6</v>
      </c>
      <c r="K379" s="237">
        <f t="shared" si="31"/>
        <v>3359.6</v>
      </c>
    </row>
    <row r="380" spans="1:11" ht="31.5">
      <c r="A380" s="238">
        <v>14</v>
      </c>
      <c r="B380" s="181" t="s">
        <v>552</v>
      </c>
      <c r="C380" s="164" t="s">
        <v>553</v>
      </c>
      <c r="D380" s="102" t="s">
        <v>40</v>
      </c>
      <c r="E380" s="239">
        <v>2</v>
      </c>
      <c r="F380" s="235"/>
      <c r="G380" s="235"/>
      <c r="H380" s="235"/>
      <c r="I380" s="235"/>
      <c r="J380" s="236">
        <v>12689.3</v>
      </c>
      <c r="K380" s="237">
        <f t="shared" si="31"/>
        <v>25378.6</v>
      </c>
    </row>
    <row r="381" spans="1:11" ht="31.5">
      <c r="A381" s="238">
        <v>15</v>
      </c>
      <c r="B381" s="241"/>
      <c r="C381" s="164" t="s">
        <v>554</v>
      </c>
      <c r="D381" s="102" t="s">
        <v>40</v>
      </c>
      <c r="E381" s="239">
        <v>3</v>
      </c>
      <c r="F381" s="235"/>
      <c r="G381" s="235"/>
      <c r="H381" s="235"/>
      <c r="I381" s="235"/>
      <c r="J381" s="236">
        <v>9624.7999999999993</v>
      </c>
      <c r="K381" s="237">
        <f t="shared" si="31"/>
        <v>28874.399999999998</v>
      </c>
    </row>
    <row r="382" spans="1:11" ht="31.5">
      <c r="A382" s="238">
        <v>16</v>
      </c>
      <c r="B382" s="181" t="s">
        <v>555</v>
      </c>
      <c r="C382" s="164" t="s">
        <v>556</v>
      </c>
      <c r="D382" s="102" t="s">
        <v>40</v>
      </c>
      <c r="E382" s="239">
        <v>1</v>
      </c>
      <c r="F382" s="235"/>
      <c r="G382" s="235"/>
      <c r="H382" s="235"/>
      <c r="I382" s="235"/>
      <c r="J382" s="236">
        <v>7888.25</v>
      </c>
      <c r="K382" s="237">
        <f t="shared" si="31"/>
        <v>7888.25</v>
      </c>
    </row>
    <row r="383" spans="1:11" ht="31.5">
      <c r="A383" s="238">
        <v>17</v>
      </c>
      <c r="B383" s="181" t="s">
        <v>557</v>
      </c>
      <c r="C383" s="164" t="s">
        <v>558</v>
      </c>
      <c r="D383" s="102" t="s">
        <v>40</v>
      </c>
      <c r="E383" s="239">
        <v>2</v>
      </c>
      <c r="F383" s="235"/>
      <c r="G383" s="235"/>
      <c r="H383" s="235"/>
      <c r="I383" s="235"/>
      <c r="J383" s="236">
        <v>5606.9</v>
      </c>
      <c r="K383" s="237">
        <f t="shared" si="31"/>
        <v>11213.8</v>
      </c>
    </row>
    <row r="384" spans="1:11" ht="47.25">
      <c r="A384" s="238">
        <v>18</v>
      </c>
      <c r="B384" s="189" t="s">
        <v>559</v>
      </c>
      <c r="C384" s="155" t="s">
        <v>560</v>
      </c>
      <c r="D384" s="102" t="s">
        <v>40</v>
      </c>
      <c r="E384" s="239">
        <v>10</v>
      </c>
      <c r="F384" s="235"/>
      <c r="G384" s="235"/>
      <c r="H384" s="235"/>
      <c r="I384" s="235"/>
      <c r="J384" s="236">
        <v>2814.8</v>
      </c>
      <c r="K384" s="237">
        <f t="shared" si="31"/>
        <v>28148</v>
      </c>
    </row>
    <row r="385" spans="1:11" ht="31.5">
      <c r="A385" s="238">
        <v>19</v>
      </c>
      <c r="B385" s="240"/>
      <c r="C385" s="155" t="s">
        <v>561</v>
      </c>
      <c r="D385" s="102" t="s">
        <v>40</v>
      </c>
      <c r="E385" s="239">
        <v>1</v>
      </c>
      <c r="F385" s="235"/>
      <c r="G385" s="235"/>
      <c r="H385" s="235"/>
      <c r="I385" s="235"/>
      <c r="J385" s="236">
        <v>11741</v>
      </c>
      <c r="K385" s="177">
        <f t="shared" si="31"/>
        <v>11741</v>
      </c>
    </row>
    <row r="386" spans="1:11" ht="15.75">
      <c r="A386" s="238">
        <v>20</v>
      </c>
      <c r="B386" s="240"/>
      <c r="C386" s="190" t="s">
        <v>562</v>
      </c>
      <c r="D386" s="57" t="s">
        <v>40</v>
      </c>
      <c r="E386" s="57">
        <v>1</v>
      </c>
      <c r="F386" s="235"/>
      <c r="G386" s="235"/>
      <c r="H386" s="235"/>
      <c r="I386" s="235"/>
      <c r="J386" s="193">
        <v>353850.59783999994</v>
      </c>
      <c r="K386" s="177">
        <f t="shared" si="31"/>
        <v>353850.59783999994</v>
      </c>
    </row>
    <row r="387" spans="1:11" ht="15.75">
      <c r="A387" s="238">
        <v>21</v>
      </c>
      <c r="B387" s="240"/>
      <c r="C387" s="190" t="s">
        <v>563</v>
      </c>
      <c r="D387" s="57" t="s">
        <v>40</v>
      </c>
      <c r="E387" s="57">
        <v>1</v>
      </c>
      <c r="F387" s="235"/>
      <c r="G387" s="235"/>
      <c r="H387" s="235"/>
      <c r="I387" s="235"/>
      <c r="J387" s="196">
        <v>49263.15</v>
      </c>
      <c r="K387" s="177">
        <f t="shared" si="31"/>
        <v>49263.15</v>
      </c>
    </row>
    <row r="388" spans="1:11" ht="15.75">
      <c r="A388" s="238">
        <v>22</v>
      </c>
      <c r="B388" s="240"/>
      <c r="C388" s="242" t="s">
        <v>564</v>
      </c>
      <c r="D388" s="7" t="s">
        <v>266</v>
      </c>
      <c r="E388" s="57">
        <v>1</v>
      </c>
      <c r="F388" s="235"/>
      <c r="G388" s="235"/>
      <c r="H388" s="235"/>
      <c r="I388" s="235"/>
      <c r="J388" s="196">
        <v>35385.06</v>
      </c>
      <c r="K388" s="177">
        <f t="shared" si="31"/>
        <v>35385.06</v>
      </c>
    </row>
    <row r="389" spans="1:11" ht="15.75">
      <c r="A389" s="238">
        <v>23</v>
      </c>
      <c r="B389" s="240"/>
      <c r="C389" s="242" t="s">
        <v>565</v>
      </c>
      <c r="D389" s="7" t="s">
        <v>266</v>
      </c>
      <c r="E389" s="57">
        <v>4</v>
      </c>
      <c r="F389" s="235"/>
      <c r="G389" s="235"/>
      <c r="H389" s="235"/>
      <c r="I389" s="235"/>
      <c r="J389" s="196">
        <v>3570.97</v>
      </c>
      <c r="K389" s="177">
        <f t="shared" si="31"/>
        <v>14283.88</v>
      </c>
    </row>
    <row r="390" spans="1:11" ht="15.75">
      <c r="A390" s="238">
        <v>24</v>
      </c>
      <c r="B390" s="240"/>
      <c r="C390" s="184" t="s">
        <v>566</v>
      </c>
      <c r="D390" s="57" t="s">
        <v>40</v>
      </c>
      <c r="E390" s="243">
        <v>1</v>
      </c>
      <c r="F390" s="235"/>
      <c r="G390" s="235"/>
      <c r="H390" s="235"/>
      <c r="I390" s="235"/>
      <c r="J390" s="57">
        <v>696031.26</v>
      </c>
      <c r="K390" s="177">
        <f t="shared" si="31"/>
        <v>696031.26</v>
      </c>
    </row>
    <row r="391" spans="1:11" ht="94.5">
      <c r="A391" s="238">
        <v>25</v>
      </c>
      <c r="B391" s="240"/>
      <c r="C391" s="184" t="s">
        <v>567</v>
      </c>
      <c r="D391" s="57" t="s">
        <v>266</v>
      </c>
      <c r="E391" s="57">
        <v>1</v>
      </c>
      <c r="F391" s="235"/>
      <c r="G391" s="235"/>
      <c r="H391" s="235"/>
      <c r="I391" s="235"/>
      <c r="J391" s="57">
        <v>174498.4</v>
      </c>
      <c r="K391" s="177">
        <f t="shared" si="31"/>
        <v>174498.4</v>
      </c>
    </row>
    <row r="392" spans="1:11" ht="31.5">
      <c r="A392" s="238">
        <v>26</v>
      </c>
      <c r="B392" s="240"/>
      <c r="C392" s="184" t="s">
        <v>568</v>
      </c>
      <c r="D392" s="57" t="s">
        <v>37</v>
      </c>
      <c r="E392" s="57">
        <v>1</v>
      </c>
      <c r="F392" s="235"/>
      <c r="G392" s="235"/>
      <c r="H392" s="235"/>
      <c r="I392" s="235"/>
      <c r="J392" s="57">
        <v>176509.12</v>
      </c>
      <c r="K392" s="177">
        <f t="shared" si="31"/>
        <v>176509.12</v>
      </c>
    </row>
    <row r="393" spans="1:11" ht="31.5">
      <c r="A393" s="238">
        <v>27</v>
      </c>
      <c r="B393" s="240"/>
      <c r="C393" s="184" t="s">
        <v>569</v>
      </c>
      <c r="D393" s="57" t="s">
        <v>37</v>
      </c>
      <c r="E393" s="57">
        <v>1</v>
      </c>
      <c r="F393" s="235"/>
      <c r="G393" s="235"/>
      <c r="H393" s="235"/>
      <c r="I393" s="235"/>
      <c r="J393" s="57">
        <v>55806.92</v>
      </c>
      <c r="K393" s="177">
        <f t="shared" si="31"/>
        <v>55806.92</v>
      </c>
    </row>
    <row r="394" spans="1:11" ht="15.75">
      <c r="A394" s="238">
        <v>28</v>
      </c>
      <c r="B394" s="240"/>
      <c r="C394" s="184" t="s">
        <v>570</v>
      </c>
      <c r="D394" s="57" t="s">
        <v>266</v>
      </c>
      <c r="E394" s="57">
        <v>3</v>
      </c>
      <c r="F394" s="235"/>
      <c r="G394" s="235"/>
      <c r="H394" s="235"/>
      <c r="I394" s="235"/>
      <c r="J394" s="57">
        <v>11633.62</v>
      </c>
      <c r="K394" s="177">
        <f t="shared" si="31"/>
        <v>34900.86</v>
      </c>
    </row>
    <row r="395" spans="1:11" ht="15.75">
      <c r="A395" s="238">
        <v>29</v>
      </c>
      <c r="B395" s="240"/>
      <c r="C395" s="184" t="s">
        <v>571</v>
      </c>
      <c r="D395" s="57" t="s">
        <v>266</v>
      </c>
      <c r="E395" s="57">
        <v>6</v>
      </c>
      <c r="F395" s="235"/>
      <c r="G395" s="235"/>
      <c r="H395" s="235"/>
      <c r="I395" s="235"/>
      <c r="J395" s="57">
        <v>4652.74</v>
      </c>
      <c r="K395" s="177">
        <f t="shared" si="31"/>
        <v>27916.44</v>
      </c>
    </row>
    <row r="396" spans="1:11" ht="47.25">
      <c r="A396" s="238">
        <v>30</v>
      </c>
      <c r="B396" s="240"/>
      <c r="C396" s="184" t="s">
        <v>572</v>
      </c>
      <c r="D396" s="57" t="s">
        <v>266</v>
      </c>
      <c r="E396" s="57">
        <v>4</v>
      </c>
      <c r="F396" s="235"/>
      <c r="G396" s="235"/>
      <c r="H396" s="235"/>
      <c r="I396" s="235"/>
      <c r="J396" s="57">
        <v>25016</v>
      </c>
      <c r="K396" s="177">
        <f t="shared" si="31"/>
        <v>100064</v>
      </c>
    </row>
    <row r="397" spans="1:11" ht="15.75">
      <c r="A397" s="244"/>
      <c r="B397" s="1280" t="s">
        <v>80</v>
      </c>
      <c r="C397" s="1280"/>
      <c r="D397" s="1280"/>
      <c r="E397" s="1280"/>
      <c r="F397" s="1280"/>
      <c r="G397" s="1280"/>
      <c r="H397" s="1280"/>
      <c r="I397" s="1280"/>
      <c r="J397" s="1280"/>
      <c r="K397" s="245">
        <f>SUM(K367:K396)</f>
        <v>1922975.5778400002</v>
      </c>
    </row>
    <row r="398" spans="1:11" ht="15.75">
      <c r="A398" s="238">
        <v>24</v>
      </c>
      <c r="B398" s="246" t="s">
        <v>573</v>
      </c>
      <c r="C398" s="247" t="s">
        <v>574</v>
      </c>
      <c r="D398" s="248" t="s">
        <v>40</v>
      </c>
      <c r="E398" s="249"/>
      <c r="F398" s="250"/>
      <c r="G398" s="250"/>
      <c r="H398" s="250"/>
      <c r="I398" s="251">
        <v>1</v>
      </c>
      <c r="J398" s="252">
        <v>10000</v>
      </c>
      <c r="K398" s="237">
        <f>J398*I398</f>
        <v>10000</v>
      </c>
    </row>
    <row r="399" spans="1:11" ht="15.75">
      <c r="A399" s="238">
        <v>25</v>
      </c>
      <c r="B399" s="253" t="s">
        <v>575</v>
      </c>
      <c r="C399" s="155" t="s">
        <v>576</v>
      </c>
      <c r="D399" s="254" t="s">
        <v>40</v>
      </c>
      <c r="E399" s="249"/>
      <c r="F399" s="250"/>
      <c r="G399" s="250"/>
      <c r="H399" s="250"/>
      <c r="I399" s="102">
        <v>1</v>
      </c>
      <c r="J399" s="236">
        <v>3000</v>
      </c>
      <c r="K399" s="237">
        <f t="shared" ref="K399:K408" si="32">J399*I399</f>
        <v>3000</v>
      </c>
    </row>
    <row r="400" spans="1:11" ht="31.5">
      <c r="A400" s="238">
        <v>26</v>
      </c>
      <c r="B400" s="240"/>
      <c r="C400" s="155" t="s">
        <v>577</v>
      </c>
      <c r="D400" s="254" t="s">
        <v>266</v>
      </c>
      <c r="E400" s="249"/>
      <c r="F400" s="250"/>
      <c r="G400" s="250"/>
      <c r="H400" s="250"/>
      <c r="I400" s="102">
        <v>1</v>
      </c>
      <c r="J400" s="236">
        <v>500</v>
      </c>
      <c r="K400" s="237">
        <f t="shared" si="32"/>
        <v>500</v>
      </c>
    </row>
    <row r="401" spans="1:11" ht="15.75">
      <c r="A401" s="238">
        <v>27</v>
      </c>
      <c r="B401" s="162" t="s">
        <v>578</v>
      </c>
      <c r="C401" s="155" t="s">
        <v>579</v>
      </c>
      <c r="D401" s="254" t="s">
        <v>40</v>
      </c>
      <c r="E401" s="249"/>
      <c r="F401" s="250"/>
      <c r="G401" s="250"/>
      <c r="H401" s="250"/>
      <c r="I401" s="102">
        <v>1</v>
      </c>
      <c r="J401" s="236">
        <v>5000</v>
      </c>
      <c r="K401" s="237">
        <f t="shared" si="32"/>
        <v>5000</v>
      </c>
    </row>
    <row r="402" spans="1:11" ht="15.75">
      <c r="A402" s="238">
        <v>28</v>
      </c>
      <c r="B402" s="246" t="s">
        <v>580</v>
      </c>
      <c r="C402" s="155" t="s">
        <v>581</v>
      </c>
      <c r="D402" s="254" t="s">
        <v>40</v>
      </c>
      <c r="E402" s="249"/>
      <c r="F402" s="250"/>
      <c r="G402" s="250"/>
      <c r="H402" s="250"/>
      <c r="I402" s="102">
        <v>1</v>
      </c>
      <c r="J402" s="236">
        <v>50</v>
      </c>
      <c r="K402" s="237">
        <f t="shared" si="32"/>
        <v>50</v>
      </c>
    </row>
    <row r="403" spans="1:11" ht="15.75">
      <c r="A403" s="238">
        <v>29</v>
      </c>
      <c r="B403" s="246" t="s">
        <v>582</v>
      </c>
      <c r="C403" s="155" t="s">
        <v>583</v>
      </c>
      <c r="D403" s="254" t="s">
        <v>40</v>
      </c>
      <c r="E403" s="249"/>
      <c r="F403" s="250"/>
      <c r="G403" s="250"/>
      <c r="H403" s="250"/>
      <c r="I403" s="102">
        <v>1</v>
      </c>
      <c r="J403" s="236">
        <v>5</v>
      </c>
      <c r="K403" s="237">
        <f t="shared" si="32"/>
        <v>5</v>
      </c>
    </row>
    <row r="404" spans="1:11" ht="31.5">
      <c r="A404" s="238">
        <v>30</v>
      </c>
      <c r="B404" s="240"/>
      <c r="C404" s="155" t="s">
        <v>584</v>
      </c>
      <c r="D404" s="102" t="s">
        <v>40</v>
      </c>
      <c r="E404" s="249"/>
      <c r="F404" s="250"/>
      <c r="G404" s="250"/>
      <c r="H404" s="250"/>
      <c r="I404" s="102">
        <v>1</v>
      </c>
      <c r="J404" s="236">
        <v>150</v>
      </c>
      <c r="K404" s="237">
        <f t="shared" si="32"/>
        <v>150</v>
      </c>
    </row>
    <row r="405" spans="1:11" ht="31.5">
      <c r="A405" s="238">
        <v>31</v>
      </c>
      <c r="B405" s="240"/>
      <c r="C405" s="155" t="s">
        <v>585</v>
      </c>
      <c r="D405" s="102" t="s">
        <v>40</v>
      </c>
      <c r="E405" s="249"/>
      <c r="F405" s="250"/>
      <c r="G405" s="250"/>
      <c r="H405" s="250"/>
      <c r="I405" s="102">
        <v>1</v>
      </c>
      <c r="J405" s="236">
        <v>100</v>
      </c>
      <c r="K405" s="237">
        <f t="shared" si="32"/>
        <v>100</v>
      </c>
    </row>
    <row r="406" spans="1:11" ht="15.75">
      <c r="A406" s="238">
        <v>32</v>
      </c>
      <c r="B406" s="162" t="s">
        <v>537</v>
      </c>
      <c r="C406" s="155" t="s">
        <v>538</v>
      </c>
      <c r="D406" s="102" t="s">
        <v>539</v>
      </c>
      <c r="E406" s="249"/>
      <c r="F406" s="250"/>
      <c r="G406" s="250"/>
      <c r="H406" s="250"/>
      <c r="I406" s="239">
        <v>3</v>
      </c>
      <c r="J406" s="236">
        <v>749.47</v>
      </c>
      <c r="K406" s="237">
        <f t="shared" si="32"/>
        <v>2248.41</v>
      </c>
    </row>
    <row r="407" spans="1:11" ht="15.75">
      <c r="A407" s="238">
        <v>33</v>
      </c>
      <c r="B407" s="162"/>
      <c r="C407" s="155" t="s">
        <v>542</v>
      </c>
      <c r="D407" s="102" t="s">
        <v>40</v>
      </c>
      <c r="E407" s="250"/>
      <c r="F407" s="250"/>
      <c r="G407" s="250"/>
      <c r="H407" s="250"/>
      <c r="I407" s="239">
        <v>2</v>
      </c>
      <c r="J407" s="236">
        <v>1817.82</v>
      </c>
      <c r="K407" s="237">
        <f t="shared" si="32"/>
        <v>3635.64</v>
      </c>
    </row>
    <row r="408" spans="1:11" ht="15.75">
      <c r="A408" s="238">
        <v>34</v>
      </c>
      <c r="B408" s="162" t="s">
        <v>547</v>
      </c>
      <c r="C408" s="155" t="s">
        <v>548</v>
      </c>
      <c r="D408" s="102" t="s">
        <v>539</v>
      </c>
      <c r="E408" s="250"/>
      <c r="F408" s="250"/>
      <c r="G408" s="250"/>
      <c r="H408" s="250"/>
      <c r="I408" s="239">
        <v>1</v>
      </c>
      <c r="J408" s="236">
        <v>749.47</v>
      </c>
      <c r="K408" s="237">
        <f t="shared" si="32"/>
        <v>749.47</v>
      </c>
    </row>
    <row r="409" spans="1:11">
      <c r="A409" s="1281" t="s">
        <v>80</v>
      </c>
      <c r="B409" s="1282"/>
      <c r="C409" s="1282"/>
      <c r="D409" s="1282"/>
      <c r="E409" s="1282"/>
      <c r="F409" s="1282"/>
      <c r="G409" s="1282"/>
      <c r="H409" s="1282"/>
      <c r="I409" s="1282"/>
      <c r="J409" s="1283"/>
      <c r="K409" s="218">
        <f>SUM(K398:K408)</f>
        <v>25438.52</v>
      </c>
    </row>
    <row r="410" spans="1:11">
      <c r="A410" s="145"/>
      <c r="B410" s="95"/>
      <c r="C410" s="147"/>
      <c r="D410" s="147"/>
      <c r="E410" s="145"/>
      <c r="F410" s="145"/>
      <c r="G410" s="145"/>
      <c r="H410" s="145"/>
      <c r="I410" s="145"/>
      <c r="J410" s="145"/>
      <c r="K410" s="145"/>
    </row>
    <row r="411" spans="1:11">
      <c r="A411" s="145"/>
      <c r="B411" s="95"/>
      <c r="C411" s="147"/>
      <c r="D411" s="147"/>
      <c r="E411" s="145"/>
      <c r="F411" s="145"/>
      <c r="G411" s="145"/>
      <c r="H411" s="145"/>
      <c r="I411" s="145"/>
      <c r="J411" s="145"/>
      <c r="K411" s="145"/>
    </row>
    <row r="414" spans="1:11">
      <c r="A414" s="1300" t="s">
        <v>200</v>
      </c>
      <c r="B414" s="1300"/>
      <c r="C414" s="1300"/>
      <c r="D414" s="1300"/>
      <c r="E414" s="1300"/>
      <c r="F414" s="1300"/>
      <c r="G414" s="1300"/>
      <c r="H414" s="1300"/>
      <c r="I414" s="1300"/>
      <c r="J414" s="1300"/>
      <c r="K414" s="1300"/>
    </row>
    <row r="415" spans="1:11">
      <c r="A415" s="1300"/>
      <c r="B415" s="1300"/>
      <c r="C415" s="1300"/>
      <c r="D415" s="1300"/>
      <c r="E415" s="1300"/>
      <c r="F415" s="1300"/>
      <c r="G415" s="1300"/>
      <c r="H415" s="1300"/>
      <c r="I415" s="1300"/>
      <c r="J415" s="1300"/>
      <c r="K415" s="1300"/>
    </row>
    <row r="416" spans="1:11">
      <c r="A416" s="255"/>
      <c r="B416" s="256"/>
      <c r="C416" s="256"/>
      <c r="D416" s="256"/>
      <c r="E416" s="256"/>
      <c r="F416" s="256"/>
      <c r="G416" s="256"/>
      <c r="H416" s="256"/>
      <c r="I416" s="256"/>
      <c r="J416" s="256"/>
      <c r="K416" s="256"/>
    </row>
    <row r="417" spans="1:11">
      <c r="A417" s="1301" t="s">
        <v>586</v>
      </c>
      <c r="B417" s="1301"/>
      <c r="C417" s="1301"/>
      <c r="D417" s="257"/>
      <c r="E417" s="256"/>
      <c r="F417" s="256"/>
      <c r="G417" s="256"/>
      <c r="H417" s="256" t="s">
        <v>204</v>
      </c>
      <c r="I417" s="256"/>
      <c r="J417" s="256"/>
      <c r="K417" s="256" t="s">
        <v>587</v>
      </c>
    </row>
    <row r="418" spans="1:11">
      <c r="A418" s="1302" t="s">
        <v>588</v>
      </c>
      <c r="B418" s="1302"/>
      <c r="C418" s="1302"/>
      <c r="D418" s="258"/>
      <c r="E418" s="256"/>
      <c r="F418" s="256"/>
      <c r="G418" s="256"/>
      <c r="H418" s="1303" t="s">
        <v>589</v>
      </c>
      <c r="I418" s="1303"/>
      <c r="J418" s="1303"/>
      <c r="K418" s="1303"/>
    </row>
    <row r="419" spans="1:11">
      <c r="A419" s="1296" t="s">
        <v>209</v>
      </c>
      <c r="B419" s="1297" t="s">
        <v>210</v>
      </c>
      <c r="C419" s="1297" t="s">
        <v>211</v>
      </c>
      <c r="D419" s="1298" t="s">
        <v>112</v>
      </c>
      <c r="E419" s="1297" t="s">
        <v>212</v>
      </c>
      <c r="F419" s="1297"/>
      <c r="G419" s="1297"/>
      <c r="H419" s="1297"/>
      <c r="I419" s="1297"/>
      <c r="J419" s="256"/>
      <c r="K419" s="1297" t="s">
        <v>590</v>
      </c>
    </row>
    <row r="420" spans="1:11">
      <c r="A420" s="1297"/>
      <c r="B420" s="1297"/>
      <c r="C420" s="1297"/>
      <c r="D420" s="1299"/>
      <c r="E420" s="259" t="s">
        <v>114</v>
      </c>
      <c r="F420" s="259" t="s">
        <v>215</v>
      </c>
      <c r="G420" s="259" t="s">
        <v>1</v>
      </c>
      <c r="H420" s="259" t="s">
        <v>216</v>
      </c>
      <c r="I420" s="259" t="s">
        <v>217</v>
      </c>
      <c r="J420" s="259" t="s">
        <v>591</v>
      </c>
      <c r="K420" s="1297"/>
    </row>
    <row r="421" spans="1:11" ht="30">
      <c r="A421" s="259">
        <v>1</v>
      </c>
      <c r="B421" s="260" t="s">
        <v>264</v>
      </c>
      <c r="C421" s="261" t="s">
        <v>592</v>
      </c>
      <c r="D421" s="262" t="s">
        <v>266</v>
      </c>
      <c r="E421" s="263">
        <v>4</v>
      </c>
      <c r="F421" s="259"/>
      <c r="G421" s="259"/>
      <c r="H421" s="259"/>
      <c r="I421" s="259"/>
      <c r="J421" s="264">
        <v>3230</v>
      </c>
      <c r="K421" s="265">
        <f>J421*E421</f>
        <v>12920</v>
      </c>
    </row>
    <row r="422" spans="1:11" ht="30">
      <c r="A422" s="259">
        <v>2</v>
      </c>
      <c r="B422" s="260" t="s">
        <v>593</v>
      </c>
      <c r="C422" s="261" t="s">
        <v>594</v>
      </c>
      <c r="D422" s="262" t="s">
        <v>266</v>
      </c>
      <c r="E422" s="263">
        <v>3</v>
      </c>
      <c r="F422" s="259"/>
      <c r="G422" s="259"/>
      <c r="H422" s="259"/>
      <c r="I422" s="259"/>
      <c r="J422" s="264">
        <v>910</v>
      </c>
      <c r="K422" s="265">
        <f>J422*E422</f>
        <v>2730</v>
      </c>
    </row>
    <row r="423" spans="1:11" ht="18.75">
      <c r="A423" s="259">
        <v>3</v>
      </c>
      <c r="B423" s="260" t="s">
        <v>595</v>
      </c>
      <c r="C423" s="261" t="s">
        <v>596</v>
      </c>
      <c r="D423" s="262" t="s">
        <v>40</v>
      </c>
      <c r="E423" s="263">
        <v>58</v>
      </c>
      <c r="F423" s="259"/>
      <c r="G423" s="259"/>
      <c r="H423" s="259"/>
      <c r="I423" s="259"/>
      <c r="J423" s="264">
        <v>410</v>
      </c>
      <c r="K423" s="265">
        <f>J423*E423</f>
        <v>23780</v>
      </c>
    </row>
    <row r="424" spans="1:11" ht="30">
      <c r="A424" s="259">
        <v>4</v>
      </c>
      <c r="B424" s="260" t="s">
        <v>235</v>
      </c>
      <c r="C424" s="261" t="s">
        <v>597</v>
      </c>
      <c r="D424" s="262" t="s">
        <v>40</v>
      </c>
      <c r="E424" s="263">
        <v>16</v>
      </c>
      <c r="F424" s="259"/>
      <c r="G424" s="259"/>
      <c r="H424" s="259"/>
      <c r="I424" s="259"/>
      <c r="J424" s="266">
        <v>510</v>
      </c>
      <c r="K424" s="265">
        <f>J424*E424</f>
        <v>8160</v>
      </c>
    </row>
    <row r="425" spans="1:11" ht="30">
      <c r="A425" s="259">
        <v>5</v>
      </c>
      <c r="B425" s="260" t="s">
        <v>233</v>
      </c>
      <c r="C425" s="261" t="s">
        <v>598</v>
      </c>
      <c r="D425" s="262" t="s">
        <v>40</v>
      </c>
      <c r="E425" s="263">
        <v>2</v>
      </c>
      <c r="F425" s="259"/>
      <c r="G425" s="259"/>
      <c r="H425" s="259"/>
      <c r="I425" s="259"/>
      <c r="J425" s="264">
        <v>185</v>
      </c>
      <c r="K425" s="267">
        <f>J425*E425</f>
        <v>370</v>
      </c>
    </row>
    <row r="426" spans="1:11" ht="16.5">
      <c r="A426" s="259">
        <v>6</v>
      </c>
      <c r="B426" s="260" t="s">
        <v>599</v>
      </c>
      <c r="C426" s="261" t="s">
        <v>600</v>
      </c>
      <c r="D426" s="268" t="s">
        <v>601</v>
      </c>
      <c r="E426" s="269">
        <v>379</v>
      </c>
      <c r="F426" s="259"/>
      <c r="G426" s="259"/>
      <c r="H426" s="259"/>
      <c r="I426" s="259"/>
      <c r="J426" s="266">
        <v>66.2</v>
      </c>
      <c r="K426" s="265">
        <f t="shared" ref="K426:K439" si="33">J426*E426</f>
        <v>25089.8</v>
      </c>
    </row>
    <row r="427" spans="1:11" ht="18.75">
      <c r="A427" s="259">
        <v>7</v>
      </c>
      <c r="B427" s="270" t="s">
        <v>390</v>
      </c>
      <c r="C427" s="271" t="s">
        <v>602</v>
      </c>
      <c r="D427" s="268" t="s">
        <v>37</v>
      </c>
      <c r="E427" s="269">
        <v>32</v>
      </c>
      <c r="F427" s="259"/>
      <c r="G427" s="259"/>
      <c r="H427" s="259"/>
      <c r="I427" s="259"/>
      <c r="J427" s="266">
        <v>120</v>
      </c>
      <c r="K427" s="267">
        <f t="shared" si="33"/>
        <v>3840</v>
      </c>
    </row>
    <row r="428" spans="1:11" ht="30">
      <c r="A428" s="259">
        <v>8</v>
      </c>
      <c r="B428" s="272" t="s">
        <v>411</v>
      </c>
      <c r="C428" s="261" t="s">
        <v>603</v>
      </c>
      <c r="D428" s="268" t="s">
        <v>268</v>
      </c>
      <c r="E428" s="269">
        <f>1.4-0.53-0.03</f>
        <v>0.83999999999999986</v>
      </c>
      <c r="F428" s="259"/>
      <c r="G428" s="259"/>
      <c r="H428" s="259"/>
      <c r="I428" s="259"/>
      <c r="J428" s="266">
        <v>18000</v>
      </c>
      <c r="K428" s="267">
        <f t="shared" si="33"/>
        <v>15119.999999999998</v>
      </c>
    </row>
    <row r="429" spans="1:11" ht="45">
      <c r="A429" s="259">
        <v>9</v>
      </c>
      <c r="B429" s="273" t="s">
        <v>237</v>
      </c>
      <c r="C429" s="271" t="s">
        <v>604</v>
      </c>
      <c r="D429" s="268" t="s">
        <v>193</v>
      </c>
      <c r="E429" s="274">
        <v>6</v>
      </c>
      <c r="F429" s="259"/>
      <c r="G429" s="259"/>
      <c r="H429" s="259"/>
      <c r="I429" s="259"/>
      <c r="J429" s="274">
        <v>3376.63</v>
      </c>
      <c r="K429" s="265">
        <f t="shared" si="33"/>
        <v>20259.78</v>
      </c>
    </row>
    <row r="430" spans="1:11" ht="15.75">
      <c r="A430" s="259">
        <v>10</v>
      </c>
      <c r="B430" s="272" t="s">
        <v>233</v>
      </c>
      <c r="C430" s="271" t="s">
        <v>605</v>
      </c>
      <c r="D430" s="268" t="s">
        <v>193</v>
      </c>
      <c r="E430" s="274">
        <v>1</v>
      </c>
      <c r="F430" s="259"/>
      <c r="G430" s="259"/>
      <c r="H430" s="259"/>
      <c r="I430" s="259"/>
      <c r="J430" s="274">
        <v>900</v>
      </c>
      <c r="K430" s="275">
        <f t="shared" si="33"/>
        <v>900</v>
      </c>
    </row>
    <row r="431" spans="1:11" ht="45">
      <c r="A431" s="259">
        <v>11</v>
      </c>
      <c r="B431" s="273" t="s">
        <v>237</v>
      </c>
      <c r="C431" s="271" t="s">
        <v>604</v>
      </c>
      <c r="D431" s="268" t="s">
        <v>193</v>
      </c>
      <c r="E431" s="276">
        <v>4</v>
      </c>
      <c r="F431" s="259"/>
      <c r="G431" s="259"/>
      <c r="H431" s="259"/>
      <c r="I431" s="259"/>
      <c r="J431" s="274">
        <v>7003.3</v>
      </c>
      <c r="K431" s="275">
        <f t="shared" si="33"/>
        <v>28013.200000000001</v>
      </c>
    </row>
    <row r="432" spans="1:11" ht="45">
      <c r="A432" s="259">
        <v>12</v>
      </c>
      <c r="B432" s="270" t="s">
        <v>606</v>
      </c>
      <c r="C432" s="271" t="s">
        <v>607</v>
      </c>
      <c r="D432" s="268" t="s">
        <v>193</v>
      </c>
      <c r="E432" s="274">
        <v>11</v>
      </c>
      <c r="F432" s="259"/>
      <c r="G432" s="259"/>
      <c r="H432" s="259"/>
      <c r="I432" s="259"/>
      <c r="J432" s="274">
        <v>5835.1</v>
      </c>
      <c r="K432" s="265">
        <f t="shared" si="33"/>
        <v>64186.100000000006</v>
      </c>
    </row>
    <row r="433" spans="1:11" ht="45">
      <c r="A433" s="259">
        <v>13</v>
      </c>
      <c r="B433" s="272" t="s">
        <v>233</v>
      </c>
      <c r="C433" s="271" t="s">
        <v>608</v>
      </c>
      <c r="D433" s="268" t="s">
        <v>193</v>
      </c>
      <c r="E433" s="274">
        <v>12</v>
      </c>
      <c r="F433" s="259"/>
      <c r="G433" s="259"/>
      <c r="H433" s="259"/>
      <c r="I433" s="259"/>
      <c r="J433" s="274">
        <v>690.3</v>
      </c>
      <c r="K433" s="275">
        <f t="shared" si="33"/>
        <v>8283.5999999999985</v>
      </c>
    </row>
    <row r="434" spans="1:11" ht="45">
      <c r="A434" s="259">
        <v>14</v>
      </c>
      <c r="B434" s="272" t="s">
        <v>251</v>
      </c>
      <c r="C434" s="271" t="s">
        <v>609</v>
      </c>
      <c r="D434" s="268" t="s">
        <v>193</v>
      </c>
      <c r="E434" s="274">
        <v>8</v>
      </c>
      <c r="F434" s="259"/>
      <c r="G434" s="259"/>
      <c r="H434" s="259"/>
      <c r="I434" s="259"/>
      <c r="J434" s="274">
        <v>672.6</v>
      </c>
      <c r="K434" s="265">
        <f t="shared" si="33"/>
        <v>5380.8</v>
      </c>
    </row>
    <row r="435" spans="1:11" ht="15.75">
      <c r="A435" s="259">
        <v>15</v>
      </c>
      <c r="B435" s="272" t="s">
        <v>610</v>
      </c>
      <c r="C435" s="271" t="s">
        <v>611</v>
      </c>
      <c r="D435" s="268" t="s">
        <v>193</v>
      </c>
      <c r="E435" s="274">
        <v>8</v>
      </c>
      <c r="F435" s="259"/>
      <c r="G435" s="259"/>
      <c r="H435" s="259"/>
      <c r="I435" s="259"/>
      <c r="J435" s="274">
        <v>2171.1999999999998</v>
      </c>
      <c r="K435" s="265">
        <f t="shared" si="33"/>
        <v>17369.599999999999</v>
      </c>
    </row>
    <row r="436" spans="1:11" ht="45">
      <c r="A436" s="259">
        <v>16</v>
      </c>
      <c r="B436" s="272" t="s">
        <v>240</v>
      </c>
      <c r="C436" s="271" t="s">
        <v>612</v>
      </c>
      <c r="D436" s="268" t="s">
        <v>193</v>
      </c>
      <c r="E436" s="274">
        <v>8</v>
      </c>
      <c r="F436" s="259"/>
      <c r="G436" s="259"/>
      <c r="H436" s="259"/>
      <c r="I436" s="259"/>
      <c r="J436" s="274">
        <v>1823.1</v>
      </c>
      <c r="K436" s="265">
        <f t="shared" si="33"/>
        <v>14584.8</v>
      </c>
    </row>
    <row r="437" spans="1:11" ht="45">
      <c r="A437" s="259">
        <v>17</v>
      </c>
      <c r="B437" s="277" t="s">
        <v>613</v>
      </c>
      <c r="C437" s="271" t="s">
        <v>614</v>
      </c>
      <c r="D437" s="268" t="s">
        <v>193</v>
      </c>
      <c r="E437" s="274">
        <v>6</v>
      </c>
      <c r="F437" s="259"/>
      <c r="G437" s="259"/>
      <c r="H437" s="259"/>
      <c r="I437" s="259"/>
      <c r="J437" s="274">
        <v>1085.5999999999999</v>
      </c>
      <c r="K437" s="265">
        <f t="shared" si="33"/>
        <v>6513.5999999999995</v>
      </c>
    </row>
    <row r="438" spans="1:11" ht="30">
      <c r="A438" s="259">
        <v>18</v>
      </c>
      <c r="B438" s="272" t="s">
        <v>244</v>
      </c>
      <c r="C438" s="271" t="s">
        <v>615</v>
      </c>
      <c r="D438" s="268" t="s">
        <v>193</v>
      </c>
      <c r="E438" s="274">
        <v>8</v>
      </c>
      <c r="F438" s="259"/>
      <c r="G438" s="259"/>
      <c r="H438" s="259"/>
      <c r="I438" s="259"/>
      <c r="J438" s="274">
        <v>1616.6</v>
      </c>
      <c r="K438" s="265">
        <f t="shared" si="33"/>
        <v>12932.8</v>
      </c>
    </row>
    <row r="439" spans="1:11" ht="45">
      <c r="A439" s="259">
        <v>19</v>
      </c>
      <c r="B439" s="272" t="s">
        <v>248</v>
      </c>
      <c r="C439" s="271" t="s">
        <v>616</v>
      </c>
      <c r="D439" s="268" t="s">
        <v>193</v>
      </c>
      <c r="E439" s="274">
        <v>8</v>
      </c>
      <c r="F439" s="259"/>
      <c r="G439" s="259"/>
      <c r="H439" s="259"/>
      <c r="I439" s="259"/>
      <c r="J439" s="274">
        <v>1858.5</v>
      </c>
      <c r="K439" s="265">
        <f t="shared" si="33"/>
        <v>14868</v>
      </c>
    </row>
    <row r="440" spans="1:11" ht="15.75">
      <c r="A440" s="259"/>
      <c r="B440" s="278"/>
      <c r="C440" s="279"/>
      <c r="D440" s="279"/>
      <c r="E440" s="279"/>
      <c r="F440" s="279"/>
      <c r="G440" s="279"/>
      <c r="H440" s="1293" t="s">
        <v>80</v>
      </c>
      <c r="I440" s="1294"/>
      <c r="J440" s="267"/>
      <c r="K440" s="280">
        <f>SUM(K421:K439)</f>
        <v>285302.08</v>
      </c>
    </row>
    <row r="441" spans="1:11" ht="18.75">
      <c r="A441" s="281"/>
      <c r="B441" s="1295" t="s">
        <v>617</v>
      </c>
      <c r="C441" s="1295"/>
      <c r="D441" s="1295"/>
      <c r="E441" s="1295"/>
      <c r="F441" s="1295"/>
      <c r="G441" s="1295"/>
      <c r="H441" s="1295"/>
      <c r="I441" s="1295"/>
      <c r="J441" s="1295"/>
      <c r="K441" s="1295"/>
    </row>
    <row r="442" spans="1:11">
      <c r="A442" s="1296" t="s">
        <v>209</v>
      </c>
      <c r="B442" s="1297" t="s">
        <v>210</v>
      </c>
      <c r="C442" s="1297" t="s">
        <v>211</v>
      </c>
      <c r="D442" s="1298" t="s">
        <v>112</v>
      </c>
      <c r="E442" s="1297" t="s">
        <v>212</v>
      </c>
      <c r="F442" s="1297"/>
      <c r="G442" s="1297"/>
      <c r="H442" s="1297"/>
      <c r="I442" s="1297"/>
      <c r="J442" s="259"/>
      <c r="K442" s="1297" t="s">
        <v>590</v>
      </c>
    </row>
    <row r="443" spans="1:11">
      <c r="A443" s="1297"/>
      <c r="B443" s="1297"/>
      <c r="C443" s="1297"/>
      <c r="D443" s="1299"/>
      <c r="E443" s="259" t="s">
        <v>114</v>
      </c>
      <c r="F443" s="259" t="s">
        <v>215</v>
      </c>
      <c r="G443" s="259" t="s">
        <v>1</v>
      </c>
      <c r="H443" s="259" t="s">
        <v>216</v>
      </c>
      <c r="I443" s="259" t="s">
        <v>217</v>
      </c>
      <c r="J443" s="259"/>
      <c r="K443" s="1297"/>
    </row>
    <row r="444" spans="1:11" ht="18.75">
      <c r="A444" s="259">
        <v>1</v>
      </c>
      <c r="B444" s="270" t="s">
        <v>257</v>
      </c>
      <c r="C444" s="282" t="s">
        <v>618</v>
      </c>
      <c r="D444" s="283" t="s">
        <v>601</v>
      </c>
      <c r="E444" s="259"/>
      <c r="F444" s="259"/>
      <c r="G444" s="259"/>
      <c r="H444" s="259"/>
      <c r="I444" s="284">
        <v>410</v>
      </c>
      <c r="J444" s="285">
        <v>35</v>
      </c>
      <c r="K444" s="280">
        <f t="shared" ref="K444:K445" si="34">J444*I444</f>
        <v>14350</v>
      </c>
    </row>
    <row r="445" spans="1:11" ht="30">
      <c r="A445" s="259">
        <v>2</v>
      </c>
      <c r="B445" s="272" t="s">
        <v>226</v>
      </c>
      <c r="C445" s="261" t="s">
        <v>619</v>
      </c>
      <c r="D445" s="268" t="s">
        <v>37</v>
      </c>
      <c r="E445" s="274"/>
      <c r="F445" s="259"/>
      <c r="G445" s="259"/>
      <c r="H445" s="259"/>
      <c r="I445" s="284">
        <v>36</v>
      </c>
      <c r="J445" s="285">
        <v>100</v>
      </c>
      <c r="K445" s="280">
        <f t="shared" si="34"/>
        <v>3600</v>
      </c>
    </row>
    <row r="446" spans="1:11">
      <c r="A446" s="279"/>
      <c r="B446" s="279"/>
      <c r="C446" s="279"/>
      <c r="D446" s="279"/>
      <c r="E446" s="279"/>
      <c r="F446" s="279"/>
      <c r="G446" s="279"/>
      <c r="H446" s="1304" t="s">
        <v>80</v>
      </c>
      <c r="I446" s="1304"/>
      <c r="J446" s="278"/>
      <c r="K446" s="280">
        <f>SUM(K444:K445)</f>
        <v>17950</v>
      </c>
    </row>
    <row r="447" spans="1:11" ht="18.75">
      <c r="A447" s="281"/>
      <c r="B447" s="1295" t="s">
        <v>620</v>
      </c>
      <c r="C447" s="1295"/>
      <c r="D447" s="1295"/>
      <c r="E447" s="1295"/>
      <c r="F447" s="1295"/>
      <c r="G447" s="1295"/>
      <c r="H447" s="1295"/>
      <c r="I447" s="1295"/>
      <c r="J447" s="1295"/>
      <c r="K447" s="1295"/>
    </row>
    <row r="448" spans="1:11">
      <c r="A448" s="1296" t="s">
        <v>209</v>
      </c>
      <c r="B448" s="1297" t="s">
        <v>210</v>
      </c>
      <c r="C448" s="1297" t="s">
        <v>211</v>
      </c>
      <c r="D448" s="1298" t="s">
        <v>112</v>
      </c>
      <c r="E448" s="1297" t="s">
        <v>212</v>
      </c>
      <c r="F448" s="1297"/>
      <c r="G448" s="1297"/>
      <c r="H448" s="1297"/>
      <c r="I448" s="1297"/>
      <c r="J448" s="259"/>
      <c r="K448" s="1297" t="s">
        <v>590</v>
      </c>
    </row>
    <row r="449" spans="1:16">
      <c r="A449" s="1297"/>
      <c r="B449" s="1297"/>
      <c r="C449" s="1297"/>
      <c r="D449" s="1299"/>
      <c r="E449" s="259" t="s">
        <v>114</v>
      </c>
      <c r="F449" s="259" t="s">
        <v>215</v>
      </c>
      <c r="G449" s="259" t="s">
        <v>1</v>
      </c>
      <c r="H449" s="259" t="s">
        <v>216</v>
      </c>
      <c r="I449" s="259" t="s">
        <v>217</v>
      </c>
      <c r="J449" s="259"/>
      <c r="K449" s="1297"/>
    </row>
    <row r="450" spans="1:16" ht="15.75">
      <c r="A450" s="259">
        <v>1</v>
      </c>
      <c r="B450" s="286" t="s">
        <v>621</v>
      </c>
      <c r="C450" s="287" t="s">
        <v>622</v>
      </c>
      <c r="D450" s="283" t="s">
        <v>37</v>
      </c>
      <c r="E450" s="259">
        <v>1</v>
      </c>
      <c r="F450" s="259"/>
      <c r="G450" s="259"/>
      <c r="H450" s="259"/>
      <c r="I450" s="288"/>
      <c r="J450" s="285">
        <v>67850</v>
      </c>
      <c r="K450" s="280">
        <f>E450*J450</f>
        <v>67850</v>
      </c>
    </row>
    <row r="451" spans="1:16">
      <c r="A451" s="279"/>
      <c r="B451" s="279"/>
      <c r="C451" s="279"/>
      <c r="D451" s="279"/>
      <c r="E451" s="279"/>
      <c r="F451" s="279"/>
      <c r="G451" s="279"/>
      <c r="H451" s="1304" t="s">
        <v>80</v>
      </c>
      <c r="I451" s="1304"/>
      <c r="J451" s="278"/>
      <c r="K451" s="280">
        <f>SUM(K450:K450)</f>
        <v>67850</v>
      </c>
    </row>
    <row r="452" spans="1:16">
      <c r="A452" s="256"/>
      <c r="B452" s="256"/>
      <c r="C452" s="289"/>
      <c r="D452" s="289"/>
      <c r="E452" s="289"/>
      <c r="F452" s="289"/>
      <c r="G452" s="289"/>
      <c r="H452" s="290"/>
      <c r="I452" s="290"/>
      <c r="J452" s="290"/>
      <c r="K452" s="291"/>
    </row>
    <row r="453" spans="1:16">
      <c r="A453" s="256"/>
      <c r="B453" s="256"/>
      <c r="C453" s="256" t="s">
        <v>623</v>
      </c>
      <c r="D453" s="256"/>
      <c r="E453" s="256"/>
      <c r="F453" s="256" t="s">
        <v>624</v>
      </c>
      <c r="G453" s="256"/>
      <c r="H453" s="256"/>
      <c r="I453" s="256"/>
      <c r="J453" s="256"/>
      <c r="K453" s="256" t="s">
        <v>625</v>
      </c>
    </row>
    <row r="454" spans="1:16">
      <c r="A454" s="256"/>
      <c r="B454" s="256"/>
      <c r="C454" s="256"/>
      <c r="D454" s="256"/>
      <c r="E454" s="256"/>
      <c r="F454" s="256"/>
      <c r="G454" s="256"/>
      <c r="H454" s="256"/>
      <c r="I454" s="256"/>
      <c r="J454" s="256"/>
      <c r="K454" s="256"/>
    </row>
    <row r="457" spans="1:16" ht="15.75">
      <c r="A457" s="293" t="s">
        <v>626</v>
      </c>
      <c r="B457" s="292"/>
      <c r="C457" s="293"/>
      <c r="D457" s="293"/>
      <c r="E457" s="310"/>
      <c r="F457" s="311"/>
      <c r="G457" s="311" t="s">
        <v>627</v>
      </c>
      <c r="H457" s="312" t="s">
        <v>628</v>
      </c>
      <c r="I457" s="311"/>
      <c r="J457" s="311"/>
      <c r="K457" s="311"/>
      <c r="L457" s="1305" t="s">
        <v>629</v>
      </c>
      <c r="M457" s="1305"/>
      <c r="N457" s="1305"/>
      <c r="O457" s="1305"/>
      <c r="P457" s="1305"/>
    </row>
    <row r="458" spans="1:16" ht="15.75">
      <c r="A458" s="1306" t="s">
        <v>630</v>
      </c>
      <c r="B458" s="1306"/>
      <c r="C458" s="1306"/>
      <c r="D458" s="1306"/>
      <c r="E458" s="310"/>
      <c r="F458" s="311"/>
      <c r="G458" s="311"/>
      <c r="H458" s="1307" t="s">
        <v>631</v>
      </c>
      <c r="I458" s="1307"/>
      <c r="J458" s="1307"/>
      <c r="K458" s="311"/>
      <c r="L458" s="311"/>
      <c r="M458" s="1308" t="s">
        <v>632</v>
      </c>
      <c r="N458" s="1308"/>
      <c r="O458" s="1308"/>
      <c r="P458" s="1308"/>
    </row>
    <row r="459" spans="1:16" ht="15.75">
      <c r="A459" s="1306" t="s">
        <v>630</v>
      </c>
      <c r="B459" s="1306"/>
      <c r="C459" s="1306"/>
      <c r="D459" s="1306"/>
      <c r="E459" s="1306"/>
      <c r="F459" s="311"/>
      <c r="G459" s="311"/>
      <c r="H459" s="311"/>
      <c r="I459" s="311"/>
      <c r="J459" s="311"/>
      <c r="K459" s="311"/>
      <c r="L459" s="311"/>
      <c r="M459" s="311"/>
      <c r="N459" s="311"/>
      <c r="O459" s="311"/>
      <c r="P459" s="313"/>
    </row>
    <row r="460" spans="1:16" ht="15.75">
      <c r="A460" s="1306" t="s">
        <v>633</v>
      </c>
      <c r="B460" s="1306"/>
      <c r="C460" s="1306"/>
      <c r="D460" s="1306"/>
      <c r="E460" s="1306"/>
      <c r="F460" s="311"/>
      <c r="G460" s="293"/>
      <c r="H460" s="311"/>
      <c r="I460" s="311"/>
      <c r="J460" s="311"/>
      <c r="K460" s="311"/>
      <c r="L460" s="311"/>
      <c r="M460" s="311"/>
      <c r="N460" s="311"/>
      <c r="O460" s="311"/>
      <c r="P460" s="313"/>
    </row>
    <row r="461" spans="1:16" ht="15.75">
      <c r="A461" s="1315" t="s">
        <v>634</v>
      </c>
      <c r="B461" s="1315"/>
      <c r="C461" s="1315"/>
      <c r="D461" s="1315"/>
      <c r="E461" s="1315"/>
      <c r="F461" s="311"/>
      <c r="G461" s="311"/>
      <c r="H461" s="311"/>
      <c r="I461" s="311"/>
      <c r="J461" s="311"/>
      <c r="K461" s="311"/>
      <c r="L461" s="311"/>
      <c r="M461" s="311"/>
      <c r="N461" s="311"/>
      <c r="O461" s="311"/>
      <c r="P461" s="313"/>
    </row>
    <row r="462" spans="1:16" ht="31.5">
      <c r="A462" s="240" t="s">
        <v>109</v>
      </c>
      <c r="B462" s="294" t="s">
        <v>110</v>
      </c>
      <c r="C462" s="295" t="s">
        <v>111</v>
      </c>
      <c r="D462" s="294" t="s">
        <v>112</v>
      </c>
      <c r="E462" s="294" t="s">
        <v>113</v>
      </c>
      <c r="F462" s="1309" t="s">
        <v>114</v>
      </c>
      <c r="G462" s="1310"/>
      <c r="H462" s="1309" t="s">
        <v>115</v>
      </c>
      <c r="I462" s="1310"/>
      <c r="J462" s="1309" t="s">
        <v>116</v>
      </c>
      <c r="K462" s="1310"/>
      <c r="L462" s="1309" t="s">
        <v>1</v>
      </c>
      <c r="M462" s="1310"/>
      <c r="N462" s="1309" t="s">
        <v>0</v>
      </c>
      <c r="O462" s="1310"/>
      <c r="P462" s="1311" t="s">
        <v>117</v>
      </c>
    </row>
    <row r="463" spans="1:16" ht="47.25">
      <c r="A463" s="240"/>
      <c r="B463" s="294"/>
      <c r="C463" s="295"/>
      <c r="D463" s="314"/>
      <c r="E463" s="314"/>
      <c r="F463" s="294" t="s">
        <v>118</v>
      </c>
      <c r="G463" s="294" t="s">
        <v>119</v>
      </c>
      <c r="H463" s="294" t="s">
        <v>118</v>
      </c>
      <c r="I463" s="294" t="s">
        <v>119</v>
      </c>
      <c r="J463" s="294" t="s">
        <v>118</v>
      </c>
      <c r="K463" s="294" t="s">
        <v>119</v>
      </c>
      <c r="L463" s="294" t="s">
        <v>118</v>
      </c>
      <c r="M463" s="294" t="s">
        <v>119</v>
      </c>
      <c r="N463" s="294" t="s">
        <v>118</v>
      </c>
      <c r="O463" s="294" t="s">
        <v>119</v>
      </c>
      <c r="P463" s="1311"/>
    </row>
    <row r="464" spans="1:16" ht="15.75">
      <c r="A464" s="315">
        <v>5</v>
      </c>
      <c r="B464" s="240" t="s">
        <v>635</v>
      </c>
      <c r="C464" s="13" t="s">
        <v>636</v>
      </c>
      <c r="D464" s="17" t="s">
        <v>195</v>
      </c>
      <c r="E464" s="316">
        <v>19.600000000000001</v>
      </c>
      <c r="F464" s="309">
        <v>718</v>
      </c>
      <c r="G464" s="317">
        <f t="shared" ref="G464:G527" si="35">E464*F464</f>
        <v>14072.800000000001</v>
      </c>
      <c r="H464" s="318"/>
      <c r="I464" s="319">
        <f t="shared" ref="I464:I502" si="36">H464*E464</f>
        <v>0</v>
      </c>
      <c r="J464" s="318"/>
      <c r="K464" s="294">
        <f t="shared" ref="K464:K503" si="37">E464*J464</f>
        <v>0</v>
      </c>
      <c r="L464" s="296"/>
      <c r="M464" s="294">
        <f t="shared" ref="M464:M503" si="38">E464*L464</f>
        <v>0</v>
      </c>
      <c r="N464" s="296">
        <v>0</v>
      </c>
      <c r="O464" s="294">
        <f t="shared" ref="O464:O527" si="39">E464*N464</f>
        <v>0</v>
      </c>
      <c r="P464" s="316">
        <f>G464+I464+K464+M464+O464</f>
        <v>14072.800000000001</v>
      </c>
    </row>
    <row r="465" spans="1:16" ht="31.5">
      <c r="A465" s="315">
        <v>6</v>
      </c>
      <c r="B465" s="240" t="s">
        <v>637</v>
      </c>
      <c r="C465" s="13" t="s">
        <v>638</v>
      </c>
      <c r="D465" s="17" t="s">
        <v>195</v>
      </c>
      <c r="E465" s="316">
        <v>28.74</v>
      </c>
      <c r="F465" s="320">
        <v>2465</v>
      </c>
      <c r="G465" s="317">
        <f t="shared" si="35"/>
        <v>70844.099999999991</v>
      </c>
      <c r="H465" s="318"/>
      <c r="I465" s="319">
        <f t="shared" si="36"/>
        <v>0</v>
      </c>
      <c r="J465" s="296"/>
      <c r="K465" s="294">
        <f t="shared" si="37"/>
        <v>0</v>
      </c>
      <c r="L465" s="296"/>
      <c r="M465" s="294">
        <f t="shared" si="38"/>
        <v>0</v>
      </c>
      <c r="N465" s="296">
        <v>0</v>
      </c>
      <c r="O465" s="294">
        <f t="shared" si="39"/>
        <v>0</v>
      </c>
      <c r="P465" s="316">
        <f t="shared" ref="P465:P502" si="40">G465+I465+K465+M465+O465</f>
        <v>70844.099999999991</v>
      </c>
    </row>
    <row r="466" spans="1:16" ht="31.5">
      <c r="A466" s="315">
        <v>7</v>
      </c>
      <c r="B466" s="296" t="s">
        <v>639</v>
      </c>
      <c r="C466" s="13" t="s">
        <v>640</v>
      </c>
      <c r="D466" s="17" t="s">
        <v>195</v>
      </c>
      <c r="E466" s="316">
        <v>28.74</v>
      </c>
      <c r="F466" s="320">
        <v>1119.6500000000001</v>
      </c>
      <c r="G466" s="317">
        <f t="shared" si="35"/>
        <v>32178.741000000002</v>
      </c>
      <c r="H466" s="318"/>
      <c r="I466" s="319">
        <f t="shared" si="36"/>
        <v>0</v>
      </c>
      <c r="J466" s="296"/>
      <c r="K466" s="294">
        <f t="shared" si="37"/>
        <v>0</v>
      </c>
      <c r="L466" s="296"/>
      <c r="M466" s="294">
        <f t="shared" si="38"/>
        <v>0</v>
      </c>
      <c r="N466" s="296">
        <v>0</v>
      </c>
      <c r="O466" s="294">
        <f t="shared" si="39"/>
        <v>0</v>
      </c>
      <c r="P466" s="316">
        <f t="shared" si="40"/>
        <v>32178.741000000002</v>
      </c>
    </row>
    <row r="467" spans="1:16" ht="15.75">
      <c r="A467" s="315">
        <v>8</v>
      </c>
      <c r="B467" s="296" t="s">
        <v>641</v>
      </c>
      <c r="C467" s="13" t="s">
        <v>642</v>
      </c>
      <c r="D467" s="17" t="s">
        <v>195</v>
      </c>
      <c r="E467" s="316">
        <v>28.74</v>
      </c>
      <c r="F467" s="320">
        <v>2903.7049999999999</v>
      </c>
      <c r="G467" s="317">
        <f t="shared" si="35"/>
        <v>83452.481699999989</v>
      </c>
      <c r="H467" s="318"/>
      <c r="I467" s="319">
        <f t="shared" si="36"/>
        <v>0</v>
      </c>
      <c r="J467" s="296"/>
      <c r="K467" s="294">
        <f t="shared" si="37"/>
        <v>0</v>
      </c>
      <c r="L467" s="296"/>
      <c r="M467" s="294">
        <f t="shared" si="38"/>
        <v>0</v>
      </c>
      <c r="N467" s="296">
        <v>0</v>
      </c>
      <c r="O467" s="294">
        <f t="shared" si="39"/>
        <v>0</v>
      </c>
      <c r="P467" s="316">
        <f t="shared" si="40"/>
        <v>83452.481699999989</v>
      </c>
    </row>
    <row r="468" spans="1:16" ht="15.75">
      <c r="A468" s="315">
        <v>9</v>
      </c>
      <c r="B468" s="296" t="s">
        <v>643</v>
      </c>
      <c r="C468" s="13" t="s">
        <v>644</v>
      </c>
      <c r="D468" s="17" t="s">
        <v>195</v>
      </c>
      <c r="E468" s="316">
        <v>28.74</v>
      </c>
      <c r="F468" s="320">
        <v>354.23</v>
      </c>
      <c r="G468" s="317">
        <f t="shared" si="35"/>
        <v>10180.5702</v>
      </c>
      <c r="H468" s="318"/>
      <c r="I468" s="319">
        <f t="shared" si="36"/>
        <v>0</v>
      </c>
      <c r="J468" s="296"/>
      <c r="K468" s="294">
        <f t="shared" si="37"/>
        <v>0</v>
      </c>
      <c r="L468" s="296"/>
      <c r="M468" s="294">
        <f t="shared" si="38"/>
        <v>0</v>
      </c>
      <c r="N468" s="296">
        <v>0</v>
      </c>
      <c r="O468" s="294">
        <f t="shared" si="39"/>
        <v>0</v>
      </c>
      <c r="P468" s="316">
        <f t="shared" si="40"/>
        <v>10180.5702</v>
      </c>
    </row>
    <row r="469" spans="1:16" ht="31.5">
      <c r="A469" s="315">
        <v>10</v>
      </c>
      <c r="B469" s="296" t="s">
        <v>645</v>
      </c>
      <c r="C469" s="13" t="s">
        <v>646</v>
      </c>
      <c r="D469" s="17" t="s">
        <v>46</v>
      </c>
      <c r="E469" s="316">
        <v>250</v>
      </c>
      <c r="F469" s="309">
        <v>38</v>
      </c>
      <c r="G469" s="317">
        <f t="shared" si="35"/>
        <v>9500</v>
      </c>
      <c r="H469" s="318"/>
      <c r="I469" s="319">
        <f t="shared" si="36"/>
        <v>0</v>
      </c>
      <c r="J469" s="318"/>
      <c r="K469" s="294">
        <f t="shared" si="37"/>
        <v>0</v>
      </c>
      <c r="L469" s="296"/>
      <c r="M469" s="294">
        <f t="shared" si="38"/>
        <v>0</v>
      </c>
      <c r="N469" s="296">
        <v>0</v>
      </c>
      <c r="O469" s="294">
        <f t="shared" si="39"/>
        <v>0</v>
      </c>
      <c r="P469" s="316">
        <f t="shared" si="40"/>
        <v>9500</v>
      </c>
    </row>
    <row r="470" spans="1:16" ht="31.5">
      <c r="A470" s="315">
        <v>11</v>
      </c>
      <c r="B470" s="296" t="s">
        <v>387</v>
      </c>
      <c r="C470" s="13" t="s">
        <v>647</v>
      </c>
      <c r="D470" s="17" t="s">
        <v>46</v>
      </c>
      <c r="E470" s="316">
        <v>132.75</v>
      </c>
      <c r="F470" s="309">
        <v>57</v>
      </c>
      <c r="G470" s="317">
        <f t="shared" si="35"/>
        <v>7566.75</v>
      </c>
      <c r="H470" s="318"/>
      <c r="I470" s="319">
        <f t="shared" si="36"/>
        <v>0</v>
      </c>
      <c r="J470" s="318"/>
      <c r="K470" s="294">
        <f t="shared" si="37"/>
        <v>0</v>
      </c>
      <c r="L470" s="296"/>
      <c r="M470" s="294">
        <f t="shared" si="38"/>
        <v>0</v>
      </c>
      <c r="N470" s="296">
        <v>0</v>
      </c>
      <c r="O470" s="294">
        <f t="shared" si="39"/>
        <v>0</v>
      </c>
      <c r="P470" s="316">
        <f t="shared" si="40"/>
        <v>7566.75</v>
      </c>
    </row>
    <row r="471" spans="1:16" ht="47.25">
      <c r="A471" s="315">
        <v>12</v>
      </c>
      <c r="B471" s="296" t="s">
        <v>648</v>
      </c>
      <c r="C471" s="13" t="s">
        <v>649</v>
      </c>
      <c r="D471" s="17" t="s">
        <v>5</v>
      </c>
      <c r="E471" s="316">
        <v>11917.5</v>
      </c>
      <c r="F471" s="309">
        <v>1</v>
      </c>
      <c r="G471" s="317">
        <f t="shared" si="35"/>
        <v>11917.5</v>
      </c>
      <c r="H471" s="318"/>
      <c r="I471" s="319">
        <f t="shared" si="36"/>
        <v>0</v>
      </c>
      <c r="J471" s="318"/>
      <c r="K471" s="294">
        <f t="shared" si="37"/>
        <v>0</v>
      </c>
      <c r="L471" s="296"/>
      <c r="M471" s="294">
        <f t="shared" si="38"/>
        <v>0</v>
      </c>
      <c r="N471" s="296">
        <v>0</v>
      </c>
      <c r="O471" s="294">
        <f t="shared" si="39"/>
        <v>0</v>
      </c>
      <c r="P471" s="316">
        <f t="shared" si="40"/>
        <v>11917.5</v>
      </c>
    </row>
    <row r="472" spans="1:16" ht="47.25">
      <c r="A472" s="315">
        <v>13</v>
      </c>
      <c r="B472" s="296" t="s">
        <v>260</v>
      </c>
      <c r="C472" s="13" t="s">
        <v>650</v>
      </c>
      <c r="D472" s="17" t="s">
        <v>5</v>
      </c>
      <c r="E472" s="316">
        <v>1912.48</v>
      </c>
      <c r="F472" s="309">
        <v>15</v>
      </c>
      <c r="G472" s="317">
        <f t="shared" si="35"/>
        <v>28687.200000000001</v>
      </c>
      <c r="H472" s="318"/>
      <c r="I472" s="319">
        <f t="shared" si="36"/>
        <v>0</v>
      </c>
      <c r="J472" s="318"/>
      <c r="K472" s="294">
        <f t="shared" si="37"/>
        <v>0</v>
      </c>
      <c r="L472" s="296"/>
      <c r="M472" s="294">
        <f t="shared" si="38"/>
        <v>0</v>
      </c>
      <c r="N472" s="296">
        <v>0</v>
      </c>
      <c r="O472" s="294">
        <f t="shared" si="39"/>
        <v>0</v>
      </c>
      <c r="P472" s="316">
        <f t="shared" si="40"/>
        <v>28687.200000000001</v>
      </c>
    </row>
    <row r="473" spans="1:16" ht="31.5">
      <c r="A473" s="315">
        <v>14</v>
      </c>
      <c r="B473" s="296" t="s">
        <v>651</v>
      </c>
      <c r="C473" s="13" t="s">
        <v>652</v>
      </c>
      <c r="D473" s="17" t="s">
        <v>5</v>
      </c>
      <c r="E473" s="316">
        <v>12100</v>
      </c>
      <c r="F473" s="309">
        <v>2</v>
      </c>
      <c r="G473" s="317">
        <f t="shared" si="35"/>
        <v>24200</v>
      </c>
      <c r="H473" s="318"/>
      <c r="I473" s="319">
        <f t="shared" si="36"/>
        <v>0</v>
      </c>
      <c r="J473" s="318"/>
      <c r="K473" s="294">
        <f t="shared" si="37"/>
        <v>0</v>
      </c>
      <c r="L473" s="296"/>
      <c r="M473" s="294">
        <f t="shared" si="38"/>
        <v>0</v>
      </c>
      <c r="N473" s="296">
        <v>0</v>
      </c>
      <c r="O473" s="294">
        <f t="shared" si="39"/>
        <v>0</v>
      </c>
      <c r="P473" s="316">
        <f t="shared" si="40"/>
        <v>24200</v>
      </c>
    </row>
    <row r="474" spans="1:16" ht="47.25">
      <c r="A474" s="315">
        <v>15</v>
      </c>
      <c r="B474" s="296" t="s">
        <v>405</v>
      </c>
      <c r="C474" s="13" t="s">
        <v>653</v>
      </c>
      <c r="D474" s="17" t="s">
        <v>5</v>
      </c>
      <c r="E474" s="316">
        <v>2815</v>
      </c>
      <c r="F474" s="309">
        <v>2</v>
      </c>
      <c r="G474" s="317">
        <f t="shared" si="35"/>
        <v>5630</v>
      </c>
      <c r="H474" s="318"/>
      <c r="I474" s="319">
        <f t="shared" si="36"/>
        <v>0</v>
      </c>
      <c r="J474" s="318"/>
      <c r="K474" s="294">
        <f t="shared" si="37"/>
        <v>0</v>
      </c>
      <c r="L474" s="296"/>
      <c r="M474" s="294">
        <f t="shared" si="38"/>
        <v>0</v>
      </c>
      <c r="N474" s="296">
        <v>0</v>
      </c>
      <c r="O474" s="294">
        <f t="shared" si="39"/>
        <v>0</v>
      </c>
      <c r="P474" s="316">
        <f t="shared" si="40"/>
        <v>5630</v>
      </c>
    </row>
    <row r="475" spans="1:16" ht="31.5">
      <c r="A475" s="315">
        <v>16</v>
      </c>
      <c r="B475" s="296" t="s">
        <v>340</v>
      </c>
      <c r="C475" s="13" t="s">
        <v>654</v>
      </c>
      <c r="D475" s="17" t="s">
        <v>5</v>
      </c>
      <c r="E475" s="316">
        <v>1123.5999999999999</v>
      </c>
      <c r="F475" s="309">
        <v>3</v>
      </c>
      <c r="G475" s="317">
        <f t="shared" si="35"/>
        <v>3370.7999999999997</v>
      </c>
      <c r="H475" s="318"/>
      <c r="I475" s="319">
        <f t="shared" si="36"/>
        <v>0</v>
      </c>
      <c r="J475" s="318"/>
      <c r="K475" s="294">
        <f t="shared" si="37"/>
        <v>0</v>
      </c>
      <c r="L475" s="296"/>
      <c r="M475" s="294">
        <f t="shared" si="38"/>
        <v>0</v>
      </c>
      <c r="N475" s="296">
        <v>0</v>
      </c>
      <c r="O475" s="294">
        <f t="shared" si="39"/>
        <v>0</v>
      </c>
      <c r="P475" s="316">
        <f t="shared" si="40"/>
        <v>3370.7999999999997</v>
      </c>
    </row>
    <row r="476" spans="1:16" ht="47.25">
      <c r="A476" s="315">
        <v>17</v>
      </c>
      <c r="B476" s="296" t="s">
        <v>655</v>
      </c>
      <c r="C476" s="13" t="s">
        <v>656</v>
      </c>
      <c r="D476" s="17" t="s">
        <v>5</v>
      </c>
      <c r="E476" s="316">
        <v>519.79999999999995</v>
      </c>
      <c r="F476" s="321">
        <v>4</v>
      </c>
      <c r="G476" s="317">
        <f t="shared" si="35"/>
        <v>2079.1999999999998</v>
      </c>
      <c r="H476" s="318"/>
      <c r="I476" s="319">
        <f t="shared" si="36"/>
        <v>0</v>
      </c>
      <c r="J476" s="318"/>
      <c r="K476" s="294">
        <f t="shared" si="37"/>
        <v>0</v>
      </c>
      <c r="L476" s="296"/>
      <c r="M476" s="294">
        <f t="shared" si="38"/>
        <v>0</v>
      </c>
      <c r="N476" s="296">
        <v>0</v>
      </c>
      <c r="O476" s="294">
        <f t="shared" si="39"/>
        <v>0</v>
      </c>
      <c r="P476" s="316">
        <f t="shared" si="40"/>
        <v>2079.1999999999998</v>
      </c>
    </row>
    <row r="477" spans="1:16" ht="31.5">
      <c r="A477" s="315">
        <v>18</v>
      </c>
      <c r="B477" s="296" t="s">
        <v>393</v>
      </c>
      <c r="C477" s="13" t="s">
        <v>657</v>
      </c>
      <c r="D477" s="17" t="s">
        <v>365</v>
      </c>
      <c r="E477" s="316">
        <v>81207</v>
      </c>
      <c r="F477" s="320">
        <v>0.4</v>
      </c>
      <c r="G477" s="317">
        <f t="shared" si="35"/>
        <v>32482.800000000003</v>
      </c>
      <c r="H477" s="318"/>
      <c r="I477" s="319">
        <f t="shared" si="36"/>
        <v>0</v>
      </c>
      <c r="J477" s="318"/>
      <c r="K477" s="294">
        <f t="shared" si="37"/>
        <v>0</v>
      </c>
      <c r="L477" s="296"/>
      <c r="M477" s="294">
        <f t="shared" si="38"/>
        <v>0</v>
      </c>
      <c r="N477" s="296">
        <v>0</v>
      </c>
      <c r="O477" s="294">
        <f t="shared" si="39"/>
        <v>0</v>
      </c>
      <c r="P477" s="316">
        <f t="shared" si="40"/>
        <v>32482.800000000003</v>
      </c>
    </row>
    <row r="478" spans="1:16" ht="31.5">
      <c r="A478" s="315">
        <v>19</v>
      </c>
      <c r="B478" s="296" t="s">
        <v>395</v>
      </c>
      <c r="C478" s="13" t="s">
        <v>658</v>
      </c>
      <c r="D478" s="17" t="s">
        <v>365</v>
      </c>
      <c r="E478" s="316">
        <v>140002.29999999999</v>
      </c>
      <c r="F478" s="320">
        <v>0.3</v>
      </c>
      <c r="G478" s="317">
        <f t="shared" si="35"/>
        <v>42000.689999999995</v>
      </c>
      <c r="H478" s="318"/>
      <c r="I478" s="319">
        <f t="shared" si="36"/>
        <v>0</v>
      </c>
      <c r="J478" s="318"/>
      <c r="K478" s="294">
        <f t="shared" si="37"/>
        <v>0</v>
      </c>
      <c r="L478" s="296"/>
      <c r="M478" s="294">
        <f t="shared" si="38"/>
        <v>0</v>
      </c>
      <c r="N478" s="296">
        <v>0</v>
      </c>
      <c r="O478" s="294">
        <f t="shared" si="39"/>
        <v>0</v>
      </c>
      <c r="P478" s="316">
        <f t="shared" si="40"/>
        <v>42000.689999999995</v>
      </c>
    </row>
    <row r="479" spans="1:16" ht="47.25">
      <c r="A479" s="315">
        <v>20</v>
      </c>
      <c r="B479" s="296" t="s">
        <v>659</v>
      </c>
      <c r="C479" s="13" t="s">
        <v>660</v>
      </c>
      <c r="D479" s="17" t="s">
        <v>5</v>
      </c>
      <c r="E479" s="316">
        <v>179286.22</v>
      </c>
      <c r="F479" s="309">
        <v>1</v>
      </c>
      <c r="G479" s="317">
        <f t="shared" si="35"/>
        <v>179286.22</v>
      </c>
      <c r="H479" s="296"/>
      <c r="I479" s="319">
        <f t="shared" si="36"/>
        <v>0</v>
      </c>
      <c r="J479" s="296"/>
      <c r="K479" s="294">
        <f t="shared" si="37"/>
        <v>0</v>
      </c>
      <c r="L479" s="296"/>
      <c r="M479" s="294">
        <f t="shared" si="38"/>
        <v>0</v>
      </c>
      <c r="N479" s="296">
        <v>0</v>
      </c>
      <c r="O479" s="294">
        <f t="shared" si="39"/>
        <v>0</v>
      </c>
      <c r="P479" s="316">
        <f t="shared" si="40"/>
        <v>179286.22</v>
      </c>
    </row>
    <row r="480" spans="1:16" ht="31.5">
      <c r="A480" s="315">
        <v>21</v>
      </c>
      <c r="B480" s="296" t="s">
        <v>661</v>
      </c>
      <c r="C480" s="13" t="s">
        <v>662</v>
      </c>
      <c r="D480" s="17" t="s">
        <v>5</v>
      </c>
      <c r="E480" s="316">
        <v>3825</v>
      </c>
      <c r="F480" s="321">
        <v>6</v>
      </c>
      <c r="G480" s="317">
        <f t="shared" si="35"/>
        <v>22950</v>
      </c>
      <c r="H480" s="318"/>
      <c r="I480" s="319">
        <f t="shared" si="36"/>
        <v>0</v>
      </c>
      <c r="J480" s="318"/>
      <c r="K480" s="294">
        <f t="shared" si="37"/>
        <v>0</v>
      </c>
      <c r="L480" s="296"/>
      <c r="M480" s="294">
        <f t="shared" si="38"/>
        <v>0</v>
      </c>
      <c r="N480" s="296">
        <v>0</v>
      </c>
      <c r="O480" s="294">
        <f t="shared" si="39"/>
        <v>0</v>
      </c>
      <c r="P480" s="316">
        <f t="shared" si="40"/>
        <v>22950</v>
      </c>
    </row>
    <row r="481" spans="1:16" ht="15.75">
      <c r="A481" s="315">
        <v>22</v>
      </c>
      <c r="B481" s="296" t="s">
        <v>237</v>
      </c>
      <c r="C481" s="13" t="s">
        <v>663</v>
      </c>
      <c r="D481" s="17" t="s">
        <v>5</v>
      </c>
      <c r="E481" s="316">
        <v>900</v>
      </c>
      <c r="F481" s="309">
        <v>10</v>
      </c>
      <c r="G481" s="317">
        <f t="shared" si="35"/>
        <v>9000</v>
      </c>
      <c r="H481" s="318"/>
      <c r="I481" s="319">
        <f t="shared" si="36"/>
        <v>0</v>
      </c>
      <c r="J481" s="318"/>
      <c r="K481" s="294">
        <f t="shared" si="37"/>
        <v>0</v>
      </c>
      <c r="L481" s="296"/>
      <c r="M481" s="294">
        <f t="shared" si="38"/>
        <v>0</v>
      </c>
      <c r="N481" s="296">
        <v>0</v>
      </c>
      <c r="O481" s="294">
        <f t="shared" si="39"/>
        <v>0</v>
      </c>
      <c r="P481" s="316">
        <f t="shared" si="40"/>
        <v>9000</v>
      </c>
    </row>
    <row r="482" spans="1:16" ht="63">
      <c r="A482" s="315">
        <v>23</v>
      </c>
      <c r="B482" s="296" t="s">
        <v>664</v>
      </c>
      <c r="C482" s="297" t="s">
        <v>665</v>
      </c>
      <c r="D482" s="17" t="s">
        <v>40</v>
      </c>
      <c r="E482" s="316">
        <v>1500</v>
      </c>
      <c r="F482" s="309">
        <v>0</v>
      </c>
      <c r="G482" s="317">
        <f t="shared" si="35"/>
        <v>0</v>
      </c>
      <c r="H482" s="296">
        <v>0</v>
      </c>
      <c r="I482" s="319">
        <f t="shared" si="36"/>
        <v>0</v>
      </c>
      <c r="J482" s="318"/>
      <c r="K482" s="294">
        <f t="shared" si="37"/>
        <v>0</v>
      </c>
      <c r="L482" s="296"/>
      <c r="M482" s="294">
        <f t="shared" si="38"/>
        <v>0</v>
      </c>
      <c r="N482" s="296">
        <v>1</v>
      </c>
      <c r="O482" s="294">
        <f t="shared" si="39"/>
        <v>1500</v>
      </c>
      <c r="P482" s="316">
        <f t="shared" si="40"/>
        <v>1500</v>
      </c>
    </row>
    <row r="483" spans="1:16" ht="31.5">
      <c r="A483" s="315">
        <v>24</v>
      </c>
      <c r="B483" s="296" t="s">
        <v>666</v>
      </c>
      <c r="C483" s="13" t="s">
        <v>667</v>
      </c>
      <c r="D483" s="17" t="s">
        <v>5</v>
      </c>
      <c r="E483" s="316">
        <v>1041.8699999999999</v>
      </c>
      <c r="F483" s="309">
        <v>20</v>
      </c>
      <c r="G483" s="317">
        <f t="shared" si="35"/>
        <v>20837.399999999998</v>
      </c>
      <c r="H483" s="318"/>
      <c r="I483" s="319">
        <f t="shared" si="36"/>
        <v>0</v>
      </c>
      <c r="J483" s="318"/>
      <c r="K483" s="294">
        <f t="shared" si="37"/>
        <v>0</v>
      </c>
      <c r="L483" s="296"/>
      <c r="M483" s="294">
        <f t="shared" si="38"/>
        <v>0</v>
      </c>
      <c r="N483" s="296">
        <v>0</v>
      </c>
      <c r="O483" s="294">
        <f t="shared" si="39"/>
        <v>0</v>
      </c>
      <c r="P483" s="316">
        <f t="shared" si="40"/>
        <v>20837.399999999998</v>
      </c>
    </row>
    <row r="484" spans="1:16" ht="31.5">
      <c r="A484" s="315">
        <v>25</v>
      </c>
      <c r="B484" s="296" t="s">
        <v>668</v>
      </c>
      <c r="C484" s="13" t="s">
        <v>669</v>
      </c>
      <c r="D484" s="17" t="s">
        <v>5</v>
      </c>
      <c r="E484" s="316">
        <v>1095.1600000000001</v>
      </c>
      <c r="F484" s="309">
        <v>10</v>
      </c>
      <c r="G484" s="317">
        <f t="shared" si="35"/>
        <v>10951.6</v>
      </c>
      <c r="H484" s="318"/>
      <c r="I484" s="319">
        <f t="shared" si="36"/>
        <v>0</v>
      </c>
      <c r="J484" s="318"/>
      <c r="K484" s="294">
        <f t="shared" si="37"/>
        <v>0</v>
      </c>
      <c r="L484" s="296"/>
      <c r="M484" s="294">
        <f t="shared" si="38"/>
        <v>0</v>
      </c>
      <c r="N484" s="296">
        <v>0</v>
      </c>
      <c r="O484" s="294">
        <f t="shared" si="39"/>
        <v>0</v>
      </c>
      <c r="P484" s="316">
        <f t="shared" si="40"/>
        <v>10951.6</v>
      </c>
    </row>
    <row r="485" spans="1:16" ht="63">
      <c r="A485" s="315">
        <v>26</v>
      </c>
      <c r="B485" s="296" t="s">
        <v>42</v>
      </c>
      <c r="C485" s="13" t="s">
        <v>670</v>
      </c>
      <c r="D485" s="17" t="s">
        <v>5</v>
      </c>
      <c r="E485" s="316">
        <v>32915</v>
      </c>
      <c r="F485" s="309">
        <v>1</v>
      </c>
      <c r="G485" s="317">
        <f t="shared" si="35"/>
        <v>32915</v>
      </c>
      <c r="H485" s="318"/>
      <c r="I485" s="319">
        <f t="shared" si="36"/>
        <v>0</v>
      </c>
      <c r="J485" s="318"/>
      <c r="K485" s="294">
        <f t="shared" si="37"/>
        <v>0</v>
      </c>
      <c r="L485" s="296"/>
      <c r="M485" s="294">
        <v>0</v>
      </c>
      <c r="N485" s="296">
        <v>0</v>
      </c>
      <c r="O485" s="294">
        <f t="shared" si="39"/>
        <v>0</v>
      </c>
      <c r="P485" s="316">
        <f t="shared" si="40"/>
        <v>32915</v>
      </c>
    </row>
    <row r="486" spans="1:16" ht="31.5">
      <c r="A486" s="315">
        <v>27</v>
      </c>
      <c r="B486" s="296" t="s">
        <v>659</v>
      </c>
      <c r="C486" s="298" t="s">
        <v>671</v>
      </c>
      <c r="D486" s="17" t="s">
        <v>5</v>
      </c>
      <c r="E486" s="316">
        <v>5000</v>
      </c>
      <c r="F486" s="309">
        <v>0</v>
      </c>
      <c r="G486" s="317">
        <f t="shared" si="35"/>
        <v>0</v>
      </c>
      <c r="H486" s="318"/>
      <c r="I486" s="319">
        <f t="shared" si="36"/>
        <v>0</v>
      </c>
      <c r="J486" s="318"/>
      <c r="K486" s="294">
        <f t="shared" si="37"/>
        <v>0</v>
      </c>
      <c r="L486" s="296"/>
      <c r="M486" s="294">
        <f t="shared" si="38"/>
        <v>0</v>
      </c>
      <c r="N486" s="296">
        <v>1</v>
      </c>
      <c r="O486" s="294">
        <f t="shared" si="39"/>
        <v>5000</v>
      </c>
      <c r="P486" s="316">
        <f t="shared" si="40"/>
        <v>5000</v>
      </c>
    </row>
    <row r="487" spans="1:16" ht="31.5">
      <c r="A487" s="315">
        <v>28</v>
      </c>
      <c r="B487" s="296" t="s">
        <v>664</v>
      </c>
      <c r="C487" s="298" t="s">
        <v>672</v>
      </c>
      <c r="D487" s="17" t="s">
        <v>37</v>
      </c>
      <c r="E487" s="316">
        <v>1000</v>
      </c>
      <c r="F487" s="309">
        <v>0</v>
      </c>
      <c r="G487" s="317">
        <f t="shared" si="35"/>
        <v>0</v>
      </c>
      <c r="H487" s="318"/>
      <c r="I487" s="319">
        <v>0</v>
      </c>
      <c r="J487" s="318"/>
      <c r="K487" s="294"/>
      <c r="L487" s="296"/>
      <c r="M487" s="294"/>
      <c r="N487" s="296">
        <v>1</v>
      </c>
      <c r="O487" s="294">
        <f t="shared" si="39"/>
        <v>1000</v>
      </c>
      <c r="P487" s="316">
        <f t="shared" si="40"/>
        <v>1000</v>
      </c>
    </row>
    <row r="488" spans="1:16" ht="47.25">
      <c r="A488" s="315">
        <v>29</v>
      </c>
      <c r="B488" s="296" t="s">
        <v>673</v>
      </c>
      <c r="C488" s="298" t="s">
        <v>674</v>
      </c>
      <c r="D488" s="17" t="s">
        <v>266</v>
      </c>
      <c r="E488" s="316">
        <v>27500</v>
      </c>
      <c r="F488" s="309">
        <v>0</v>
      </c>
      <c r="G488" s="317">
        <f t="shared" si="35"/>
        <v>0</v>
      </c>
      <c r="H488" s="318"/>
      <c r="I488" s="319">
        <f t="shared" si="36"/>
        <v>0</v>
      </c>
      <c r="J488" s="318"/>
      <c r="K488" s="294">
        <f t="shared" si="37"/>
        <v>0</v>
      </c>
      <c r="L488" s="318"/>
      <c r="M488" s="294">
        <f t="shared" si="38"/>
        <v>0</v>
      </c>
      <c r="N488" s="296">
        <v>1</v>
      </c>
      <c r="O488" s="294">
        <f t="shared" si="39"/>
        <v>27500</v>
      </c>
      <c r="P488" s="316">
        <f t="shared" si="40"/>
        <v>27500</v>
      </c>
    </row>
    <row r="489" spans="1:16" ht="47.25">
      <c r="A489" s="315">
        <v>30</v>
      </c>
      <c r="B489" s="296" t="s">
        <v>675</v>
      </c>
      <c r="C489" s="298" t="s">
        <v>676</v>
      </c>
      <c r="D489" s="17" t="s">
        <v>5</v>
      </c>
      <c r="E489" s="316">
        <v>1000</v>
      </c>
      <c r="F489" s="309">
        <v>2</v>
      </c>
      <c r="G489" s="317">
        <f t="shared" si="35"/>
        <v>2000</v>
      </c>
      <c r="H489" s="318"/>
      <c r="I489" s="319">
        <f t="shared" si="36"/>
        <v>0</v>
      </c>
      <c r="J489" s="318"/>
      <c r="K489" s="294">
        <f t="shared" si="37"/>
        <v>0</v>
      </c>
      <c r="L489" s="318"/>
      <c r="M489" s="294">
        <f t="shared" si="38"/>
        <v>0</v>
      </c>
      <c r="N489" s="296">
        <v>0</v>
      </c>
      <c r="O489" s="294">
        <f t="shared" si="39"/>
        <v>0</v>
      </c>
      <c r="P489" s="316">
        <f t="shared" si="40"/>
        <v>2000</v>
      </c>
    </row>
    <row r="490" spans="1:16" ht="47.25">
      <c r="A490" s="315">
        <v>31</v>
      </c>
      <c r="B490" s="296" t="s">
        <v>677</v>
      </c>
      <c r="C490" s="13" t="s">
        <v>678</v>
      </c>
      <c r="D490" s="17" t="s">
        <v>5</v>
      </c>
      <c r="E490" s="316">
        <v>500</v>
      </c>
      <c r="F490" s="309">
        <v>0</v>
      </c>
      <c r="G490" s="317">
        <f t="shared" si="35"/>
        <v>0</v>
      </c>
      <c r="H490" s="318"/>
      <c r="I490" s="319">
        <f t="shared" si="36"/>
        <v>0</v>
      </c>
      <c r="J490" s="318"/>
      <c r="K490" s="294">
        <f t="shared" si="37"/>
        <v>0</v>
      </c>
      <c r="L490" s="318"/>
      <c r="M490" s="294">
        <f t="shared" si="38"/>
        <v>0</v>
      </c>
      <c r="N490" s="296">
        <v>5</v>
      </c>
      <c r="O490" s="294">
        <f t="shared" si="39"/>
        <v>2500</v>
      </c>
      <c r="P490" s="316">
        <f t="shared" si="40"/>
        <v>2500</v>
      </c>
    </row>
    <row r="491" spans="1:16" ht="31.5">
      <c r="A491" s="315">
        <v>32</v>
      </c>
      <c r="B491" s="296" t="s">
        <v>679</v>
      </c>
      <c r="C491" s="13" t="s">
        <v>680</v>
      </c>
      <c r="D491" s="17" t="s">
        <v>5</v>
      </c>
      <c r="E491" s="316">
        <v>2940.56</v>
      </c>
      <c r="F491" s="309">
        <v>2</v>
      </c>
      <c r="G491" s="317">
        <f t="shared" si="35"/>
        <v>5881.12</v>
      </c>
      <c r="H491" s="318"/>
      <c r="I491" s="319">
        <f t="shared" si="36"/>
        <v>0</v>
      </c>
      <c r="J491" s="318"/>
      <c r="K491" s="294">
        <f t="shared" si="37"/>
        <v>0</v>
      </c>
      <c r="L491" s="318"/>
      <c r="M491" s="294">
        <v>0</v>
      </c>
      <c r="N491" s="296">
        <v>0</v>
      </c>
      <c r="O491" s="294">
        <f t="shared" si="39"/>
        <v>0</v>
      </c>
      <c r="P491" s="316">
        <f t="shared" si="40"/>
        <v>5881.12</v>
      </c>
    </row>
    <row r="492" spans="1:16" ht="31.5">
      <c r="A492" s="315">
        <v>33</v>
      </c>
      <c r="B492" s="296" t="s">
        <v>342</v>
      </c>
      <c r="C492" s="13" t="s">
        <v>681</v>
      </c>
      <c r="D492" s="17" t="s">
        <v>5</v>
      </c>
      <c r="E492" s="316">
        <v>1177.6400000000001</v>
      </c>
      <c r="F492" s="309">
        <v>2</v>
      </c>
      <c r="G492" s="317">
        <f t="shared" si="35"/>
        <v>2355.2800000000002</v>
      </c>
      <c r="H492" s="318"/>
      <c r="I492" s="319">
        <f t="shared" si="36"/>
        <v>0</v>
      </c>
      <c r="J492" s="318"/>
      <c r="K492" s="294">
        <f t="shared" si="37"/>
        <v>0</v>
      </c>
      <c r="L492" s="318"/>
      <c r="M492" s="294">
        <f t="shared" si="38"/>
        <v>0</v>
      </c>
      <c r="N492" s="296">
        <v>0</v>
      </c>
      <c r="O492" s="294">
        <f t="shared" si="39"/>
        <v>0</v>
      </c>
      <c r="P492" s="316">
        <f t="shared" si="40"/>
        <v>2355.2800000000002</v>
      </c>
    </row>
    <row r="493" spans="1:16" ht="31.5">
      <c r="A493" s="315">
        <v>34</v>
      </c>
      <c r="B493" s="296" t="s">
        <v>387</v>
      </c>
      <c r="C493" s="13" t="s">
        <v>682</v>
      </c>
      <c r="D493" s="17" t="s">
        <v>324</v>
      </c>
      <c r="E493" s="316">
        <v>197.53</v>
      </c>
      <c r="F493" s="309">
        <v>200</v>
      </c>
      <c r="G493" s="317">
        <f t="shared" si="35"/>
        <v>39506</v>
      </c>
      <c r="H493" s="318"/>
      <c r="I493" s="319">
        <f t="shared" si="36"/>
        <v>0</v>
      </c>
      <c r="J493" s="318"/>
      <c r="K493" s="294">
        <f t="shared" si="37"/>
        <v>0</v>
      </c>
      <c r="L493" s="318"/>
      <c r="M493" s="294">
        <f t="shared" si="38"/>
        <v>0</v>
      </c>
      <c r="N493" s="296">
        <v>0</v>
      </c>
      <c r="O493" s="294">
        <f t="shared" si="39"/>
        <v>0</v>
      </c>
      <c r="P493" s="316">
        <f t="shared" si="40"/>
        <v>39506</v>
      </c>
    </row>
    <row r="494" spans="1:16" ht="31.5">
      <c r="A494" s="315">
        <v>35</v>
      </c>
      <c r="B494" s="296" t="s">
        <v>683</v>
      </c>
      <c r="C494" s="13" t="s">
        <v>684</v>
      </c>
      <c r="D494" s="17" t="s">
        <v>324</v>
      </c>
      <c r="E494" s="322">
        <v>238.19651999999999</v>
      </c>
      <c r="F494" s="309">
        <v>160</v>
      </c>
      <c r="G494" s="317">
        <f t="shared" si="35"/>
        <v>38111.443200000002</v>
      </c>
      <c r="H494" s="318"/>
      <c r="I494" s="319">
        <f t="shared" si="36"/>
        <v>0</v>
      </c>
      <c r="J494" s="318"/>
      <c r="K494" s="294">
        <f t="shared" si="37"/>
        <v>0</v>
      </c>
      <c r="L494" s="318"/>
      <c r="M494" s="294">
        <f t="shared" si="38"/>
        <v>0</v>
      </c>
      <c r="N494" s="296">
        <v>0</v>
      </c>
      <c r="O494" s="294">
        <f t="shared" si="39"/>
        <v>0</v>
      </c>
      <c r="P494" s="316">
        <f t="shared" si="40"/>
        <v>38111.443200000002</v>
      </c>
    </row>
    <row r="495" spans="1:16" ht="47.25">
      <c r="A495" s="315">
        <v>36</v>
      </c>
      <c r="B495" s="296" t="s">
        <v>664</v>
      </c>
      <c r="C495" s="13" t="s">
        <v>685</v>
      </c>
      <c r="D495" s="17" t="s">
        <v>5</v>
      </c>
      <c r="E495" s="316">
        <v>58823</v>
      </c>
      <c r="F495" s="309">
        <v>1</v>
      </c>
      <c r="G495" s="317">
        <f t="shared" si="35"/>
        <v>58823</v>
      </c>
      <c r="H495" s="318"/>
      <c r="I495" s="319">
        <f t="shared" si="36"/>
        <v>0</v>
      </c>
      <c r="J495" s="318"/>
      <c r="K495" s="294">
        <f t="shared" si="37"/>
        <v>0</v>
      </c>
      <c r="L495" s="318"/>
      <c r="M495" s="294">
        <f t="shared" si="38"/>
        <v>0</v>
      </c>
      <c r="N495" s="296">
        <v>0</v>
      </c>
      <c r="O495" s="294">
        <f t="shared" si="39"/>
        <v>0</v>
      </c>
      <c r="P495" s="316">
        <f t="shared" si="40"/>
        <v>58823</v>
      </c>
    </row>
    <row r="496" spans="1:16" ht="47.25">
      <c r="A496" s="315">
        <v>37</v>
      </c>
      <c r="B496" s="296" t="s">
        <v>395</v>
      </c>
      <c r="C496" s="13" t="s">
        <v>686</v>
      </c>
      <c r="D496" s="17" t="s">
        <v>46</v>
      </c>
      <c r="E496" s="316">
        <v>10</v>
      </c>
      <c r="F496" s="309">
        <v>300</v>
      </c>
      <c r="G496" s="317">
        <f t="shared" si="35"/>
        <v>3000</v>
      </c>
      <c r="H496" s="318"/>
      <c r="I496" s="319">
        <f t="shared" si="36"/>
        <v>0</v>
      </c>
      <c r="J496" s="318"/>
      <c r="K496" s="294">
        <f t="shared" si="37"/>
        <v>0</v>
      </c>
      <c r="L496" s="318"/>
      <c r="M496" s="294">
        <f t="shared" si="38"/>
        <v>0</v>
      </c>
      <c r="N496" s="296">
        <v>0</v>
      </c>
      <c r="O496" s="294">
        <f t="shared" si="39"/>
        <v>0</v>
      </c>
      <c r="P496" s="316">
        <f t="shared" si="40"/>
        <v>3000</v>
      </c>
    </row>
    <row r="497" spans="1:16" ht="31.5">
      <c r="A497" s="315">
        <v>38</v>
      </c>
      <c r="B497" s="296" t="s">
        <v>687</v>
      </c>
      <c r="C497" s="13" t="s">
        <v>688</v>
      </c>
      <c r="D497" s="17" t="s">
        <v>46</v>
      </c>
      <c r="E497" s="316">
        <v>15</v>
      </c>
      <c r="F497" s="309">
        <v>100</v>
      </c>
      <c r="G497" s="317">
        <f t="shared" si="35"/>
        <v>1500</v>
      </c>
      <c r="H497" s="318"/>
      <c r="I497" s="319">
        <f t="shared" si="36"/>
        <v>0</v>
      </c>
      <c r="J497" s="318"/>
      <c r="K497" s="294">
        <f t="shared" si="37"/>
        <v>0</v>
      </c>
      <c r="L497" s="318"/>
      <c r="M497" s="294">
        <f t="shared" si="38"/>
        <v>0</v>
      </c>
      <c r="N497" s="296">
        <v>0</v>
      </c>
      <c r="O497" s="294">
        <f t="shared" si="39"/>
        <v>0</v>
      </c>
      <c r="P497" s="316">
        <f t="shared" si="40"/>
        <v>1500</v>
      </c>
    </row>
    <row r="498" spans="1:16" ht="31.5">
      <c r="A498" s="315">
        <v>39</v>
      </c>
      <c r="B498" s="296" t="s">
        <v>689</v>
      </c>
      <c r="C498" s="299" t="s">
        <v>690</v>
      </c>
      <c r="D498" s="17" t="s">
        <v>40</v>
      </c>
      <c r="E498" s="316">
        <v>12000</v>
      </c>
      <c r="F498" s="323">
        <v>0</v>
      </c>
      <c r="G498" s="317">
        <f t="shared" si="35"/>
        <v>0</v>
      </c>
      <c r="H498" s="318"/>
      <c r="I498" s="319">
        <f t="shared" si="36"/>
        <v>0</v>
      </c>
      <c r="J498" s="318"/>
      <c r="K498" s="294">
        <f t="shared" si="37"/>
        <v>0</v>
      </c>
      <c r="L498" s="318"/>
      <c r="M498" s="294">
        <f t="shared" si="38"/>
        <v>0</v>
      </c>
      <c r="N498" s="296">
        <v>0</v>
      </c>
      <c r="O498" s="294">
        <f t="shared" si="39"/>
        <v>0</v>
      </c>
      <c r="P498" s="316">
        <f t="shared" si="40"/>
        <v>0</v>
      </c>
    </row>
    <row r="499" spans="1:16" ht="15.75">
      <c r="A499" s="315">
        <v>40</v>
      </c>
      <c r="B499" s="296" t="s">
        <v>421</v>
      </c>
      <c r="C499" s="299" t="s">
        <v>691</v>
      </c>
      <c r="D499" s="17" t="s">
        <v>40</v>
      </c>
      <c r="E499" s="316">
        <v>6000</v>
      </c>
      <c r="F499" s="323">
        <v>1</v>
      </c>
      <c r="G499" s="317">
        <f t="shared" si="35"/>
        <v>6000</v>
      </c>
      <c r="H499" s="318"/>
      <c r="I499" s="319">
        <f t="shared" si="36"/>
        <v>0</v>
      </c>
      <c r="J499" s="318"/>
      <c r="K499" s="294">
        <f t="shared" si="37"/>
        <v>0</v>
      </c>
      <c r="L499" s="318"/>
      <c r="M499" s="294">
        <f t="shared" si="38"/>
        <v>0</v>
      </c>
      <c r="N499" s="296">
        <v>0</v>
      </c>
      <c r="O499" s="294">
        <f t="shared" si="39"/>
        <v>0</v>
      </c>
      <c r="P499" s="316">
        <f t="shared" si="40"/>
        <v>6000</v>
      </c>
    </row>
    <row r="500" spans="1:16" ht="47.25">
      <c r="A500" s="315">
        <v>41</v>
      </c>
      <c r="B500" s="296" t="s">
        <v>482</v>
      </c>
      <c r="C500" s="299" t="s">
        <v>692</v>
      </c>
      <c r="D500" s="17" t="s">
        <v>40</v>
      </c>
      <c r="E500" s="316">
        <v>6000</v>
      </c>
      <c r="F500" s="323">
        <v>1</v>
      </c>
      <c r="G500" s="317">
        <f t="shared" si="35"/>
        <v>6000</v>
      </c>
      <c r="H500" s="318"/>
      <c r="I500" s="319">
        <f t="shared" si="36"/>
        <v>0</v>
      </c>
      <c r="J500" s="318"/>
      <c r="K500" s="294">
        <f t="shared" si="37"/>
        <v>0</v>
      </c>
      <c r="L500" s="318"/>
      <c r="M500" s="294">
        <f t="shared" si="38"/>
        <v>0</v>
      </c>
      <c r="N500" s="296">
        <v>0</v>
      </c>
      <c r="O500" s="294">
        <f t="shared" si="39"/>
        <v>0</v>
      </c>
      <c r="P500" s="316">
        <f t="shared" si="40"/>
        <v>6000</v>
      </c>
    </row>
    <row r="501" spans="1:16" ht="15.75">
      <c r="A501" s="315">
        <v>42</v>
      </c>
      <c r="B501" s="296" t="s">
        <v>42</v>
      </c>
      <c r="C501" s="299" t="s">
        <v>693</v>
      </c>
      <c r="D501" s="17" t="s">
        <v>40</v>
      </c>
      <c r="E501" s="316">
        <v>4000</v>
      </c>
      <c r="F501" s="323">
        <v>2</v>
      </c>
      <c r="G501" s="317">
        <f t="shared" si="35"/>
        <v>8000</v>
      </c>
      <c r="H501" s="318"/>
      <c r="I501" s="319">
        <f t="shared" si="36"/>
        <v>0</v>
      </c>
      <c r="J501" s="318"/>
      <c r="K501" s="294">
        <f t="shared" si="37"/>
        <v>0</v>
      </c>
      <c r="L501" s="318"/>
      <c r="M501" s="294">
        <f t="shared" si="38"/>
        <v>0</v>
      </c>
      <c r="N501" s="296">
        <v>0</v>
      </c>
      <c r="O501" s="294">
        <f t="shared" si="39"/>
        <v>0</v>
      </c>
      <c r="P501" s="316">
        <f t="shared" si="40"/>
        <v>8000</v>
      </c>
    </row>
    <row r="502" spans="1:16" ht="15.75">
      <c r="A502" s="315">
        <v>43</v>
      </c>
      <c r="B502" s="296" t="s">
        <v>42</v>
      </c>
      <c r="C502" s="13" t="s">
        <v>694</v>
      </c>
      <c r="D502" s="17" t="s">
        <v>695</v>
      </c>
      <c r="E502" s="316">
        <v>500</v>
      </c>
      <c r="F502" s="323">
        <v>0</v>
      </c>
      <c r="G502" s="317">
        <f t="shared" si="35"/>
        <v>0</v>
      </c>
      <c r="H502" s="318"/>
      <c r="I502" s="319">
        <f t="shared" si="36"/>
        <v>0</v>
      </c>
      <c r="J502" s="318"/>
      <c r="K502" s="294">
        <f t="shared" si="37"/>
        <v>0</v>
      </c>
      <c r="L502" s="318"/>
      <c r="M502" s="294">
        <f t="shared" si="38"/>
        <v>0</v>
      </c>
      <c r="N502" s="296">
        <v>1</v>
      </c>
      <c r="O502" s="294">
        <f t="shared" si="39"/>
        <v>500</v>
      </c>
      <c r="P502" s="316">
        <f t="shared" si="40"/>
        <v>500</v>
      </c>
    </row>
    <row r="503" spans="1:16" ht="31.5">
      <c r="A503" s="315">
        <v>44</v>
      </c>
      <c r="B503" s="296" t="s">
        <v>696</v>
      </c>
      <c r="C503" s="297" t="s">
        <v>697</v>
      </c>
      <c r="D503" s="17" t="s">
        <v>5</v>
      </c>
      <c r="E503" s="316">
        <v>12500</v>
      </c>
      <c r="F503" s="309">
        <v>0</v>
      </c>
      <c r="G503" s="317">
        <f t="shared" si="35"/>
        <v>0</v>
      </c>
      <c r="H503" s="296"/>
      <c r="I503" s="319">
        <v>0</v>
      </c>
      <c r="J503" s="318"/>
      <c r="K503" s="294">
        <f t="shared" si="37"/>
        <v>0</v>
      </c>
      <c r="L503" s="296"/>
      <c r="M503" s="294">
        <f t="shared" si="38"/>
        <v>0</v>
      </c>
      <c r="N503" s="296">
        <v>3</v>
      </c>
      <c r="O503" s="294">
        <f t="shared" si="39"/>
        <v>37500</v>
      </c>
      <c r="P503" s="316">
        <f>G503+I503+K503+M503+O503</f>
        <v>37500</v>
      </c>
    </row>
    <row r="504" spans="1:16" ht="15.75">
      <c r="A504" s="315">
        <v>45</v>
      </c>
      <c r="B504" s="296" t="s">
        <v>698</v>
      </c>
      <c r="C504" s="13" t="s">
        <v>699</v>
      </c>
      <c r="D504" s="23" t="s">
        <v>7</v>
      </c>
      <c r="E504" s="324">
        <v>6454.6</v>
      </c>
      <c r="F504" s="309">
        <v>15</v>
      </c>
      <c r="G504" s="317">
        <f t="shared" si="35"/>
        <v>96819</v>
      </c>
      <c r="H504" s="296"/>
      <c r="I504" s="319">
        <v>0</v>
      </c>
      <c r="J504" s="318"/>
      <c r="K504" s="294">
        <v>0</v>
      </c>
      <c r="L504" s="296"/>
      <c r="M504" s="294">
        <v>0</v>
      </c>
      <c r="N504" s="296">
        <v>0</v>
      </c>
      <c r="O504" s="294">
        <f t="shared" si="39"/>
        <v>0</v>
      </c>
      <c r="P504" s="316">
        <f>G504+I504+K504+M504+O504</f>
        <v>96819</v>
      </c>
    </row>
    <row r="505" spans="1:16" ht="63">
      <c r="A505" s="315">
        <v>46</v>
      </c>
      <c r="B505" s="296" t="s">
        <v>700</v>
      </c>
      <c r="C505" s="13" t="s">
        <v>701</v>
      </c>
      <c r="D505" s="15" t="s">
        <v>40</v>
      </c>
      <c r="E505" s="317">
        <v>2653.82</v>
      </c>
      <c r="F505" s="17">
        <v>4</v>
      </c>
      <c r="G505" s="317">
        <f t="shared" si="35"/>
        <v>10615.28</v>
      </c>
      <c r="H505" s="296"/>
      <c r="I505" s="319">
        <v>0</v>
      </c>
      <c r="J505" s="318"/>
      <c r="K505" s="294">
        <v>0</v>
      </c>
      <c r="L505" s="296"/>
      <c r="M505" s="294">
        <v>0</v>
      </c>
      <c r="N505" s="296">
        <v>0</v>
      </c>
      <c r="O505" s="294">
        <f t="shared" si="39"/>
        <v>0</v>
      </c>
      <c r="P505" s="316">
        <f t="shared" ref="P505:P551" si="41">G505+I505+K505+M505+O505</f>
        <v>10615.28</v>
      </c>
    </row>
    <row r="506" spans="1:16" ht="63">
      <c r="A506" s="315">
        <v>47</v>
      </c>
      <c r="B506" s="296" t="s">
        <v>702</v>
      </c>
      <c r="C506" s="300" t="s">
        <v>703</v>
      </c>
      <c r="D506" s="15" t="s">
        <v>40</v>
      </c>
      <c r="E506" s="317">
        <v>2653.82</v>
      </c>
      <c r="F506" s="17">
        <v>3</v>
      </c>
      <c r="G506" s="317">
        <f t="shared" si="35"/>
        <v>7961.4600000000009</v>
      </c>
      <c r="H506" s="296"/>
      <c r="I506" s="319">
        <v>0</v>
      </c>
      <c r="J506" s="318"/>
      <c r="K506" s="294">
        <v>0</v>
      </c>
      <c r="L506" s="296"/>
      <c r="M506" s="294">
        <v>0</v>
      </c>
      <c r="N506" s="296">
        <v>0</v>
      </c>
      <c r="O506" s="294">
        <f t="shared" si="39"/>
        <v>0</v>
      </c>
      <c r="P506" s="316">
        <f t="shared" si="41"/>
        <v>7961.4600000000009</v>
      </c>
    </row>
    <row r="507" spans="1:16" ht="63">
      <c r="A507" s="315">
        <v>48</v>
      </c>
      <c r="B507" s="296" t="s">
        <v>704</v>
      </c>
      <c r="C507" s="301" t="s">
        <v>705</v>
      </c>
      <c r="D507" s="15" t="s">
        <v>40</v>
      </c>
      <c r="E507" s="317">
        <v>2653.82</v>
      </c>
      <c r="F507" s="17">
        <v>0</v>
      </c>
      <c r="G507" s="317">
        <f t="shared" si="35"/>
        <v>0</v>
      </c>
      <c r="H507" s="296"/>
      <c r="I507" s="319">
        <v>0</v>
      </c>
      <c r="J507" s="318"/>
      <c r="K507" s="294">
        <v>0</v>
      </c>
      <c r="L507" s="296"/>
      <c r="M507" s="294">
        <v>0</v>
      </c>
      <c r="N507" s="296">
        <v>0</v>
      </c>
      <c r="O507" s="294">
        <f t="shared" si="39"/>
        <v>0</v>
      </c>
      <c r="P507" s="316">
        <f t="shared" si="41"/>
        <v>0</v>
      </c>
    </row>
    <row r="508" spans="1:16" ht="63">
      <c r="A508" s="315">
        <v>49</v>
      </c>
      <c r="B508" s="296" t="s">
        <v>702</v>
      </c>
      <c r="C508" s="301" t="s">
        <v>706</v>
      </c>
      <c r="D508" s="15" t="s">
        <v>40</v>
      </c>
      <c r="E508" s="317">
        <v>2571.2199999999998</v>
      </c>
      <c r="F508" s="309">
        <v>4</v>
      </c>
      <c r="G508" s="317">
        <f t="shared" si="35"/>
        <v>10284.879999999999</v>
      </c>
      <c r="H508" s="296"/>
      <c r="I508" s="319">
        <v>0</v>
      </c>
      <c r="J508" s="318"/>
      <c r="K508" s="294">
        <v>0</v>
      </c>
      <c r="L508" s="296"/>
      <c r="M508" s="294">
        <v>0</v>
      </c>
      <c r="N508" s="296">
        <v>0</v>
      </c>
      <c r="O508" s="294">
        <f t="shared" si="39"/>
        <v>0</v>
      </c>
      <c r="P508" s="316">
        <f t="shared" si="41"/>
        <v>10284.879999999999</v>
      </c>
    </row>
    <row r="509" spans="1:16" ht="63">
      <c r="A509" s="315">
        <v>50</v>
      </c>
      <c r="B509" s="296" t="s">
        <v>704</v>
      </c>
      <c r="C509" s="301" t="s">
        <v>707</v>
      </c>
      <c r="D509" s="15" t="s">
        <v>40</v>
      </c>
      <c r="E509" s="317">
        <v>2571.2199999999998</v>
      </c>
      <c r="F509" s="309">
        <v>2</v>
      </c>
      <c r="G509" s="317">
        <f t="shared" si="35"/>
        <v>5142.4399999999996</v>
      </c>
      <c r="H509" s="296"/>
      <c r="I509" s="319">
        <v>0</v>
      </c>
      <c r="J509" s="318"/>
      <c r="K509" s="294">
        <v>0</v>
      </c>
      <c r="L509" s="296"/>
      <c r="M509" s="294">
        <v>0</v>
      </c>
      <c r="N509" s="296">
        <v>0</v>
      </c>
      <c r="O509" s="294">
        <f t="shared" si="39"/>
        <v>0</v>
      </c>
      <c r="P509" s="316">
        <f t="shared" si="41"/>
        <v>5142.4399999999996</v>
      </c>
    </row>
    <row r="510" spans="1:16" ht="47.25">
      <c r="A510" s="315">
        <v>51</v>
      </c>
      <c r="B510" s="296" t="s">
        <v>708</v>
      </c>
      <c r="C510" s="301" t="s">
        <v>709</v>
      </c>
      <c r="D510" s="15" t="s">
        <v>40</v>
      </c>
      <c r="E510" s="317">
        <v>2653.82</v>
      </c>
      <c r="F510" s="309">
        <v>4</v>
      </c>
      <c r="G510" s="317">
        <f t="shared" si="35"/>
        <v>10615.28</v>
      </c>
      <c r="H510" s="296"/>
      <c r="I510" s="319">
        <v>0</v>
      </c>
      <c r="J510" s="318"/>
      <c r="K510" s="294">
        <v>0</v>
      </c>
      <c r="L510" s="296"/>
      <c r="M510" s="294">
        <v>0</v>
      </c>
      <c r="N510" s="296">
        <v>0</v>
      </c>
      <c r="O510" s="294">
        <f t="shared" si="39"/>
        <v>0</v>
      </c>
      <c r="P510" s="316">
        <f t="shared" si="41"/>
        <v>10615.28</v>
      </c>
    </row>
    <row r="511" spans="1:16" ht="47.25">
      <c r="A511" s="315">
        <v>52</v>
      </c>
      <c r="B511" s="296" t="s">
        <v>710</v>
      </c>
      <c r="C511" s="301" t="s">
        <v>711</v>
      </c>
      <c r="D511" s="15" t="s">
        <v>40</v>
      </c>
      <c r="E511" s="317">
        <v>2653.82</v>
      </c>
      <c r="F511" s="309">
        <v>2</v>
      </c>
      <c r="G511" s="317">
        <f t="shared" si="35"/>
        <v>5307.64</v>
      </c>
      <c r="H511" s="296"/>
      <c r="I511" s="319">
        <v>0</v>
      </c>
      <c r="J511" s="318"/>
      <c r="K511" s="294">
        <v>0</v>
      </c>
      <c r="L511" s="296"/>
      <c r="M511" s="294">
        <v>0</v>
      </c>
      <c r="N511" s="296">
        <v>0</v>
      </c>
      <c r="O511" s="294">
        <f t="shared" si="39"/>
        <v>0</v>
      </c>
      <c r="P511" s="316">
        <f t="shared" si="41"/>
        <v>5307.64</v>
      </c>
    </row>
    <row r="512" spans="1:16" ht="63">
      <c r="A512" s="315">
        <v>53</v>
      </c>
      <c r="B512" s="296" t="s">
        <v>712</v>
      </c>
      <c r="C512" s="301" t="s">
        <v>713</v>
      </c>
      <c r="D512" s="15" t="s">
        <v>40</v>
      </c>
      <c r="E512" s="317">
        <v>2653.82</v>
      </c>
      <c r="F512" s="309">
        <v>1</v>
      </c>
      <c r="G512" s="317">
        <f t="shared" si="35"/>
        <v>2653.82</v>
      </c>
      <c r="H512" s="296"/>
      <c r="I512" s="319">
        <v>0</v>
      </c>
      <c r="J512" s="318"/>
      <c r="K512" s="294">
        <v>0</v>
      </c>
      <c r="L512" s="296"/>
      <c r="M512" s="294">
        <v>0</v>
      </c>
      <c r="N512" s="296">
        <v>0</v>
      </c>
      <c r="O512" s="294">
        <f t="shared" si="39"/>
        <v>0</v>
      </c>
      <c r="P512" s="316">
        <f t="shared" si="41"/>
        <v>2653.82</v>
      </c>
    </row>
    <row r="513" spans="1:16" ht="47.25">
      <c r="A513" s="315">
        <v>54</v>
      </c>
      <c r="B513" s="21" t="s">
        <v>714</v>
      </c>
      <c r="C513" s="301" t="s">
        <v>715</v>
      </c>
      <c r="D513" s="15" t="s">
        <v>40</v>
      </c>
      <c r="E513" s="317">
        <v>2742.32</v>
      </c>
      <c r="F513" s="309">
        <v>2</v>
      </c>
      <c r="G513" s="317">
        <f t="shared" si="35"/>
        <v>5484.64</v>
      </c>
      <c r="H513" s="296"/>
      <c r="I513" s="319">
        <v>0</v>
      </c>
      <c r="J513" s="318"/>
      <c r="K513" s="294">
        <v>0</v>
      </c>
      <c r="L513" s="296"/>
      <c r="M513" s="294">
        <v>0</v>
      </c>
      <c r="N513" s="296">
        <v>0</v>
      </c>
      <c r="O513" s="294">
        <f t="shared" si="39"/>
        <v>0</v>
      </c>
      <c r="P513" s="316">
        <f t="shared" si="41"/>
        <v>5484.64</v>
      </c>
    </row>
    <row r="514" spans="1:16" ht="31.5">
      <c r="A514" s="315">
        <v>55</v>
      </c>
      <c r="B514" s="21" t="s">
        <v>714</v>
      </c>
      <c r="C514" s="301" t="s">
        <v>716</v>
      </c>
      <c r="D514" s="15" t="s">
        <v>40</v>
      </c>
      <c r="E514" s="317">
        <v>2742.32</v>
      </c>
      <c r="F514" s="309">
        <v>2</v>
      </c>
      <c r="G514" s="317">
        <f t="shared" si="35"/>
        <v>5484.64</v>
      </c>
      <c r="H514" s="296"/>
      <c r="I514" s="319">
        <v>0</v>
      </c>
      <c r="J514" s="318"/>
      <c r="K514" s="294">
        <v>0</v>
      </c>
      <c r="L514" s="296"/>
      <c r="M514" s="294">
        <v>0</v>
      </c>
      <c r="N514" s="296">
        <v>0</v>
      </c>
      <c r="O514" s="294">
        <f t="shared" si="39"/>
        <v>0</v>
      </c>
      <c r="P514" s="316">
        <f t="shared" si="41"/>
        <v>5484.64</v>
      </c>
    </row>
    <row r="515" spans="1:16" ht="31.5">
      <c r="A515" s="315">
        <v>56</v>
      </c>
      <c r="B515" s="296" t="s">
        <v>717</v>
      </c>
      <c r="C515" s="301" t="s">
        <v>718</v>
      </c>
      <c r="D515" s="15" t="s">
        <v>40</v>
      </c>
      <c r="E515" s="317">
        <v>2742.32</v>
      </c>
      <c r="F515" s="309">
        <v>2</v>
      </c>
      <c r="G515" s="317">
        <f t="shared" si="35"/>
        <v>5484.64</v>
      </c>
      <c r="H515" s="296"/>
      <c r="I515" s="319">
        <v>0</v>
      </c>
      <c r="J515" s="318"/>
      <c r="K515" s="294">
        <v>0</v>
      </c>
      <c r="L515" s="296"/>
      <c r="M515" s="294">
        <v>0</v>
      </c>
      <c r="N515" s="296">
        <v>0</v>
      </c>
      <c r="O515" s="294">
        <f t="shared" si="39"/>
        <v>0</v>
      </c>
      <c r="P515" s="316">
        <f t="shared" si="41"/>
        <v>5484.64</v>
      </c>
    </row>
    <row r="516" spans="1:16" ht="63">
      <c r="A516" s="315">
        <v>57</v>
      </c>
      <c r="B516" s="296" t="s">
        <v>702</v>
      </c>
      <c r="C516" s="301" t="s">
        <v>719</v>
      </c>
      <c r="D516" s="15" t="s">
        <v>40</v>
      </c>
      <c r="E516" s="317">
        <v>2938.2</v>
      </c>
      <c r="F516" s="17">
        <v>2</v>
      </c>
      <c r="G516" s="317">
        <f t="shared" si="35"/>
        <v>5876.4</v>
      </c>
      <c r="H516" s="325"/>
      <c r="I516" s="319">
        <v>0</v>
      </c>
      <c r="J516" s="325"/>
      <c r="K516" s="294">
        <v>0</v>
      </c>
      <c r="L516" s="325"/>
      <c r="M516" s="294">
        <v>0</v>
      </c>
      <c r="N516" s="325">
        <v>0</v>
      </c>
      <c r="O516" s="294">
        <f t="shared" si="39"/>
        <v>0</v>
      </c>
      <c r="P516" s="316">
        <f t="shared" si="41"/>
        <v>5876.4</v>
      </c>
    </row>
    <row r="517" spans="1:16" ht="63">
      <c r="A517" s="315">
        <v>58</v>
      </c>
      <c r="B517" s="296" t="s">
        <v>704</v>
      </c>
      <c r="C517" s="301" t="s">
        <v>720</v>
      </c>
      <c r="D517" s="15" t="s">
        <v>40</v>
      </c>
      <c r="E517" s="317">
        <v>2348.1999999999998</v>
      </c>
      <c r="F517" s="309">
        <v>2</v>
      </c>
      <c r="G517" s="317">
        <f t="shared" si="35"/>
        <v>4696.3999999999996</v>
      </c>
      <c r="H517" s="296"/>
      <c r="I517" s="319">
        <v>0</v>
      </c>
      <c r="J517" s="318"/>
      <c r="K517" s="294">
        <v>0</v>
      </c>
      <c r="L517" s="296"/>
      <c r="M517" s="294">
        <v>0</v>
      </c>
      <c r="N517" s="296">
        <v>0</v>
      </c>
      <c r="O517" s="294">
        <f t="shared" si="39"/>
        <v>0</v>
      </c>
      <c r="P517" s="316">
        <f t="shared" si="41"/>
        <v>4696.3999999999996</v>
      </c>
    </row>
    <row r="518" spans="1:16" ht="63">
      <c r="A518" s="315">
        <v>59</v>
      </c>
      <c r="B518" s="296" t="s">
        <v>700</v>
      </c>
      <c r="C518" s="301" t="s">
        <v>721</v>
      </c>
      <c r="D518" s="15" t="s">
        <v>40</v>
      </c>
      <c r="E518" s="317">
        <v>3534.1</v>
      </c>
      <c r="F518" s="309">
        <v>1</v>
      </c>
      <c r="G518" s="317">
        <f t="shared" si="35"/>
        <v>3534.1</v>
      </c>
      <c r="H518" s="296"/>
      <c r="I518" s="319">
        <v>0</v>
      </c>
      <c r="J518" s="318"/>
      <c r="K518" s="294">
        <v>0</v>
      </c>
      <c r="L518" s="296"/>
      <c r="M518" s="294">
        <v>0</v>
      </c>
      <c r="N518" s="296">
        <v>0</v>
      </c>
      <c r="O518" s="294">
        <f t="shared" si="39"/>
        <v>0</v>
      </c>
      <c r="P518" s="316">
        <f t="shared" si="41"/>
        <v>3534.1</v>
      </c>
    </row>
    <row r="519" spans="1:16" ht="63">
      <c r="A519" s="315">
        <v>60</v>
      </c>
      <c r="B519" s="296" t="s">
        <v>722</v>
      </c>
      <c r="C519" s="301" t="s">
        <v>723</v>
      </c>
      <c r="D519" s="15" t="s">
        <v>40</v>
      </c>
      <c r="E519" s="317">
        <v>2938.2</v>
      </c>
      <c r="F519" s="309">
        <v>2</v>
      </c>
      <c r="G519" s="317">
        <f t="shared" si="35"/>
        <v>5876.4</v>
      </c>
      <c r="H519" s="296"/>
      <c r="I519" s="319">
        <v>0</v>
      </c>
      <c r="J519" s="318"/>
      <c r="K519" s="294">
        <v>0</v>
      </c>
      <c r="L519" s="296"/>
      <c r="M519" s="294">
        <v>0</v>
      </c>
      <c r="N519" s="296">
        <v>0</v>
      </c>
      <c r="O519" s="294">
        <f t="shared" si="39"/>
        <v>0</v>
      </c>
      <c r="P519" s="316">
        <f t="shared" si="41"/>
        <v>5876.4</v>
      </c>
    </row>
    <row r="520" spans="1:16" ht="47.25">
      <c r="A520" s="315">
        <v>61</v>
      </c>
      <c r="B520" s="21" t="s">
        <v>724</v>
      </c>
      <c r="C520" s="301" t="s">
        <v>725</v>
      </c>
      <c r="D520" s="15" t="s">
        <v>40</v>
      </c>
      <c r="E520" s="317">
        <v>3534.1</v>
      </c>
      <c r="F520" s="309">
        <v>1</v>
      </c>
      <c r="G520" s="317">
        <f t="shared" si="35"/>
        <v>3534.1</v>
      </c>
      <c r="H520" s="296"/>
      <c r="I520" s="319">
        <v>0</v>
      </c>
      <c r="J520" s="318"/>
      <c r="K520" s="294">
        <v>0</v>
      </c>
      <c r="L520" s="296"/>
      <c r="M520" s="294">
        <v>0</v>
      </c>
      <c r="N520" s="296">
        <v>0</v>
      </c>
      <c r="O520" s="294">
        <f t="shared" si="39"/>
        <v>0</v>
      </c>
      <c r="P520" s="316">
        <f t="shared" si="41"/>
        <v>3534.1</v>
      </c>
    </row>
    <row r="521" spans="1:16" ht="47.25">
      <c r="A521" s="315">
        <v>62</v>
      </c>
      <c r="B521" s="296" t="s">
        <v>726</v>
      </c>
      <c r="C521" s="301" t="s">
        <v>727</v>
      </c>
      <c r="D521" s="15" t="s">
        <v>40</v>
      </c>
      <c r="E521" s="317">
        <v>3829.1</v>
      </c>
      <c r="F521" s="309">
        <v>2</v>
      </c>
      <c r="G521" s="317">
        <f t="shared" si="35"/>
        <v>7658.2</v>
      </c>
      <c r="H521" s="296"/>
      <c r="I521" s="319">
        <v>0</v>
      </c>
      <c r="J521" s="318"/>
      <c r="K521" s="294">
        <v>0</v>
      </c>
      <c r="L521" s="296"/>
      <c r="M521" s="294">
        <v>0</v>
      </c>
      <c r="N521" s="296">
        <v>0</v>
      </c>
      <c r="O521" s="294">
        <f t="shared" si="39"/>
        <v>0</v>
      </c>
      <c r="P521" s="316">
        <f t="shared" si="41"/>
        <v>7658.2</v>
      </c>
    </row>
    <row r="522" spans="1:16" ht="47.25">
      <c r="A522" s="315">
        <v>63</v>
      </c>
      <c r="B522" s="296" t="s">
        <v>679</v>
      </c>
      <c r="C522" s="301" t="s">
        <v>728</v>
      </c>
      <c r="D522" s="15" t="s">
        <v>40</v>
      </c>
      <c r="E522" s="317">
        <v>2944.1</v>
      </c>
      <c r="F522" s="309">
        <v>2</v>
      </c>
      <c r="G522" s="317">
        <f t="shared" si="35"/>
        <v>5888.2</v>
      </c>
      <c r="H522" s="296"/>
      <c r="I522" s="319">
        <v>0</v>
      </c>
      <c r="J522" s="318"/>
      <c r="K522" s="294">
        <v>0</v>
      </c>
      <c r="L522" s="296"/>
      <c r="M522" s="294">
        <v>0</v>
      </c>
      <c r="N522" s="296">
        <v>0</v>
      </c>
      <c r="O522" s="294">
        <f t="shared" si="39"/>
        <v>0</v>
      </c>
      <c r="P522" s="316">
        <f t="shared" si="41"/>
        <v>5888.2</v>
      </c>
    </row>
    <row r="523" spans="1:16" ht="31.5">
      <c r="A523" s="315">
        <v>64</v>
      </c>
      <c r="B523" s="296" t="s">
        <v>729</v>
      </c>
      <c r="C523" s="301" t="s">
        <v>730</v>
      </c>
      <c r="D523" s="15" t="s">
        <v>40</v>
      </c>
      <c r="E523" s="317">
        <v>5888.2</v>
      </c>
      <c r="F523" s="309">
        <v>2</v>
      </c>
      <c r="G523" s="317">
        <f t="shared" si="35"/>
        <v>11776.4</v>
      </c>
      <c r="H523" s="296"/>
      <c r="I523" s="319">
        <v>0</v>
      </c>
      <c r="J523" s="318"/>
      <c r="K523" s="294">
        <v>0</v>
      </c>
      <c r="L523" s="296"/>
      <c r="M523" s="294">
        <v>0</v>
      </c>
      <c r="N523" s="296">
        <v>0</v>
      </c>
      <c r="O523" s="294">
        <f t="shared" si="39"/>
        <v>0</v>
      </c>
      <c r="P523" s="316">
        <f t="shared" si="41"/>
        <v>11776.4</v>
      </c>
    </row>
    <row r="524" spans="1:16" ht="31.5">
      <c r="A524" s="315">
        <v>65</v>
      </c>
      <c r="B524" s="296" t="s">
        <v>731</v>
      </c>
      <c r="C524" s="301" t="s">
        <v>732</v>
      </c>
      <c r="D524" s="15" t="s">
        <v>40</v>
      </c>
      <c r="E524" s="317">
        <v>997.1</v>
      </c>
      <c r="F524" s="321">
        <v>1</v>
      </c>
      <c r="G524" s="317">
        <f t="shared" si="35"/>
        <v>997.1</v>
      </c>
      <c r="H524" s="296"/>
      <c r="I524" s="319">
        <v>0</v>
      </c>
      <c r="J524" s="318"/>
      <c r="K524" s="294">
        <v>0</v>
      </c>
      <c r="L524" s="296"/>
      <c r="M524" s="294">
        <v>0</v>
      </c>
      <c r="N524" s="296">
        <v>0</v>
      </c>
      <c r="O524" s="294">
        <f t="shared" si="39"/>
        <v>0</v>
      </c>
      <c r="P524" s="316">
        <f t="shared" si="41"/>
        <v>997.1</v>
      </c>
    </row>
    <row r="525" spans="1:16" ht="31.5">
      <c r="A525" s="315">
        <v>66</v>
      </c>
      <c r="B525" s="296" t="s">
        <v>726</v>
      </c>
      <c r="C525" s="13" t="s">
        <v>733</v>
      </c>
      <c r="D525" s="15" t="s">
        <v>40</v>
      </c>
      <c r="E525" s="317">
        <v>1528.1</v>
      </c>
      <c r="F525" s="309">
        <v>2</v>
      </c>
      <c r="G525" s="317">
        <f t="shared" si="35"/>
        <v>3056.2</v>
      </c>
      <c r="H525" s="296"/>
      <c r="I525" s="319">
        <v>0</v>
      </c>
      <c r="J525" s="318"/>
      <c r="K525" s="294">
        <v>0</v>
      </c>
      <c r="L525" s="296"/>
      <c r="M525" s="294">
        <v>0</v>
      </c>
      <c r="N525" s="296">
        <v>0</v>
      </c>
      <c r="O525" s="294">
        <f t="shared" si="39"/>
        <v>0</v>
      </c>
      <c r="P525" s="316">
        <f t="shared" si="41"/>
        <v>3056.2</v>
      </c>
    </row>
    <row r="526" spans="1:16" ht="47.25">
      <c r="A526" s="315">
        <v>67</v>
      </c>
      <c r="B526" s="296" t="s">
        <v>734</v>
      </c>
      <c r="C526" s="13" t="s">
        <v>735</v>
      </c>
      <c r="D526" s="15" t="s">
        <v>40</v>
      </c>
      <c r="E526" s="317">
        <v>53.1</v>
      </c>
      <c r="F526" s="309">
        <v>150</v>
      </c>
      <c r="G526" s="317">
        <f t="shared" si="35"/>
        <v>7965</v>
      </c>
      <c r="H526" s="296"/>
      <c r="I526" s="319">
        <v>0</v>
      </c>
      <c r="J526" s="318"/>
      <c r="K526" s="294">
        <v>0</v>
      </c>
      <c r="L526" s="296"/>
      <c r="M526" s="294">
        <v>0</v>
      </c>
      <c r="N526" s="296">
        <v>0</v>
      </c>
      <c r="O526" s="294">
        <f t="shared" si="39"/>
        <v>0</v>
      </c>
      <c r="P526" s="316">
        <f t="shared" si="41"/>
        <v>7965</v>
      </c>
    </row>
    <row r="527" spans="1:16" ht="15.75">
      <c r="A527" s="315">
        <v>68</v>
      </c>
      <c r="B527" s="296" t="s">
        <v>42</v>
      </c>
      <c r="C527" s="302" t="s">
        <v>736</v>
      </c>
      <c r="D527" s="15" t="s">
        <v>40</v>
      </c>
      <c r="E527" s="317">
        <v>5000</v>
      </c>
      <c r="F527" s="309">
        <v>4</v>
      </c>
      <c r="G527" s="317">
        <f t="shared" si="35"/>
        <v>20000</v>
      </c>
      <c r="H527" s="296"/>
      <c r="I527" s="319">
        <v>0</v>
      </c>
      <c r="J527" s="318"/>
      <c r="K527" s="294">
        <v>0</v>
      </c>
      <c r="L527" s="296"/>
      <c r="M527" s="294">
        <v>0</v>
      </c>
      <c r="N527" s="296">
        <v>0</v>
      </c>
      <c r="O527" s="294">
        <f t="shared" si="39"/>
        <v>0</v>
      </c>
      <c r="P527" s="316">
        <f t="shared" si="41"/>
        <v>20000</v>
      </c>
    </row>
    <row r="528" spans="1:16" ht="24.75">
      <c r="A528" s="315">
        <v>69</v>
      </c>
      <c r="B528" s="296" t="s">
        <v>363</v>
      </c>
      <c r="C528" s="13" t="s">
        <v>737</v>
      </c>
      <c r="D528" s="325" t="s">
        <v>46</v>
      </c>
      <c r="E528" s="317">
        <v>30</v>
      </c>
      <c r="F528" s="309">
        <v>0</v>
      </c>
      <c r="G528" s="317">
        <f t="shared" ref="G528:G551" si="42">E528*F528</f>
        <v>0</v>
      </c>
      <c r="H528" s="296"/>
      <c r="I528" s="319">
        <v>0</v>
      </c>
      <c r="J528" s="318"/>
      <c r="K528" s="294">
        <v>0</v>
      </c>
      <c r="L528" s="296"/>
      <c r="M528" s="294">
        <v>0</v>
      </c>
      <c r="N528" s="296">
        <v>12</v>
      </c>
      <c r="O528" s="294">
        <f t="shared" ref="O528:O535" si="43">E528*N528</f>
        <v>360</v>
      </c>
      <c r="P528" s="316">
        <f t="shared" si="41"/>
        <v>360</v>
      </c>
    </row>
    <row r="529" spans="1:16" ht="18">
      <c r="A529" s="315">
        <v>70</v>
      </c>
      <c r="B529" s="296" t="s">
        <v>738</v>
      </c>
      <c r="C529" s="13" t="s">
        <v>739</v>
      </c>
      <c r="D529" s="308" t="s">
        <v>195</v>
      </c>
      <c r="E529" s="326">
        <v>375.24</v>
      </c>
      <c r="F529" s="309">
        <v>75</v>
      </c>
      <c r="G529" s="327">
        <f t="shared" si="42"/>
        <v>28143</v>
      </c>
      <c r="H529" s="296"/>
      <c r="I529" s="319">
        <v>0</v>
      </c>
      <c r="J529" s="318"/>
      <c r="K529" s="294">
        <v>0</v>
      </c>
      <c r="L529" s="296"/>
      <c r="M529" s="294">
        <v>0</v>
      </c>
      <c r="N529" s="296">
        <v>0</v>
      </c>
      <c r="O529" s="294">
        <f t="shared" si="43"/>
        <v>0</v>
      </c>
      <c r="P529" s="316">
        <f t="shared" si="41"/>
        <v>28143</v>
      </c>
    </row>
    <row r="530" spans="1:16" ht="47.25">
      <c r="A530" s="315">
        <v>71</v>
      </c>
      <c r="B530" s="296" t="s">
        <v>740</v>
      </c>
      <c r="C530" s="13" t="s">
        <v>741</v>
      </c>
      <c r="D530" s="308" t="s">
        <v>37</v>
      </c>
      <c r="E530" s="326">
        <v>2500</v>
      </c>
      <c r="F530" s="309">
        <v>0</v>
      </c>
      <c r="G530" s="327">
        <f t="shared" si="42"/>
        <v>0</v>
      </c>
      <c r="H530" s="296">
        <v>0</v>
      </c>
      <c r="I530" s="319">
        <v>0</v>
      </c>
      <c r="J530" s="318"/>
      <c r="K530" s="294">
        <v>0</v>
      </c>
      <c r="L530" s="296"/>
      <c r="M530" s="294">
        <v>0</v>
      </c>
      <c r="N530" s="296">
        <v>1</v>
      </c>
      <c r="O530" s="294">
        <f t="shared" si="43"/>
        <v>2500</v>
      </c>
      <c r="P530" s="316">
        <f t="shared" si="41"/>
        <v>2500</v>
      </c>
    </row>
    <row r="531" spans="1:16" ht="31.5">
      <c r="A531" s="315">
        <v>72</v>
      </c>
      <c r="B531" s="296" t="s">
        <v>742</v>
      </c>
      <c r="C531" s="13" t="s">
        <v>743</v>
      </c>
      <c r="D531" s="308" t="s">
        <v>40</v>
      </c>
      <c r="E531" s="326">
        <v>500</v>
      </c>
      <c r="F531" s="309">
        <v>2</v>
      </c>
      <c r="G531" s="327">
        <f t="shared" si="42"/>
        <v>1000</v>
      </c>
      <c r="H531" s="296"/>
      <c r="I531" s="319">
        <v>0</v>
      </c>
      <c r="J531" s="318"/>
      <c r="K531" s="294">
        <v>0</v>
      </c>
      <c r="L531" s="296"/>
      <c r="M531" s="294">
        <v>0</v>
      </c>
      <c r="N531" s="296">
        <v>0</v>
      </c>
      <c r="O531" s="294">
        <f t="shared" si="43"/>
        <v>0</v>
      </c>
      <c r="P531" s="316">
        <f t="shared" si="41"/>
        <v>1000</v>
      </c>
    </row>
    <row r="532" spans="1:16" ht="31.5">
      <c r="A532" s="315">
        <v>73</v>
      </c>
      <c r="B532" s="296" t="s">
        <v>744</v>
      </c>
      <c r="C532" s="13" t="s">
        <v>745</v>
      </c>
      <c r="D532" s="308" t="s">
        <v>37</v>
      </c>
      <c r="E532" s="326">
        <v>1000</v>
      </c>
      <c r="F532" s="309">
        <v>0</v>
      </c>
      <c r="G532" s="327">
        <f t="shared" si="42"/>
        <v>0</v>
      </c>
      <c r="H532" s="296"/>
      <c r="I532" s="319">
        <v>0</v>
      </c>
      <c r="J532" s="318"/>
      <c r="K532" s="294">
        <v>0</v>
      </c>
      <c r="L532" s="296"/>
      <c r="M532" s="294">
        <v>0</v>
      </c>
      <c r="N532" s="296">
        <v>1</v>
      </c>
      <c r="O532" s="294">
        <f t="shared" si="43"/>
        <v>1000</v>
      </c>
      <c r="P532" s="316">
        <f t="shared" si="41"/>
        <v>1000</v>
      </c>
    </row>
    <row r="533" spans="1:16" ht="20.25">
      <c r="A533" s="315">
        <v>74</v>
      </c>
      <c r="B533" s="296" t="s">
        <v>746</v>
      </c>
      <c r="C533" s="13" t="s">
        <v>747</v>
      </c>
      <c r="D533" s="308" t="s">
        <v>37</v>
      </c>
      <c r="E533" s="326">
        <v>1189.48</v>
      </c>
      <c r="F533" s="309">
        <v>7</v>
      </c>
      <c r="G533" s="327">
        <f t="shared" si="42"/>
        <v>8326.36</v>
      </c>
      <c r="H533" s="296"/>
      <c r="I533" s="319">
        <v>0</v>
      </c>
      <c r="J533" s="318"/>
      <c r="K533" s="294">
        <v>0</v>
      </c>
      <c r="L533" s="296"/>
      <c r="M533" s="294">
        <v>0</v>
      </c>
      <c r="N533" s="296">
        <v>0</v>
      </c>
      <c r="O533" s="294">
        <f t="shared" si="43"/>
        <v>0</v>
      </c>
      <c r="P533" s="316">
        <f t="shared" si="41"/>
        <v>8326.36</v>
      </c>
    </row>
    <row r="534" spans="1:16" ht="47.25">
      <c r="A534" s="315">
        <v>75</v>
      </c>
      <c r="B534" s="296" t="s">
        <v>748</v>
      </c>
      <c r="C534" s="13" t="s">
        <v>749</v>
      </c>
      <c r="D534" s="308" t="s">
        <v>266</v>
      </c>
      <c r="E534" s="326">
        <v>27500</v>
      </c>
      <c r="F534" s="309">
        <v>0</v>
      </c>
      <c r="G534" s="327">
        <f t="shared" si="42"/>
        <v>0</v>
      </c>
      <c r="H534" s="296"/>
      <c r="I534" s="319">
        <v>0</v>
      </c>
      <c r="J534" s="318"/>
      <c r="K534" s="294">
        <v>0</v>
      </c>
      <c r="L534" s="296"/>
      <c r="M534" s="294">
        <v>0</v>
      </c>
      <c r="N534" s="296">
        <v>1</v>
      </c>
      <c r="O534" s="294">
        <f t="shared" si="43"/>
        <v>27500</v>
      </c>
      <c r="P534" s="316">
        <f t="shared" si="41"/>
        <v>27500</v>
      </c>
    </row>
    <row r="535" spans="1:16" ht="47.25">
      <c r="A535" s="315">
        <v>76</v>
      </c>
      <c r="B535" s="296" t="s">
        <v>696</v>
      </c>
      <c r="C535" s="13" t="s">
        <v>750</v>
      </c>
      <c r="D535" s="308" t="s">
        <v>37</v>
      </c>
      <c r="E535" s="326">
        <v>12500</v>
      </c>
      <c r="F535" s="309">
        <v>0</v>
      </c>
      <c r="G535" s="327">
        <f t="shared" si="42"/>
        <v>0</v>
      </c>
      <c r="H535" s="296"/>
      <c r="I535" s="319">
        <v>0</v>
      </c>
      <c r="J535" s="318"/>
      <c r="K535" s="294">
        <v>0</v>
      </c>
      <c r="L535" s="296"/>
      <c r="M535" s="294">
        <v>0</v>
      </c>
      <c r="N535" s="296">
        <v>3</v>
      </c>
      <c r="O535" s="294">
        <f t="shared" si="43"/>
        <v>37500</v>
      </c>
      <c r="P535" s="316">
        <f t="shared" si="41"/>
        <v>37500</v>
      </c>
    </row>
    <row r="536" spans="1:16" ht="47.25">
      <c r="A536" s="315">
        <v>77</v>
      </c>
      <c r="B536" s="21"/>
      <c r="C536" s="13" t="s">
        <v>751</v>
      </c>
      <c r="D536" s="308" t="s">
        <v>37</v>
      </c>
      <c r="E536" s="303">
        <v>100000</v>
      </c>
      <c r="F536" s="309">
        <v>3</v>
      </c>
      <c r="G536" s="327">
        <f t="shared" si="42"/>
        <v>300000</v>
      </c>
      <c r="H536" s="296"/>
      <c r="I536" s="319">
        <v>0</v>
      </c>
      <c r="J536" s="318"/>
      <c r="K536" s="294">
        <v>0</v>
      </c>
      <c r="L536" s="296"/>
      <c r="M536" s="294">
        <v>0</v>
      </c>
      <c r="N536" s="296">
        <v>0</v>
      </c>
      <c r="O536" s="294">
        <v>0</v>
      </c>
      <c r="P536" s="316">
        <f t="shared" si="41"/>
        <v>300000</v>
      </c>
    </row>
    <row r="537" spans="1:16" ht="47.25">
      <c r="A537" s="315">
        <v>78</v>
      </c>
      <c r="B537" s="21" t="s">
        <v>752</v>
      </c>
      <c r="C537" s="13" t="s">
        <v>753</v>
      </c>
      <c r="D537" s="308" t="s">
        <v>37</v>
      </c>
      <c r="E537" s="326">
        <v>14738.2</v>
      </c>
      <c r="F537" s="309">
        <v>7</v>
      </c>
      <c r="G537" s="327">
        <f t="shared" si="42"/>
        <v>103167.40000000001</v>
      </c>
      <c r="H537" s="296"/>
      <c r="I537" s="319">
        <v>0</v>
      </c>
      <c r="J537" s="318"/>
      <c r="K537" s="294">
        <v>0</v>
      </c>
      <c r="L537" s="296"/>
      <c r="M537" s="294">
        <v>0</v>
      </c>
      <c r="N537" s="296">
        <v>0</v>
      </c>
      <c r="O537" s="294">
        <v>0</v>
      </c>
      <c r="P537" s="316">
        <f t="shared" si="41"/>
        <v>103167.40000000001</v>
      </c>
    </row>
    <row r="538" spans="1:16" ht="31.5">
      <c r="A538" s="315">
        <v>79</v>
      </c>
      <c r="B538" s="21"/>
      <c r="C538" s="13" t="s">
        <v>754</v>
      </c>
      <c r="D538" s="308" t="s">
        <v>37</v>
      </c>
      <c r="E538" s="326">
        <v>11204.1</v>
      </c>
      <c r="F538" s="309">
        <v>5</v>
      </c>
      <c r="G538" s="327">
        <f t="shared" si="42"/>
        <v>56020.5</v>
      </c>
      <c r="H538" s="296"/>
      <c r="I538" s="319">
        <v>0</v>
      </c>
      <c r="J538" s="318"/>
      <c r="K538" s="294">
        <v>0</v>
      </c>
      <c r="L538" s="296"/>
      <c r="M538" s="294">
        <v>0</v>
      </c>
      <c r="N538" s="296">
        <v>0</v>
      </c>
      <c r="O538" s="294">
        <v>0</v>
      </c>
      <c r="P538" s="316">
        <f t="shared" si="41"/>
        <v>56020.5</v>
      </c>
    </row>
    <row r="539" spans="1:16" ht="47.25">
      <c r="A539" s="315">
        <v>80</v>
      </c>
      <c r="B539" s="304"/>
      <c r="C539" s="13" t="s">
        <v>755</v>
      </c>
      <c r="D539" s="308" t="s">
        <v>195</v>
      </c>
      <c r="E539" s="326">
        <v>65</v>
      </c>
      <c r="F539" s="309">
        <v>0</v>
      </c>
      <c r="G539" s="327">
        <f t="shared" si="42"/>
        <v>0</v>
      </c>
      <c r="H539" s="296"/>
      <c r="I539" s="319">
        <v>0</v>
      </c>
      <c r="J539" s="318"/>
      <c r="K539" s="294">
        <v>0</v>
      </c>
      <c r="L539" s="296"/>
      <c r="M539" s="294">
        <v>0</v>
      </c>
      <c r="N539" s="296">
        <v>2</v>
      </c>
      <c r="O539" s="294">
        <v>130</v>
      </c>
      <c r="P539" s="316">
        <f t="shared" si="41"/>
        <v>130</v>
      </c>
    </row>
    <row r="540" spans="1:16" ht="47.25">
      <c r="A540" s="315">
        <v>81</v>
      </c>
      <c r="B540" s="304"/>
      <c r="C540" s="305" t="s">
        <v>756</v>
      </c>
      <c r="D540" s="308" t="s">
        <v>37</v>
      </c>
      <c r="E540" s="309">
        <v>3</v>
      </c>
      <c r="F540" s="328">
        <v>30000</v>
      </c>
      <c r="G540" s="327">
        <f t="shared" si="42"/>
        <v>90000</v>
      </c>
      <c r="H540" s="296"/>
      <c r="I540" s="308">
        <v>0</v>
      </c>
      <c r="J540" s="318"/>
      <c r="K540" s="294">
        <v>0</v>
      </c>
      <c r="L540" s="296"/>
      <c r="M540" s="294">
        <v>0</v>
      </c>
      <c r="N540" s="296">
        <v>0</v>
      </c>
      <c r="O540" s="294">
        <v>0</v>
      </c>
      <c r="P540" s="316">
        <f t="shared" si="41"/>
        <v>90000</v>
      </c>
    </row>
    <row r="541" spans="1:16" ht="31.5">
      <c r="A541" s="329">
        <v>82</v>
      </c>
      <c r="B541" s="304"/>
      <c r="C541" s="306" t="s">
        <v>757</v>
      </c>
      <c r="D541" s="308" t="s">
        <v>195</v>
      </c>
      <c r="E541" s="321">
        <v>65</v>
      </c>
      <c r="F541" s="328">
        <v>352.82</v>
      </c>
      <c r="G541" s="327">
        <f t="shared" si="42"/>
        <v>22933.3</v>
      </c>
      <c r="H541" s="296"/>
      <c r="I541" s="308">
        <v>0</v>
      </c>
      <c r="J541" s="318"/>
      <c r="K541" s="294">
        <v>0</v>
      </c>
      <c r="L541" s="296"/>
      <c r="M541" s="294">
        <v>0</v>
      </c>
      <c r="N541" s="296">
        <v>0</v>
      </c>
      <c r="O541" s="294">
        <v>0</v>
      </c>
      <c r="P541" s="316">
        <f t="shared" si="41"/>
        <v>22933.3</v>
      </c>
    </row>
    <row r="542" spans="1:16" ht="63">
      <c r="A542" s="329">
        <v>83</v>
      </c>
      <c r="B542" s="304"/>
      <c r="C542" s="306" t="s">
        <v>758</v>
      </c>
      <c r="D542" s="325" t="s">
        <v>37</v>
      </c>
      <c r="E542" s="309">
        <v>0</v>
      </c>
      <c r="F542" s="328">
        <v>30000</v>
      </c>
      <c r="G542" s="327">
        <f t="shared" si="42"/>
        <v>0</v>
      </c>
      <c r="H542" s="296"/>
      <c r="I542" s="325">
        <v>0</v>
      </c>
      <c r="J542" s="318"/>
      <c r="K542" s="294">
        <v>0</v>
      </c>
      <c r="L542" s="296"/>
      <c r="M542" s="294">
        <v>0</v>
      </c>
      <c r="N542" s="296">
        <v>0</v>
      </c>
      <c r="O542" s="294">
        <v>0</v>
      </c>
      <c r="P542" s="316">
        <f t="shared" si="41"/>
        <v>0</v>
      </c>
    </row>
    <row r="543" spans="1:16" ht="47.25">
      <c r="A543" s="329">
        <v>84</v>
      </c>
      <c r="B543" s="304"/>
      <c r="C543" s="306" t="s">
        <v>759</v>
      </c>
      <c r="D543" s="325" t="s">
        <v>760</v>
      </c>
      <c r="E543" s="317">
        <v>8200</v>
      </c>
      <c r="F543" s="328">
        <v>20</v>
      </c>
      <c r="G543" s="327">
        <f t="shared" si="42"/>
        <v>164000</v>
      </c>
      <c r="H543" s="296"/>
      <c r="I543" s="325">
        <v>0</v>
      </c>
      <c r="J543" s="318"/>
      <c r="K543" s="294">
        <v>0</v>
      </c>
      <c r="L543" s="296"/>
      <c r="M543" s="294">
        <v>0</v>
      </c>
      <c r="N543" s="296">
        <v>0</v>
      </c>
      <c r="O543" s="294">
        <v>0</v>
      </c>
      <c r="P543" s="316">
        <f t="shared" si="41"/>
        <v>164000</v>
      </c>
    </row>
    <row r="544" spans="1:16" ht="47.25">
      <c r="A544" s="329">
        <v>85</v>
      </c>
      <c r="B544" s="304"/>
      <c r="C544" s="307" t="s">
        <v>761</v>
      </c>
      <c r="D544" s="325" t="s">
        <v>37</v>
      </c>
      <c r="E544" s="309">
        <v>3</v>
      </c>
      <c r="F544" s="328">
        <v>225</v>
      </c>
      <c r="G544" s="327">
        <f t="shared" si="42"/>
        <v>675</v>
      </c>
      <c r="H544" s="296"/>
      <c r="I544" s="325">
        <v>0</v>
      </c>
      <c r="J544" s="318"/>
      <c r="K544" s="294">
        <v>0</v>
      </c>
      <c r="L544" s="296"/>
      <c r="M544" s="294">
        <v>0</v>
      </c>
      <c r="N544" s="296">
        <v>0</v>
      </c>
      <c r="O544" s="294">
        <v>0</v>
      </c>
      <c r="P544" s="316">
        <f t="shared" si="41"/>
        <v>675</v>
      </c>
    </row>
    <row r="545" spans="1:16" ht="47.25">
      <c r="A545" s="329">
        <v>86</v>
      </c>
      <c r="B545" s="304"/>
      <c r="C545" s="307" t="s">
        <v>762</v>
      </c>
      <c r="D545" s="325" t="s">
        <v>46</v>
      </c>
      <c r="E545" s="303">
        <v>136</v>
      </c>
      <c r="F545" s="317">
        <v>20</v>
      </c>
      <c r="G545" s="327">
        <f t="shared" si="42"/>
        <v>2720</v>
      </c>
      <c r="H545" s="296"/>
      <c r="I545" s="325">
        <v>0</v>
      </c>
      <c r="J545" s="318"/>
      <c r="K545" s="294">
        <v>0</v>
      </c>
      <c r="L545" s="296"/>
      <c r="M545" s="294">
        <v>0</v>
      </c>
      <c r="N545" s="296">
        <v>0</v>
      </c>
      <c r="O545" s="294">
        <v>0</v>
      </c>
      <c r="P545" s="316">
        <f t="shared" si="41"/>
        <v>2720</v>
      </c>
    </row>
    <row r="546" spans="1:16" ht="31.5">
      <c r="A546" s="329">
        <v>87</v>
      </c>
      <c r="B546" s="304"/>
      <c r="C546" s="301" t="s">
        <v>763</v>
      </c>
      <c r="D546" s="308" t="s">
        <v>37</v>
      </c>
      <c r="E546" s="326">
        <v>7000</v>
      </c>
      <c r="F546" s="317">
        <v>0</v>
      </c>
      <c r="G546" s="327">
        <v>0</v>
      </c>
      <c r="H546" s="296"/>
      <c r="I546" s="325"/>
      <c r="J546" s="318"/>
      <c r="K546" s="294"/>
      <c r="L546" s="296"/>
      <c r="M546" s="294"/>
      <c r="N546" s="296">
        <v>1</v>
      </c>
      <c r="O546" s="294">
        <v>7000</v>
      </c>
      <c r="P546" s="316">
        <f t="shared" si="41"/>
        <v>7000</v>
      </c>
    </row>
    <row r="547" spans="1:16" ht="47.25">
      <c r="A547" s="329">
        <v>88</v>
      </c>
      <c r="B547" s="304"/>
      <c r="C547" s="301" t="s">
        <v>764</v>
      </c>
      <c r="D547" s="308" t="s">
        <v>37</v>
      </c>
      <c r="E547" s="326">
        <v>35000</v>
      </c>
      <c r="F547" s="309">
        <v>1</v>
      </c>
      <c r="G547" s="327">
        <f t="shared" si="42"/>
        <v>35000</v>
      </c>
      <c r="H547" s="296"/>
      <c r="I547" s="325"/>
      <c r="J547" s="318"/>
      <c r="K547" s="294"/>
      <c r="L547" s="296"/>
      <c r="M547" s="294"/>
      <c r="N547" s="296"/>
      <c r="O547" s="294"/>
      <c r="P547" s="316">
        <f t="shared" si="41"/>
        <v>35000</v>
      </c>
    </row>
    <row r="548" spans="1:16" ht="31.5">
      <c r="A548" s="329">
        <v>89</v>
      </c>
      <c r="B548" s="304"/>
      <c r="C548" s="301" t="s">
        <v>765</v>
      </c>
      <c r="D548" s="308" t="s">
        <v>37</v>
      </c>
      <c r="E548" s="326">
        <v>20000</v>
      </c>
      <c r="F548" s="309">
        <v>3</v>
      </c>
      <c r="G548" s="327">
        <f t="shared" si="42"/>
        <v>60000</v>
      </c>
      <c r="H548" s="296"/>
      <c r="I548" s="325"/>
      <c r="J548" s="318"/>
      <c r="K548" s="294"/>
      <c r="L548" s="296"/>
      <c r="M548" s="294"/>
      <c r="N548" s="296"/>
      <c r="O548" s="294"/>
      <c r="P548" s="316">
        <f t="shared" si="41"/>
        <v>60000</v>
      </c>
    </row>
    <row r="549" spans="1:16" ht="20.25">
      <c r="A549" s="329">
        <v>90</v>
      </c>
      <c r="B549" s="304"/>
      <c r="C549" s="301" t="s">
        <v>766</v>
      </c>
      <c r="D549" s="308" t="s">
        <v>37</v>
      </c>
      <c r="E549" s="326">
        <v>20</v>
      </c>
      <c r="F549" s="309">
        <v>0</v>
      </c>
      <c r="G549" s="327">
        <f t="shared" si="42"/>
        <v>0</v>
      </c>
      <c r="H549" s="296"/>
      <c r="I549" s="325"/>
      <c r="J549" s="318"/>
      <c r="K549" s="294"/>
      <c r="L549" s="296"/>
      <c r="M549" s="294"/>
      <c r="N549" s="296">
        <v>14</v>
      </c>
      <c r="O549" s="294">
        <v>280</v>
      </c>
      <c r="P549" s="316">
        <f t="shared" si="41"/>
        <v>280</v>
      </c>
    </row>
    <row r="550" spans="1:16" ht="31.5">
      <c r="A550" s="329">
        <v>91</v>
      </c>
      <c r="B550" s="304"/>
      <c r="C550" s="307" t="s">
        <v>767</v>
      </c>
      <c r="D550" s="308" t="s">
        <v>37</v>
      </c>
      <c r="E550" s="326">
        <v>50000</v>
      </c>
      <c r="F550" s="309">
        <v>1</v>
      </c>
      <c r="G550" s="327"/>
      <c r="H550" s="296"/>
      <c r="I550" s="325"/>
      <c r="J550" s="318"/>
      <c r="K550" s="294"/>
      <c r="L550" s="296"/>
      <c r="M550" s="294"/>
      <c r="N550" s="296">
        <v>1</v>
      </c>
      <c r="O550" s="294">
        <v>50000</v>
      </c>
      <c r="P550" s="316">
        <f t="shared" si="41"/>
        <v>50000</v>
      </c>
    </row>
    <row r="551" spans="1:16" ht="110.25">
      <c r="A551" s="329">
        <v>92</v>
      </c>
      <c r="B551" s="304"/>
      <c r="C551" s="330" t="s">
        <v>768</v>
      </c>
      <c r="D551" s="308" t="s">
        <v>37</v>
      </c>
      <c r="E551" s="326">
        <v>967600</v>
      </c>
      <c r="F551" s="309">
        <v>1</v>
      </c>
      <c r="G551" s="327">
        <f t="shared" si="42"/>
        <v>967600</v>
      </c>
      <c r="H551" s="296"/>
      <c r="I551" s="325"/>
      <c r="J551" s="318"/>
      <c r="K551" s="294"/>
      <c r="L551" s="296"/>
      <c r="M551" s="294"/>
      <c r="N551" s="296"/>
      <c r="O551" s="294"/>
      <c r="P551" s="316">
        <f t="shared" si="41"/>
        <v>967600</v>
      </c>
    </row>
    <row r="552" spans="1:16" ht="15.75">
      <c r="A552" s="331"/>
      <c r="B552" s="21"/>
      <c r="C552" s="13"/>
      <c r="D552" s="23"/>
      <c r="E552" s="324"/>
      <c r="F552" s="309"/>
      <c r="G552" s="327">
        <f>SUM(G464:G551)</f>
        <v>2911578.4760999996</v>
      </c>
      <c r="H552" s="296"/>
      <c r="I552" s="332">
        <f>SUM(I464:I529)</f>
        <v>0</v>
      </c>
      <c r="J552" s="318"/>
      <c r="K552" s="294">
        <f>SUM(K480:K529)</f>
        <v>0</v>
      </c>
      <c r="L552" s="296"/>
      <c r="M552" s="294">
        <f>SUM(M469:M529)</f>
        <v>0</v>
      </c>
      <c r="N552" s="296">
        <v>0</v>
      </c>
      <c r="O552" s="294">
        <f>SUM(O464:O551)</f>
        <v>201770</v>
      </c>
      <c r="P552" s="316">
        <f>SUM(P464:P551)</f>
        <v>3113348.4760999996</v>
      </c>
    </row>
    <row r="553" spans="1:16" ht="63">
      <c r="A553" s="1312"/>
      <c r="B553" s="1313"/>
      <c r="C553" s="1313"/>
      <c r="D553" s="1313"/>
      <c r="E553" s="1313"/>
      <c r="F553" s="1314"/>
      <c r="G553" s="294" t="s">
        <v>769</v>
      </c>
      <c r="H553" s="332"/>
      <c r="I553" s="294" t="s">
        <v>770</v>
      </c>
      <c r="J553" s="333"/>
      <c r="K553" s="294" t="s">
        <v>771</v>
      </c>
      <c r="L553" s="333"/>
      <c r="M553" s="294" t="s">
        <v>772</v>
      </c>
      <c r="N553" s="333"/>
      <c r="O553" s="294" t="s">
        <v>773</v>
      </c>
      <c r="P553" s="332" t="s">
        <v>117</v>
      </c>
    </row>
    <row r="556" spans="1:16">
      <c r="A556" s="334" t="s">
        <v>774</v>
      </c>
      <c r="B556" s="334"/>
      <c r="C556" s="334"/>
      <c r="H556" s="334" t="s">
        <v>775</v>
      </c>
      <c r="I556" s="334"/>
      <c r="J556" s="335">
        <v>46235</v>
      </c>
      <c r="K556" s="334"/>
      <c r="L556" s="334"/>
    </row>
    <row r="557" spans="1:16">
      <c r="A557" s="334" t="s">
        <v>776</v>
      </c>
      <c r="B557" s="334"/>
      <c r="C557" s="334"/>
      <c r="I557" s="334"/>
      <c r="J557" s="334"/>
      <c r="K557" s="334"/>
      <c r="L557" s="334"/>
    </row>
    <row r="558" spans="1:16">
      <c r="A558" s="334" t="s">
        <v>777</v>
      </c>
      <c r="B558" s="334"/>
      <c r="C558" s="334"/>
      <c r="D558" s="334"/>
      <c r="I558" s="334"/>
      <c r="J558" s="334"/>
      <c r="K558" s="334"/>
      <c r="L558" s="334"/>
    </row>
    <row r="559" spans="1:16">
      <c r="A559" s="334" t="s">
        <v>778</v>
      </c>
      <c r="B559" s="334"/>
      <c r="C559" s="334"/>
      <c r="D559" s="334"/>
      <c r="I559" s="334"/>
      <c r="J559" s="334"/>
      <c r="K559" s="334"/>
      <c r="L559" s="334"/>
    </row>
    <row r="560" spans="1:16">
      <c r="A560" s="1317" t="s">
        <v>109</v>
      </c>
      <c r="B560" s="1319" t="s">
        <v>110</v>
      </c>
      <c r="C560" s="1320" t="s">
        <v>111</v>
      </c>
      <c r="D560" s="1320" t="s">
        <v>112</v>
      </c>
      <c r="E560" s="1319" t="s">
        <v>113</v>
      </c>
      <c r="F560" s="1316" t="s">
        <v>114</v>
      </c>
      <c r="G560" s="1316"/>
      <c r="H560" s="1316" t="s">
        <v>115</v>
      </c>
      <c r="I560" s="1316"/>
      <c r="J560" s="1316" t="s">
        <v>116</v>
      </c>
      <c r="K560" s="1316"/>
      <c r="L560" s="1316" t="s">
        <v>1</v>
      </c>
      <c r="M560" s="1316"/>
      <c r="N560" s="1316" t="s">
        <v>0</v>
      </c>
      <c r="O560" s="1316"/>
    </row>
    <row r="561" spans="1:15" ht="45">
      <c r="A561" s="1318"/>
      <c r="B561" s="1319"/>
      <c r="C561" s="1320"/>
      <c r="D561" s="1320"/>
      <c r="E561" s="1319"/>
      <c r="F561" s="60" t="s">
        <v>118</v>
      </c>
      <c r="G561" s="10" t="s">
        <v>119</v>
      </c>
      <c r="H561" s="60" t="s">
        <v>118</v>
      </c>
      <c r="I561" s="10" t="s">
        <v>119</v>
      </c>
      <c r="J561" s="60" t="s">
        <v>118</v>
      </c>
      <c r="K561" s="10" t="s">
        <v>119</v>
      </c>
      <c r="L561" s="60" t="s">
        <v>118</v>
      </c>
      <c r="M561" s="10" t="s">
        <v>119</v>
      </c>
      <c r="N561" s="60" t="s">
        <v>118</v>
      </c>
      <c r="O561" s="10" t="s">
        <v>119</v>
      </c>
    </row>
    <row r="562" spans="1:15" ht="16.5">
      <c r="A562" s="34">
        <v>1</v>
      </c>
      <c r="B562" s="34"/>
      <c r="C562" s="338" t="s">
        <v>779</v>
      </c>
      <c r="D562" s="339" t="s">
        <v>324</v>
      </c>
      <c r="E562" s="60">
        <v>279.89999999999998</v>
      </c>
      <c r="F562" s="340">
        <v>938</v>
      </c>
      <c r="G562" s="341">
        <f t="shared" ref="G562:G625" si="44">E562*F562</f>
        <v>262546.19999999995</v>
      </c>
      <c r="H562" s="341"/>
      <c r="I562" s="34"/>
      <c r="J562" s="34"/>
      <c r="K562" s="34"/>
      <c r="L562" s="34"/>
      <c r="M562" s="34"/>
      <c r="N562" s="34"/>
      <c r="O562" s="34"/>
    </row>
    <row r="563" spans="1:15" ht="16.5">
      <c r="A563" s="34">
        <v>2</v>
      </c>
      <c r="B563" s="34"/>
      <c r="C563" s="338" t="s">
        <v>780</v>
      </c>
      <c r="D563" s="339" t="s">
        <v>324</v>
      </c>
      <c r="E563" s="60">
        <v>135</v>
      </c>
      <c r="F563" s="340">
        <v>1535</v>
      </c>
      <c r="G563" s="341">
        <f t="shared" si="44"/>
        <v>207225</v>
      </c>
      <c r="H563" s="341"/>
      <c r="I563" s="34"/>
      <c r="J563" s="34"/>
      <c r="K563" s="34"/>
      <c r="L563" s="34"/>
      <c r="M563" s="34"/>
      <c r="N563" s="34"/>
      <c r="O563" s="34"/>
    </row>
    <row r="564" spans="1:15" ht="16.5">
      <c r="A564" s="34">
        <v>3</v>
      </c>
      <c r="B564" s="34"/>
      <c r="C564" s="338" t="s">
        <v>781</v>
      </c>
      <c r="D564" s="339" t="s">
        <v>324</v>
      </c>
      <c r="E564" s="60">
        <v>49.95</v>
      </c>
      <c r="F564" s="340">
        <v>388</v>
      </c>
      <c r="G564" s="34">
        <f t="shared" si="44"/>
        <v>19380.600000000002</v>
      </c>
      <c r="H564" s="34"/>
      <c r="I564" s="34"/>
      <c r="J564" s="34"/>
      <c r="K564" s="34"/>
      <c r="L564" s="34"/>
      <c r="M564" s="34"/>
      <c r="N564" s="34"/>
      <c r="O564" s="34"/>
    </row>
    <row r="565" spans="1:15" ht="16.5">
      <c r="A565" s="34">
        <v>4</v>
      </c>
      <c r="B565" s="34"/>
      <c r="C565" s="338" t="s">
        <v>782</v>
      </c>
      <c r="D565" s="339" t="s">
        <v>324</v>
      </c>
      <c r="E565" s="60">
        <v>18000</v>
      </c>
      <c r="F565" s="342">
        <v>37</v>
      </c>
      <c r="G565" s="34">
        <f t="shared" si="44"/>
        <v>666000</v>
      </c>
      <c r="H565" s="34"/>
      <c r="I565" s="34"/>
      <c r="J565" s="34"/>
      <c r="K565" s="34"/>
      <c r="L565" s="34"/>
      <c r="M565" s="34"/>
      <c r="N565" s="34"/>
      <c r="O565" s="34"/>
    </row>
    <row r="566" spans="1:15" ht="49.5">
      <c r="A566" s="34">
        <v>5</v>
      </c>
      <c r="B566" s="34"/>
      <c r="C566" s="343" t="s">
        <v>783</v>
      </c>
      <c r="D566" s="344"/>
      <c r="E566" s="60">
        <v>202.65</v>
      </c>
      <c r="F566" s="345">
        <v>100</v>
      </c>
      <c r="G566" s="34">
        <f t="shared" si="44"/>
        <v>20265</v>
      </c>
      <c r="H566" s="341"/>
      <c r="I566" s="34"/>
      <c r="J566" s="34"/>
      <c r="K566" s="34"/>
      <c r="L566" s="34"/>
      <c r="M566" s="34"/>
      <c r="N566" s="34"/>
      <c r="O566" s="34"/>
    </row>
    <row r="567" spans="1:15" ht="33">
      <c r="A567" s="34">
        <v>6</v>
      </c>
      <c r="B567" s="34"/>
      <c r="C567" s="343" t="s">
        <v>784</v>
      </c>
      <c r="D567" s="344" t="s">
        <v>246</v>
      </c>
      <c r="E567" s="60">
        <v>29115</v>
      </c>
      <c r="F567" s="346">
        <v>1</v>
      </c>
      <c r="G567" s="34">
        <f t="shared" si="44"/>
        <v>29115</v>
      </c>
      <c r="H567" s="34"/>
      <c r="I567" s="34"/>
      <c r="J567" s="34"/>
      <c r="K567" s="34"/>
      <c r="L567" s="34"/>
      <c r="M567" s="34"/>
      <c r="N567" s="34"/>
      <c r="O567" s="34"/>
    </row>
    <row r="568" spans="1:15" ht="16.5">
      <c r="A568" s="34">
        <v>7</v>
      </c>
      <c r="B568" s="34"/>
      <c r="C568" s="347" t="s">
        <v>785</v>
      </c>
      <c r="D568" s="344" t="s">
        <v>786</v>
      </c>
      <c r="E568" s="60">
        <v>76.599999999999994</v>
      </c>
      <c r="F568" s="346">
        <v>990</v>
      </c>
      <c r="G568" s="34">
        <f t="shared" si="44"/>
        <v>75834</v>
      </c>
      <c r="H568" s="34"/>
      <c r="I568" s="34"/>
      <c r="J568" s="34"/>
      <c r="K568" s="34"/>
      <c r="L568" s="34"/>
      <c r="M568" s="34"/>
      <c r="N568" s="34"/>
      <c r="O568" s="34"/>
    </row>
    <row r="569" spans="1:15" ht="49.5">
      <c r="A569" s="34">
        <v>8</v>
      </c>
      <c r="B569" s="34"/>
      <c r="C569" s="343" t="s">
        <v>787</v>
      </c>
      <c r="D569" s="344" t="s">
        <v>788</v>
      </c>
      <c r="E569" s="60">
        <v>172759</v>
      </c>
      <c r="F569" s="348">
        <v>1</v>
      </c>
      <c r="G569" s="34">
        <f t="shared" si="44"/>
        <v>172759</v>
      </c>
      <c r="H569" s="34"/>
      <c r="I569" s="34"/>
      <c r="J569" s="34"/>
      <c r="K569" s="34"/>
      <c r="L569" s="34"/>
      <c r="M569" s="34"/>
      <c r="N569" s="34"/>
      <c r="O569" s="34"/>
    </row>
    <row r="570" spans="1:15" ht="49.5">
      <c r="A570" s="34">
        <v>9</v>
      </c>
      <c r="B570" s="34"/>
      <c r="C570" s="343" t="s">
        <v>789</v>
      </c>
      <c r="D570" s="344" t="s">
        <v>788</v>
      </c>
      <c r="E570" s="60">
        <v>162558</v>
      </c>
      <c r="F570" s="348">
        <v>1</v>
      </c>
      <c r="G570" s="34">
        <f t="shared" si="44"/>
        <v>162558</v>
      </c>
      <c r="H570" s="34"/>
      <c r="I570" s="34"/>
      <c r="J570" s="34"/>
      <c r="K570" s="34"/>
      <c r="L570" s="34"/>
      <c r="M570" s="34"/>
      <c r="N570" s="34"/>
      <c r="O570" s="34"/>
    </row>
    <row r="571" spans="1:15" ht="33">
      <c r="A571" s="34">
        <v>10</v>
      </c>
      <c r="B571" s="34"/>
      <c r="C571" s="343" t="s">
        <v>790</v>
      </c>
      <c r="D571" s="344" t="s">
        <v>37</v>
      </c>
      <c r="E571" s="60">
        <v>22950</v>
      </c>
      <c r="F571" s="348">
        <v>7</v>
      </c>
      <c r="G571" s="34">
        <f t="shared" si="44"/>
        <v>160650</v>
      </c>
      <c r="H571" s="34"/>
      <c r="I571" s="34"/>
      <c r="J571" s="34"/>
      <c r="K571" s="34"/>
      <c r="L571" s="34"/>
      <c r="M571" s="34"/>
      <c r="N571" s="34"/>
      <c r="O571" s="34"/>
    </row>
    <row r="572" spans="1:15" ht="66">
      <c r="A572" s="34">
        <v>11</v>
      </c>
      <c r="B572" s="34"/>
      <c r="C572" s="343" t="s">
        <v>791</v>
      </c>
      <c r="D572" s="344" t="s">
        <v>266</v>
      </c>
      <c r="E572" s="60">
        <v>5221</v>
      </c>
      <c r="F572" s="348">
        <v>4</v>
      </c>
      <c r="G572" s="34">
        <f t="shared" si="44"/>
        <v>20884</v>
      </c>
      <c r="H572" s="34"/>
      <c r="I572" s="34"/>
      <c r="J572" s="34"/>
      <c r="K572" s="34"/>
      <c r="L572" s="34"/>
      <c r="M572" s="34"/>
      <c r="N572" s="34"/>
      <c r="O572" s="34"/>
    </row>
    <row r="573" spans="1:15" ht="33">
      <c r="A573" s="34">
        <v>13</v>
      </c>
      <c r="B573" s="34"/>
      <c r="C573" s="343" t="s">
        <v>792</v>
      </c>
      <c r="D573" s="344" t="s">
        <v>37</v>
      </c>
      <c r="E573" s="60">
        <v>13046.8</v>
      </c>
      <c r="F573" s="346">
        <v>1</v>
      </c>
      <c r="G573" s="34">
        <f t="shared" si="44"/>
        <v>13046.8</v>
      </c>
      <c r="H573" s="341"/>
      <c r="I573" s="34"/>
      <c r="J573" s="34"/>
      <c r="K573" s="34"/>
      <c r="L573" s="34"/>
      <c r="M573" s="34"/>
      <c r="N573" s="34"/>
      <c r="O573" s="34"/>
    </row>
    <row r="574" spans="1:15" ht="49.5">
      <c r="A574" s="34">
        <v>14</v>
      </c>
      <c r="B574" s="34"/>
      <c r="C574" s="343" t="s">
        <v>793</v>
      </c>
      <c r="D574" s="344" t="s">
        <v>788</v>
      </c>
      <c r="E574" s="60">
        <v>290</v>
      </c>
      <c r="F574" s="348">
        <v>4</v>
      </c>
      <c r="G574" s="34">
        <f t="shared" si="44"/>
        <v>1160</v>
      </c>
      <c r="H574" s="34"/>
      <c r="I574" s="34"/>
      <c r="J574" s="34"/>
      <c r="K574" s="34"/>
      <c r="L574" s="34"/>
      <c r="M574" s="34"/>
      <c r="N574" s="34"/>
      <c r="O574" s="34"/>
    </row>
    <row r="575" spans="1:15" ht="82.5">
      <c r="A575" s="34">
        <v>15</v>
      </c>
      <c r="B575" s="34"/>
      <c r="C575" s="343" t="s">
        <v>794</v>
      </c>
      <c r="D575" s="344" t="s">
        <v>37</v>
      </c>
      <c r="E575" s="60">
        <v>60000</v>
      </c>
      <c r="F575" s="348">
        <v>1</v>
      </c>
      <c r="G575" s="34">
        <f t="shared" si="44"/>
        <v>60000</v>
      </c>
      <c r="H575" s="34"/>
      <c r="I575" s="34"/>
      <c r="J575" s="34"/>
      <c r="K575" s="34"/>
      <c r="L575" s="34"/>
      <c r="M575" s="34"/>
      <c r="N575" s="34"/>
      <c r="O575" s="34"/>
    </row>
    <row r="576" spans="1:15" ht="33">
      <c r="A576" s="34">
        <v>16</v>
      </c>
      <c r="B576" s="34"/>
      <c r="C576" s="343" t="s">
        <v>795</v>
      </c>
      <c r="D576" s="344" t="s">
        <v>37</v>
      </c>
      <c r="E576" s="60">
        <v>1610</v>
      </c>
      <c r="F576" s="348">
        <v>26</v>
      </c>
      <c r="G576" s="34">
        <f t="shared" si="44"/>
        <v>41860</v>
      </c>
      <c r="H576" s="341"/>
      <c r="I576" s="34"/>
      <c r="J576" s="34"/>
      <c r="K576" s="34"/>
      <c r="L576" s="34"/>
      <c r="M576" s="34"/>
      <c r="N576" s="34"/>
      <c r="O576" s="34"/>
    </row>
    <row r="577" spans="1:15" ht="33">
      <c r="A577" s="34">
        <v>17</v>
      </c>
      <c r="B577" s="34"/>
      <c r="C577" s="343" t="s">
        <v>796</v>
      </c>
      <c r="D577" s="344" t="s">
        <v>37</v>
      </c>
      <c r="E577" s="60">
        <v>999</v>
      </c>
      <c r="F577" s="346">
        <v>54</v>
      </c>
      <c r="G577" s="34">
        <f t="shared" si="44"/>
        <v>53946</v>
      </c>
      <c r="H577" s="341"/>
      <c r="I577" s="34"/>
      <c r="J577" s="34"/>
      <c r="K577" s="34"/>
      <c r="L577" s="34"/>
      <c r="M577" s="34"/>
      <c r="N577" s="34"/>
      <c r="O577" s="34"/>
    </row>
    <row r="578" spans="1:15" ht="33">
      <c r="A578" s="34">
        <v>18</v>
      </c>
      <c r="B578" s="34"/>
      <c r="C578" s="343" t="s">
        <v>797</v>
      </c>
      <c r="D578" s="344" t="s">
        <v>37</v>
      </c>
      <c r="E578" s="60">
        <v>599</v>
      </c>
      <c r="F578" s="348">
        <v>14</v>
      </c>
      <c r="G578" s="34">
        <f t="shared" si="44"/>
        <v>8386</v>
      </c>
      <c r="H578" s="34"/>
      <c r="I578" s="34"/>
      <c r="J578" s="34"/>
      <c r="K578" s="34"/>
      <c r="L578" s="34"/>
      <c r="M578" s="34"/>
      <c r="N578" s="34"/>
      <c r="O578" s="34"/>
    </row>
    <row r="579" spans="1:15" ht="33">
      <c r="A579" s="34">
        <v>19</v>
      </c>
      <c r="B579" s="34"/>
      <c r="C579" s="343" t="s">
        <v>797</v>
      </c>
      <c r="D579" s="344" t="s">
        <v>37</v>
      </c>
      <c r="E579" s="60">
        <v>1310</v>
      </c>
      <c r="F579" s="348">
        <v>15</v>
      </c>
      <c r="G579" s="34">
        <f t="shared" si="44"/>
        <v>19650</v>
      </c>
      <c r="H579" s="34"/>
      <c r="I579" s="34"/>
      <c r="J579" s="34"/>
      <c r="K579" s="34"/>
      <c r="L579" s="34"/>
      <c r="M579" s="34"/>
      <c r="N579" s="34"/>
      <c r="O579" s="34"/>
    </row>
    <row r="580" spans="1:15" ht="49.5">
      <c r="A580" s="34">
        <v>20</v>
      </c>
      <c r="B580" s="34"/>
      <c r="C580" s="343" t="s">
        <v>798</v>
      </c>
      <c r="D580" s="344" t="s">
        <v>37</v>
      </c>
      <c r="E580" s="60">
        <v>860</v>
      </c>
      <c r="F580" s="348">
        <v>143</v>
      </c>
      <c r="G580" s="34">
        <f t="shared" si="44"/>
        <v>122980</v>
      </c>
      <c r="H580" s="34"/>
      <c r="I580" s="34"/>
      <c r="J580" s="34"/>
      <c r="K580" s="34"/>
      <c r="L580" s="34"/>
      <c r="M580" s="34"/>
      <c r="N580" s="34"/>
      <c r="O580" s="34"/>
    </row>
    <row r="581" spans="1:15" ht="33">
      <c r="A581" s="34">
        <v>21</v>
      </c>
      <c r="B581" s="34"/>
      <c r="C581" s="343" t="s">
        <v>799</v>
      </c>
      <c r="D581" s="344" t="s">
        <v>37</v>
      </c>
      <c r="E581" s="349">
        <v>1080</v>
      </c>
      <c r="F581" s="346">
        <v>6</v>
      </c>
      <c r="G581" s="34">
        <f t="shared" si="44"/>
        <v>6480</v>
      </c>
      <c r="H581" s="34"/>
      <c r="I581" s="34"/>
      <c r="J581" s="34"/>
      <c r="K581" s="34"/>
      <c r="L581" s="34"/>
      <c r="M581" s="34"/>
      <c r="N581" s="34"/>
      <c r="O581" s="34"/>
    </row>
    <row r="582" spans="1:15" ht="33">
      <c r="A582" s="34">
        <v>22</v>
      </c>
      <c r="B582" s="34"/>
      <c r="C582" s="343" t="s">
        <v>799</v>
      </c>
      <c r="D582" s="344" t="s">
        <v>37</v>
      </c>
      <c r="E582" s="349">
        <v>2599.65</v>
      </c>
      <c r="F582" s="346">
        <v>20</v>
      </c>
      <c r="G582" s="34">
        <f t="shared" si="44"/>
        <v>51993</v>
      </c>
      <c r="H582" s="34"/>
      <c r="I582" s="34"/>
      <c r="J582" s="34"/>
      <c r="K582" s="34"/>
      <c r="L582" s="34"/>
      <c r="M582" s="34"/>
      <c r="N582" s="34"/>
      <c r="O582" s="34"/>
    </row>
    <row r="583" spans="1:15" ht="33">
      <c r="A583" s="34">
        <v>23</v>
      </c>
      <c r="B583" s="34"/>
      <c r="C583" s="343" t="s">
        <v>800</v>
      </c>
      <c r="D583" s="344" t="s">
        <v>788</v>
      </c>
      <c r="E583" s="60">
        <v>1685.48</v>
      </c>
      <c r="F583" s="346">
        <v>10</v>
      </c>
      <c r="G583" s="34">
        <f t="shared" si="44"/>
        <v>16854.8</v>
      </c>
      <c r="H583" s="34"/>
      <c r="I583" s="34"/>
      <c r="J583" s="34"/>
      <c r="K583" s="34"/>
      <c r="L583" s="34"/>
      <c r="M583" s="34"/>
      <c r="N583" s="34"/>
      <c r="O583" s="34"/>
    </row>
    <row r="584" spans="1:15" ht="33">
      <c r="A584" s="34">
        <v>24</v>
      </c>
      <c r="B584" s="34"/>
      <c r="C584" s="343" t="s">
        <v>801</v>
      </c>
      <c r="D584" s="344" t="s">
        <v>37</v>
      </c>
      <c r="E584" s="60">
        <v>1123.7</v>
      </c>
      <c r="F584" s="348">
        <v>4</v>
      </c>
      <c r="G584" s="34">
        <f t="shared" si="44"/>
        <v>4494.8</v>
      </c>
      <c r="H584" s="341"/>
      <c r="I584" s="34"/>
      <c r="J584" s="34"/>
      <c r="K584" s="34"/>
      <c r="L584" s="34"/>
      <c r="M584" s="34"/>
      <c r="N584" s="34"/>
      <c r="O584" s="34"/>
    </row>
    <row r="585" spans="1:15" ht="33">
      <c r="A585" s="34">
        <v>25</v>
      </c>
      <c r="B585" s="34"/>
      <c r="C585" s="343" t="s">
        <v>802</v>
      </c>
      <c r="D585" s="344" t="s">
        <v>37</v>
      </c>
      <c r="E585" s="60">
        <v>2365.9</v>
      </c>
      <c r="F585" s="346">
        <v>38</v>
      </c>
      <c r="G585" s="34">
        <f t="shared" si="44"/>
        <v>89904.2</v>
      </c>
      <c r="H585" s="34"/>
      <c r="I585" s="34"/>
      <c r="J585" s="34"/>
      <c r="K585" s="34"/>
      <c r="L585" s="34"/>
      <c r="M585" s="34"/>
      <c r="N585" s="34"/>
      <c r="O585" s="34"/>
    </row>
    <row r="586" spans="1:15" ht="33">
      <c r="A586" s="34">
        <v>26</v>
      </c>
      <c r="B586" s="34"/>
      <c r="C586" s="343" t="s">
        <v>803</v>
      </c>
      <c r="D586" s="344" t="s">
        <v>37</v>
      </c>
      <c r="E586" s="60">
        <v>2752.25</v>
      </c>
      <c r="F586" s="346">
        <v>0</v>
      </c>
      <c r="G586" s="34">
        <f t="shared" si="44"/>
        <v>0</v>
      </c>
      <c r="H586" s="341"/>
      <c r="I586" s="34"/>
      <c r="J586" s="34"/>
      <c r="K586" s="34"/>
      <c r="L586" s="34"/>
      <c r="M586" s="34"/>
      <c r="N586" s="34"/>
      <c r="O586" s="34"/>
    </row>
    <row r="587" spans="1:15" ht="33">
      <c r="A587" s="34">
        <v>27</v>
      </c>
      <c r="B587" s="34"/>
      <c r="C587" s="343" t="s">
        <v>804</v>
      </c>
      <c r="D587" s="344" t="s">
        <v>37</v>
      </c>
      <c r="E587" s="60">
        <v>2175.5</v>
      </c>
      <c r="F587" s="346">
        <v>14</v>
      </c>
      <c r="G587" s="34">
        <f t="shared" si="44"/>
        <v>30457</v>
      </c>
      <c r="H587" s="341"/>
      <c r="I587" s="34"/>
      <c r="J587" s="34"/>
      <c r="K587" s="34"/>
      <c r="L587" s="34"/>
      <c r="M587" s="34"/>
      <c r="N587" s="34"/>
      <c r="O587" s="34"/>
    </row>
    <row r="588" spans="1:15" ht="33">
      <c r="A588" s="34">
        <v>28</v>
      </c>
      <c r="B588" s="34"/>
      <c r="C588" s="343" t="s">
        <v>805</v>
      </c>
      <c r="D588" s="344" t="s">
        <v>37</v>
      </c>
      <c r="E588" s="60">
        <v>3957.72</v>
      </c>
      <c r="F588" s="346">
        <v>60</v>
      </c>
      <c r="G588" s="34">
        <f t="shared" si="44"/>
        <v>237463.19999999998</v>
      </c>
      <c r="H588" s="341"/>
      <c r="I588" s="34"/>
      <c r="J588" s="34"/>
      <c r="K588" s="34"/>
      <c r="L588" s="34"/>
      <c r="M588" s="34"/>
      <c r="N588" s="34"/>
      <c r="O588" s="34"/>
    </row>
    <row r="589" spans="1:15" ht="33">
      <c r="A589" s="34">
        <v>29</v>
      </c>
      <c r="B589" s="34"/>
      <c r="C589" s="343" t="s">
        <v>806</v>
      </c>
      <c r="D589" s="344" t="s">
        <v>37</v>
      </c>
      <c r="E589" s="60">
        <v>117</v>
      </c>
      <c r="F589" s="348">
        <v>19</v>
      </c>
      <c r="G589" s="34">
        <f t="shared" si="44"/>
        <v>2223</v>
      </c>
      <c r="H589" s="34"/>
      <c r="I589" s="34"/>
      <c r="J589" s="34"/>
      <c r="K589" s="34"/>
      <c r="L589" s="34"/>
      <c r="M589" s="34"/>
      <c r="N589" s="34"/>
      <c r="O589" s="34"/>
    </row>
    <row r="590" spans="1:15" ht="33">
      <c r="A590" s="34">
        <v>30</v>
      </c>
      <c r="B590" s="34"/>
      <c r="C590" s="343" t="s">
        <v>807</v>
      </c>
      <c r="D590" s="344" t="s">
        <v>37</v>
      </c>
      <c r="E590" s="60">
        <v>710</v>
      </c>
      <c r="F590" s="348">
        <v>9</v>
      </c>
      <c r="G590" s="34">
        <f t="shared" si="44"/>
        <v>6390</v>
      </c>
      <c r="H590" s="34"/>
      <c r="I590" s="34"/>
      <c r="J590" s="34"/>
      <c r="K590" s="34"/>
      <c r="L590" s="34"/>
      <c r="M590" s="34"/>
      <c r="N590" s="34"/>
      <c r="O590" s="34"/>
    </row>
    <row r="591" spans="1:15" ht="33">
      <c r="A591" s="34">
        <v>31</v>
      </c>
      <c r="B591" s="34"/>
      <c r="C591" s="343" t="s">
        <v>808</v>
      </c>
      <c r="D591" s="344" t="s">
        <v>37</v>
      </c>
      <c r="E591" s="60">
        <v>1271.2</v>
      </c>
      <c r="F591" s="346">
        <v>8</v>
      </c>
      <c r="G591" s="341">
        <f t="shared" si="44"/>
        <v>10169.6</v>
      </c>
      <c r="H591" s="34"/>
      <c r="I591" s="34"/>
      <c r="J591" s="34"/>
      <c r="K591" s="34"/>
      <c r="L591" s="34"/>
      <c r="M591" s="34"/>
      <c r="N591" s="34"/>
      <c r="O591" s="34"/>
    </row>
    <row r="592" spans="1:15" ht="33">
      <c r="A592" s="34">
        <v>32</v>
      </c>
      <c r="B592" s="34"/>
      <c r="C592" s="343" t="s">
        <v>809</v>
      </c>
      <c r="D592" s="344" t="s">
        <v>37</v>
      </c>
      <c r="E592" s="60">
        <v>610</v>
      </c>
      <c r="F592" s="348">
        <v>2</v>
      </c>
      <c r="G592" s="34">
        <f t="shared" si="44"/>
        <v>1220</v>
      </c>
      <c r="H592" s="34"/>
      <c r="I592" s="34"/>
      <c r="J592" s="34"/>
      <c r="K592" s="34"/>
      <c r="L592" s="34"/>
      <c r="M592" s="34"/>
      <c r="N592" s="34"/>
      <c r="O592" s="34"/>
    </row>
    <row r="593" spans="1:15" ht="33">
      <c r="A593" s="34">
        <v>33</v>
      </c>
      <c r="B593" s="34"/>
      <c r="C593" s="343" t="s">
        <v>810</v>
      </c>
      <c r="D593" s="344" t="s">
        <v>37</v>
      </c>
      <c r="E593" s="60">
        <v>1072.5999999999999</v>
      </c>
      <c r="F593" s="348">
        <v>1</v>
      </c>
      <c r="G593" s="34">
        <f t="shared" si="44"/>
        <v>1072.5999999999999</v>
      </c>
      <c r="H593" s="34"/>
      <c r="I593" s="34"/>
      <c r="J593" s="34"/>
      <c r="K593" s="34"/>
      <c r="L593" s="34"/>
      <c r="M593" s="34"/>
      <c r="N593" s="34"/>
      <c r="O593" s="34"/>
    </row>
    <row r="594" spans="1:15" ht="33">
      <c r="A594" s="34">
        <v>34</v>
      </c>
      <c r="B594" s="34"/>
      <c r="C594" s="343" t="s">
        <v>810</v>
      </c>
      <c r="D594" s="344" t="s">
        <v>37</v>
      </c>
      <c r="E594" s="60">
        <v>410</v>
      </c>
      <c r="F594" s="348">
        <v>8</v>
      </c>
      <c r="G594" s="34">
        <f t="shared" si="44"/>
        <v>3280</v>
      </c>
      <c r="H594" s="34"/>
      <c r="I594" s="34"/>
      <c r="J594" s="34"/>
      <c r="K594" s="34"/>
      <c r="L594" s="34"/>
      <c r="M594" s="34"/>
      <c r="N594" s="34"/>
      <c r="O594" s="34"/>
    </row>
    <row r="595" spans="1:15" ht="33">
      <c r="A595" s="34">
        <v>35</v>
      </c>
      <c r="B595" s="34"/>
      <c r="C595" s="343" t="s">
        <v>810</v>
      </c>
      <c r="D595" s="344" t="s">
        <v>37</v>
      </c>
      <c r="E595" s="60">
        <v>576</v>
      </c>
      <c r="F595" s="348">
        <v>5</v>
      </c>
      <c r="G595" s="34">
        <f t="shared" si="44"/>
        <v>2880</v>
      </c>
      <c r="H595" s="34"/>
      <c r="I595" s="34"/>
      <c r="J595" s="34"/>
      <c r="K595" s="34"/>
      <c r="L595" s="34"/>
      <c r="M595" s="34"/>
      <c r="N595" s="34"/>
      <c r="O595" s="34"/>
    </row>
    <row r="596" spans="1:15" ht="33">
      <c r="A596" s="34">
        <v>36</v>
      </c>
      <c r="B596" s="34"/>
      <c r="C596" s="343" t="s">
        <v>811</v>
      </c>
      <c r="D596" s="344" t="s">
        <v>37</v>
      </c>
      <c r="E596" s="60">
        <v>550.48</v>
      </c>
      <c r="F596" s="348">
        <v>5</v>
      </c>
      <c r="G596" s="34">
        <f t="shared" si="44"/>
        <v>2752.4</v>
      </c>
      <c r="H596" s="34"/>
      <c r="I596" s="34"/>
      <c r="J596" s="34"/>
      <c r="K596" s="34"/>
      <c r="L596" s="34"/>
      <c r="M596" s="34"/>
      <c r="N596" s="34"/>
      <c r="O596" s="34"/>
    </row>
    <row r="597" spans="1:15" ht="33">
      <c r="A597" s="34">
        <v>37</v>
      </c>
      <c r="B597" s="34"/>
      <c r="C597" s="343" t="s">
        <v>812</v>
      </c>
      <c r="D597" s="344" t="s">
        <v>40</v>
      </c>
      <c r="E597" s="60">
        <v>550.48</v>
      </c>
      <c r="F597" s="348">
        <v>5</v>
      </c>
      <c r="G597" s="34">
        <f t="shared" si="44"/>
        <v>2752.4</v>
      </c>
      <c r="H597" s="34"/>
      <c r="I597" s="34"/>
      <c r="J597" s="34"/>
      <c r="K597" s="34"/>
      <c r="L597" s="34"/>
      <c r="M597" s="34"/>
      <c r="N597" s="34"/>
      <c r="O597" s="34"/>
    </row>
    <row r="598" spans="1:15" ht="16.5">
      <c r="A598" s="34">
        <v>38</v>
      </c>
      <c r="B598" s="34"/>
      <c r="C598" s="343" t="s">
        <v>813</v>
      </c>
      <c r="D598" s="344" t="s">
        <v>246</v>
      </c>
      <c r="E598" s="60">
        <v>710</v>
      </c>
      <c r="F598" s="348">
        <v>2</v>
      </c>
      <c r="G598" s="34">
        <f t="shared" si="44"/>
        <v>1420</v>
      </c>
      <c r="H598" s="34"/>
      <c r="I598" s="34"/>
      <c r="J598" s="34"/>
      <c r="K598" s="34"/>
      <c r="L598" s="34"/>
      <c r="M598" s="34"/>
      <c r="N598" s="34"/>
      <c r="O598" s="34"/>
    </row>
    <row r="599" spans="1:15" ht="33">
      <c r="A599" s="34">
        <v>39</v>
      </c>
      <c r="B599" s="34"/>
      <c r="C599" s="343" t="s">
        <v>814</v>
      </c>
      <c r="D599" s="344" t="s">
        <v>40</v>
      </c>
      <c r="E599" s="60">
        <v>1710</v>
      </c>
      <c r="F599" s="348">
        <v>4</v>
      </c>
      <c r="G599" s="34">
        <f t="shared" si="44"/>
        <v>6840</v>
      </c>
      <c r="H599" s="34"/>
      <c r="I599" s="34"/>
      <c r="J599" s="34"/>
      <c r="K599" s="34"/>
      <c r="L599" s="34"/>
      <c r="M599" s="34"/>
      <c r="N599" s="34"/>
      <c r="O599" s="34"/>
    </row>
    <row r="600" spans="1:15" ht="33">
      <c r="A600" s="34">
        <v>40</v>
      </c>
      <c r="B600" s="34"/>
      <c r="C600" s="343" t="s">
        <v>815</v>
      </c>
      <c r="D600" s="344" t="s">
        <v>37</v>
      </c>
      <c r="E600" s="60">
        <v>1888</v>
      </c>
      <c r="F600" s="348">
        <v>14</v>
      </c>
      <c r="G600" s="34">
        <f t="shared" si="44"/>
        <v>26432</v>
      </c>
      <c r="H600" s="341"/>
      <c r="I600" s="34"/>
      <c r="J600" s="34"/>
      <c r="K600" s="34"/>
      <c r="L600" s="34"/>
      <c r="M600" s="34"/>
      <c r="N600" s="34"/>
      <c r="O600" s="34"/>
    </row>
    <row r="601" spans="1:15" ht="33">
      <c r="A601" s="34">
        <v>41</v>
      </c>
      <c r="B601" s="34"/>
      <c r="C601" s="343" t="s">
        <v>816</v>
      </c>
      <c r="D601" s="344" t="s">
        <v>37</v>
      </c>
      <c r="E601" s="60">
        <v>810</v>
      </c>
      <c r="F601" s="348">
        <v>12</v>
      </c>
      <c r="G601" s="34">
        <f t="shared" si="44"/>
        <v>9720</v>
      </c>
      <c r="H601" s="341"/>
      <c r="I601" s="34"/>
      <c r="J601" s="34"/>
      <c r="K601" s="34"/>
      <c r="L601" s="34"/>
      <c r="M601" s="34"/>
      <c r="N601" s="34"/>
      <c r="O601" s="34"/>
    </row>
    <row r="602" spans="1:15" ht="33">
      <c r="A602" s="34">
        <v>42</v>
      </c>
      <c r="B602" s="34"/>
      <c r="C602" s="343" t="s">
        <v>817</v>
      </c>
      <c r="D602" s="344" t="s">
        <v>246</v>
      </c>
      <c r="E602" s="349">
        <v>5210</v>
      </c>
      <c r="F602" s="346">
        <v>12</v>
      </c>
      <c r="G602" s="34">
        <f t="shared" si="44"/>
        <v>62520</v>
      </c>
      <c r="H602" s="34"/>
      <c r="I602" s="34"/>
      <c r="J602" s="34"/>
      <c r="K602" s="34"/>
      <c r="L602" s="34"/>
      <c r="M602" s="34"/>
      <c r="N602" s="34"/>
      <c r="O602" s="34"/>
    </row>
    <row r="603" spans="1:15" ht="33">
      <c r="A603" s="34">
        <v>43</v>
      </c>
      <c r="B603" s="34"/>
      <c r="C603" s="343" t="s">
        <v>818</v>
      </c>
      <c r="D603" s="344" t="s">
        <v>37</v>
      </c>
      <c r="E603" s="60">
        <v>8128.9</v>
      </c>
      <c r="F603" s="348">
        <v>2</v>
      </c>
      <c r="G603" s="34">
        <f t="shared" si="44"/>
        <v>16257.8</v>
      </c>
      <c r="H603" s="34"/>
      <c r="I603" s="34"/>
      <c r="J603" s="34"/>
      <c r="K603" s="34"/>
      <c r="L603" s="34"/>
      <c r="M603" s="34"/>
      <c r="N603" s="34"/>
      <c r="O603" s="34"/>
    </row>
    <row r="604" spans="1:15" ht="33">
      <c r="A604" s="34">
        <v>44</v>
      </c>
      <c r="B604" s="34"/>
      <c r="C604" s="343" t="s">
        <v>819</v>
      </c>
      <c r="D604" s="344" t="s">
        <v>37</v>
      </c>
      <c r="E604" s="60">
        <v>4494.6000000000004</v>
      </c>
      <c r="F604" s="346">
        <v>2</v>
      </c>
      <c r="G604" s="34">
        <f t="shared" si="44"/>
        <v>8989.2000000000007</v>
      </c>
      <c r="H604" s="34"/>
      <c r="I604" s="34"/>
      <c r="J604" s="34"/>
      <c r="K604" s="34"/>
      <c r="L604" s="34"/>
      <c r="M604" s="34"/>
      <c r="N604" s="34"/>
      <c r="O604" s="34"/>
    </row>
    <row r="605" spans="1:15" ht="33">
      <c r="A605" s="34">
        <v>45</v>
      </c>
      <c r="B605" s="34"/>
      <c r="C605" s="343" t="s">
        <v>820</v>
      </c>
      <c r="D605" s="344" t="s">
        <v>821</v>
      </c>
      <c r="E605" s="349">
        <v>3610</v>
      </c>
      <c r="F605" s="346">
        <v>13</v>
      </c>
      <c r="G605" s="34">
        <f t="shared" si="44"/>
        <v>46930</v>
      </c>
      <c r="H605" s="34"/>
      <c r="I605" s="34"/>
      <c r="J605" s="34"/>
      <c r="K605" s="34"/>
      <c r="L605" s="34"/>
      <c r="M605" s="34"/>
      <c r="N605" s="34"/>
      <c r="O605" s="34"/>
    </row>
    <row r="606" spans="1:15" ht="49.5">
      <c r="A606" s="34">
        <v>46</v>
      </c>
      <c r="B606" s="34"/>
      <c r="C606" s="343" t="s">
        <v>822</v>
      </c>
      <c r="D606" s="344" t="s">
        <v>788</v>
      </c>
      <c r="E606" s="60">
        <v>13554</v>
      </c>
      <c r="F606" s="348">
        <v>1</v>
      </c>
      <c r="G606" s="34">
        <f t="shared" si="44"/>
        <v>13554</v>
      </c>
      <c r="H606" s="34"/>
      <c r="I606" s="34"/>
      <c r="J606" s="34"/>
      <c r="K606" s="34"/>
      <c r="L606" s="34"/>
      <c r="M606" s="34"/>
      <c r="N606" s="34"/>
      <c r="O606" s="34"/>
    </row>
    <row r="607" spans="1:15" ht="66">
      <c r="A607" s="34">
        <v>47</v>
      </c>
      <c r="B607" s="34"/>
      <c r="C607" s="343" t="s">
        <v>823</v>
      </c>
      <c r="D607" s="344" t="s">
        <v>788</v>
      </c>
      <c r="E607" s="60">
        <v>13776</v>
      </c>
      <c r="F607" s="348">
        <v>1</v>
      </c>
      <c r="G607" s="34">
        <f t="shared" si="44"/>
        <v>13776</v>
      </c>
      <c r="H607" s="34"/>
      <c r="I607" s="34"/>
      <c r="J607" s="34"/>
      <c r="K607" s="34"/>
      <c r="L607" s="34"/>
      <c r="M607" s="34"/>
      <c r="N607" s="34"/>
      <c r="O607" s="34"/>
    </row>
    <row r="608" spans="1:15" ht="49.5">
      <c r="A608" s="34">
        <v>48</v>
      </c>
      <c r="B608" s="34"/>
      <c r="C608" s="343" t="s">
        <v>824</v>
      </c>
      <c r="D608" s="344" t="s">
        <v>40</v>
      </c>
      <c r="E608" s="60">
        <v>719475</v>
      </c>
      <c r="F608" s="348">
        <v>1</v>
      </c>
      <c r="G608" s="34">
        <f t="shared" si="44"/>
        <v>719475</v>
      </c>
      <c r="H608" s="34"/>
      <c r="I608" s="34"/>
      <c r="J608" s="34"/>
      <c r="K608" s="34"/>
      <c r="L608" s="34"/>
      <c r="M608" s="34"/>
      <c r="N608" s="34"/>
      <c r="O608" s="34"/>
    </row>
    <row r="609" spans="1:15" ht="49.5">
      <c r="A609" s="34">
        <v>49</v>
      </c>
      <c r="B609" s="34"/>
      <c r="C609" s="343" t="s">
        <v>825</v>
      </c>
      <c r="D609" s="344" t="s">
        <v>40</v>
      </c>
      <c r="E609" s="60">
        <v>535725</v>
      </c>
      <c r="F609" s="348">
        <v>1</v>
      </c>
      <c r="G609" s="34">
        <f t="shared" si="44"/>
        <v>535725</v>
      </c>
      <c r="H609" s="34"/>
      <c r="I609" s="34"/>
      <c r="J609" s="34"/>
      <c r="K609" s="34"/>
      <c r="L609" s="34"/>
      <c r="M609" s="34"/>
      <c r="N609" s="34"/>
      <c r="O609" s="34"/>
    </row>
    <row r="610" spans="1:15" ht="49.5">
      <c r="A610" s="34">
        <v>50</v>
      </c>
      <c r="B610" s="34"/>
      <c r="C610" s="343" t="s">
        <v>826</v>
      </c>
      <c r="D610" s="344" t="s">
        <v>788</v>
      </c>
      <c r="E610" s="60">
        <v>8892</v>
      </c>
      <c r="F610" s="348">
        <v>1</v>
      </c>
      <c r="G610" s="34">
        <f t="shared" si="44"/>
        <v>8892</v>
      </c>
      <c r="H610" s="34"/>
      <c r="I610" s="34"/>
      <c r="J610" s="34"/>
      <c r="K610" s="34"/>
      <c r="L610" s="34"/>
      <c r="M610" s="34"/>
      <c r="N610" s="34"/>
      <c r="O610" s="34"/>
    </row>
    <row r="611" spans="1:15" ht="66">
      <c r="A611" s="34">
        <v>51</v>
      </c>
      <c r="B611" s="34"/>
      <c r="C611" s="343" t="s">
        <v>827</v>
      </c>
      <c r="D611" s="344" t="s">
        <v>788</v>
      </c>
      <c r="E611" s="60">
        <v>11231</v>
      </c>
      <c r="F611" s="348">
        <v>1</v>
      </c>
      <c r="G611" s="34">
        <f t="shared" si="44"/>
        <v>11231</v>
      </c>
      <c r="H611" s="34"/>
      <c r="I611" s="34"/>
      <c r="J611" s="34"/>
      <c r="K611" s="34"/>
      <c r="L611" s="34"/>
      <c r="M611" s="34"/>
      <c r="N611" s="34"/>
      <c r="O611" s="34"/>
    </row>
    <row r="612" spans="1:15" ht="66">
      <c r="A612" s="34">
        <v>52</v>
      </c>
      <c r="B612" s="34"/>
      <c r="C612" s="343" t="s">
        <v>828</v>
      </c>
      <c r="D612" s="344" t="s">
        <v>788</v>
      </c>
      <c r="E612" s="60">
        <v>12443</v>
      </c>
      <c r="F612" s="348">
        <v>1</v>
      </c>
      <c r="G612" s="34">
        <f t="shared" si="44"/>
        <v>12443</v>
      </c>
      <c r="H612" s="34"/>
      <c r="I612" s="34"/>
      <c r="J612" s="34"/>
      <c r="K612" s="34"/>
      <c r="L612" s="34"/>
      <c r="M612" s="34"/>
      <c r="N612" s="34"/>
      <c r="O612" s="34"/>
    </row>
    <row r="613" spans="1:15" ht="49.5">
      <c r="A613" s="34">
        <v>53</v>
      </c>
      <c r="B613" s="34"/>
      <c r="C613" s="343" t="s">
        <v>829</v>
      </c>
      <c r="D613" s="344" t="s">
        <v>788</v>
      </c>
      <c r="E613" s="60">
        <v>7885</v>
      </c>
      <c r="F613" s="345">
        <v>1</v>
      </c>
      <c r="G613" s="34">
        <f t="shared" si="44"/>
        <v>7885</v>
      </c>
      <c r="H613" s="34"/>
      <c r="I613" s="34"/>
      <c r="J613" s="34"/>
      <c r="K613" s="34"/>
      <c r="L613" s="34"/>
      <c r="M613" s="34"/>
      <c r="N613" s="34"/>
      <c r="O613" s="34"/>
    </row>
    <row r="614" spans="1:15" ht="66">
      <c r="A614" s="34">
        <v>54</v>
      </c>
      <c r="B614" s="34"/>
      <c r="C614" s="343" t="s">
        <v>830</v>
      </c>
      <c r="D614" s="344" t="s">
        <v>37</v>
      </c>
      <c r="E614" s="60">
        <v>979.72</v>
      </c>
      <c r="F614" s="345">
        <v>0</v>
      </c>
      <c r="G614" s="34">
        <f t="shared" si="44"/>
        <v>0</v>
      </c>
      <c r="H614" s="34"/>
      <c r="I614" s="34"/>
      <c r="J614" s="34"/>
      <c r="K614" s="34"/>
      <c r="L614" s="34"/>
      <c r="M614" s="34"/>
      <c r="N614" s="34"/>
      <c r="O614" s="34"/>
    </row>
    <row r="615" spans="1:15" ht="66">
      <c r="A615" s="34">
        <v>55</v>
      </c>
      <c r="B615" s="34"/>
      <c r="C615" s="343" t="s">
        <v>831</v>
      </c>
      <c r="D615" s="344" t="s">
        <v>37</v>
      </c>
      <c r="E615" s="60">
        <v>22855</v>
      </c>
      <c r="F615" s="345">
        <v>1</v>
      </c>
      <c r="G615" s="34">
        <f t="shared" si="44"/>
        <v>22855</v>
      </c>
      <c r="H615" s="34"/>
      <c r="I615" s="34"/>
      <c r="J615" s="34"/>
      <c r="K615" s="34"/>
      <c r="L615" s="34"/>
      <c r="M615" s="34"/>
      <c r="N615" s="34"/>
      <c r="O615" s="34"/>
    </row>
    <row r="616" spans="1:15" ht="66">
      <c r="A616" s="34">
        <v>56</v>
      </c>
      <c r="B616" s="34"/>
      <c r="C616" s="343" t="s">
        <v>831</v>
      </c>
      <c r="D616" s="344" t="s">
        <v>37</v>
      </c>
      <c r="E616" s="60">
        <v>19886</v>
      </c>
      <c r="F616" s="345">
        <v>1</v>
      </c>
      <c r="G616" s="34">
        <f t="shared" si="44"/>
        <v>19886</v>
      </c>
      <c r="H616" s="34"/>
      <c r="I616" s="34"/>
      <c r="J616" s="34"/>
      <c r="K616" s="34"/>
      <c r="L616" s="34"/>
      <c r="M616" s="34"/>
      <c r="N616" s="34"/>
      <c r="O616" s="34"/>
    </row>
    <row r="617" spans="1:15" ht="49.5">
      <c r="A617" s="34">
        <v>57</v>
      </c>
      <c r="B617" s="34"/>
      <c r="C617" s="343" t="s">
        <v>832</v>
      </c>
      <c r="D617" s="344" t="s">
        <v>37</v>
      </c>
      <c r="E617" s="60">
        <v>8361.9500000000007</v>
      </c>
      <c r="F617" s="345">
        <v>4</v>
      </c>
      <c r="G617" s="34">
        <f t="shared" si="44"/>
        <v>33447.800000000003</v>
      </c>
      <c r="H617" s="34"/>
      <c r="I617" s="34"/>
      <c r="J617" s="34"/>
      <c r="K617" s="34"/>
      <c r="L617" s="34"/>
      <c r="M617" s="34"/>
      <c r="N617" s="34"/>
      <c r="O617" s="34"/>
    </row>
    <row r="618" spans="1:15" ht="49.5">
      <c r="A618" s="34">
        <v>58</v>
      </c>
      <c r="B618" s="34"/>
      <c r="C618" s="343" t="s">
        <v>833</v>
      </c>
      <c r="D618" s="344" t="s">
        <v>37</v>
      </c>
      <c r="E618" s="60">
        <v>12450.55</v>
      </c>
      <c r="F618" s="345">
        <v>5</v>
      </c>
      <c r="G618" s="34">
        <f t="shared" si="44"/>
        <v>62252.75</v>
      </c>
      <c r="H618" s="34"/>
      <c r="I618" s="34"/>
      <c r="J618" s="34"/>
      <c r="K618" s="34"/>
      <c r="L618" s="34"/>
      <c r="M618" s="34"/>
      <c r="N618" s="34"/>
      <c r="O618" s="34"/>
    </row>
    <row r="619" spans="1:15" ht="49.5">
      <c r="A619" s="34">
        <v>59</v>
      </c>
      <c r="B619" s="34"/>
      <c r="C619" s="343" t="s">
        <v>834</v>
      </c>
      <c r="D619" s="344" t="s">
        <v>246</v>
      </c>
      <c r="E619" s="60">
        <v>8896</v>
      </c>
      <c r="F619" s="345">
        <v>3</v>
      </c>
      <c r="G619" s="34">
        <f t="shared" si="44"/>
        <v>26688</v>
      </c>
      <c r="H619" s="34"/>
      <c r="I619" s="34"/>
      <c r="J619" s="34"/>
      <c r="K619" s="34"/>
      <c r="L619" s="34"/>
      <c r="M619" s="34"/>
      <c r="N619" s="34"/>
      <c r="O619" s="34"/>
    </row>
    <row r="620" spans="1:15" ht="49.5">
      <c r="A620" s="34">
        <v>60</v>
      </c>
      <c r="B620" s="34"/>
      <c r="C620" s="343" t="s">
        <v>834</v>
      </c>
      <c r="D620" s="344" t="s">
        <v>246</v>
      </c>
      <c r="E620" s="60">
        <v>8897</v>
      </c>
      <c r="F620" s="345">
        <v>3</v>
      </c>
      <c r="G620" s="34">
        <f t="shared" si="44"/>
        <v>26691</v>
      </c>
      <c r="H620" s="34"/>
      <c r="I620" s="34"/>
      <c r="J620" s="34"/>
      <c r="K620" s="34"/>
      <c r="L620" s="34"/>
      <c r="M620" s="34"/>
      <c r="N620" s="34"/>
      <c r="O620" s="34"/>
    </row>
    <row r="621" spans="1:15" ht="49.5">
      <c r="A621" s="34">
        <v>61</v>
      </c>
      <c r="B621" s="34"/>
      <c r="C621" s="343" t="s">
        <v>835</v>
      </c>
      <c r="D621" s="344" t="s">
        <v>246</v>
      </c>
      <c r="E621" s="60">
        <v>9883</v>
      </c>
      <c r="F621" s="345">
        <v>1</v>
      </c>
      <c r="G621" s="34">
        <f t="shared" si="44"/>
        <v>9883</v>
      </c>
      <c r="H621" s="34"/>
      <c r="I621" s="34"/>
      <c r="J621" s="34"/>
      <c r="K621" s="34"/>
      <c r="L621" s="34"/>
      <c r="M621" s="34"/>
      <c r="N621" s="34"/>
      <c r="O621" s="34"/>
    </row>
    <row r="622" spans="1:15" ht="49.5">
      <c r="A622" s="34">
        <v>62</v>
      </c>
      <c r="B622" s="34"/>
      <c r="C622" s="343" t="s">
        <v>835</v>
      </c>
      <c r="D622" s="344" t="s">
        <v>246</v>
      </c>
      <c r="E622" s="60">
        <v>8883</v>
      </c>
      <c r="F622" s="345">
        <v>1</v>
      </c>
      <c r="G622" s="34">
        <f t="shared" si="44"/>
        <v>8883</v>
      </c>
      <c r="H622" s="34"/>
      <c r="I622" s="34"/>
      <c r="J622" s="34"/>
      <c r="K622" s="34"/>
      <c r="L622" s="34"/>
      <c r="M622" s="34"/>
      <c r="N622" s="34"/>
      <c r="O622" s="34"/>
    </row>
    <row r="623" spans="1:15" ht="49.5">
      <c r="A623" s="34">
        <v>63</v>
      </c>
      <c r="B623" s="34"/>
      <c r="C623" s="343" t="s">
        <v>836</v>
      </c>
      <c r="D623" s="344" t="s">
        <v>246</v>
      </c>
      <c r="E623" s="60">
        <v>18000</v>
      </c>
      <c r="F623" s="345">
        <v>1</v>
      </c>
      <c r="G623" s="34">
        <f t="shared" si="44"/>
        <v>18000</v>
      </c>
      <c r="H623" s="34"/>
      <c r="I623" s="34"/>
      <c r="J623" s="34"/>
      <c r="K623" s="34"/>
      <c r="L623" s="34"/>
      <c r="M623" s="34"/>
      <c r="N623" s="34"/>
      <c r="O623" s="34"/>
    </row>
    <row r="624" spans="1:15" ht="49.5">
      <c r="A624" s="34">
        <v>64</v>
      </c>
      <c r="B624" s="34"/>
      <c r="C624" s="343" t="s">
        <v>836</v>
      </c>
      <c r="D624" s="344" t="s">
        <v>246</v>
      </c>
      <c r="E624" s="60">
        <v>14332</v>
      </c>
      <c r="F624" s="345">
        <v>1</v>
      </c>
      <c r="G624" s="34">
        <f t="shared" si="44"/>
        <v>14332</v>
      </c>
      <c r="H624" s="34"/>
      <c r="I624" s="34"/>
      <c r="J624" s="34"/>
      <c r="K624" s="34"/>
      <c r="L624" s="34"/>
      <c r="M624" s="34"/>
      <c r="N624" s="34"/>
      <c r="O624" s="34"/>
    </row>
    <row r="625" spans="1:15" ht="16.5">
      <c r="A625" s="34">
        <v>65</v>
      </c>
      <c r="B625" s="34"/>
      <c r="C625" s="347" t="s">
        <v>837</v>
      </c>
      <c r="D625" s="344" t="s">
        <v>246</v>
      </c>
      <c r="E625" s="60">
        <v>16500</v>
      </c>
      <c r="F625" s="345">
        <v>1</v>
      </c>
      <c r="G625" s="34">
        <f t="shared" si="44"/>
        <v>16500</v>
      </c>
      <c r="H625" s="34"/>
      <c r="I625" s="34"/>
      <c r="J625" s="34"/>
      <c r="K625" s="34"/>
      <c r="L625" s="34"/>
      <c r="M625" s="34"/>
      <c r="N625" s="34"/>
      <c r="O625" s="34"/>
    </row>
    <row r="626" spans="1:15" ht="16.5">
      <c r="A626" s="34">
        <v>66</v>
      </c>
      <c r="B626" s="34"/>
      <c r="C626" s="347" t="s">
        <v>837</v>
      </c>
      <c r="D626" s="344" t="s">
        <v>246</v>
      </c>
      <c r="E626" s="60">
        <v>16500</v>
      </c>
      <c r="F626" s="345">
        <v>1</v>
      </c>
      <c r="G626" s="34">
        <f t="shared" ref="G626:G689" si="45">E626*F626</f>
        <v>16500</v>
      </c>
      <c r="H626" s="34"/>
      <c r="I626" s="34"/>
      <c r="J626" s="34"/>
      <c r="K626" s="34"/>
      <c r="L626" s="34"/>
      <c r="M626" s="34"/>
      <c r="N626" s="34"/>
      <c r="O626" s="34"/>
    </row>
    <row r="627" spans="1:15" ht="16.5">
      <c r="A627" s="34">
        <v>67</v>
      </c>
      <c r="B627" s="34"/>
      <c r="C627" s="347" t="s">
        <v>838</v>
      </c>
      <c r="D627" s="344" t="s">
        <v>246</v>
      </c>
      <c r="E627" s="60">
        <v>8500</v>
      </c>
      <c r="F627" s="345">
        <v>1</v>
      </c>
      <c r="G627" s="34">
        <f t="shared" si="45"/>
        <v>8500</v>
      </c>
      <c r="H627" s="34"/>
      <c r="I627" s="34"/>
      <c r="J627" s="34"/>
      <c r="K627" s="34"/>
      <c r="L627" s="34"/>
      <c r="M627" s="34"/>
      <c r="N627" s="34"/>
      <c r="O627" s="34"/>
    </row>
    <row r="628" spans="1:15" ht="16.5">
      <c r="A628" s="34">
        <v>68</v>
      </c>
      <c r="B628" s="34"/>
      <c r="C628" s="347" t="s">
        <v>838</v>
      </c>
      <c r="D628" s="344" t="s">
        <v>246</v>
      </c>
      <c r="E628" s="60">
        <v>7220</v>
      </c>
      <c r="F628" s="345">
        <v>1</v>
      </c>
      <c r="G628" s="34">
        <f t="shared" si="45"/>
        <v>7220</v>
      </c>
      <c r="H628" s="34"/>
      <c r="I628" s="34"/>
      <c r="J628" s="34"/>
      <c r="K628" s="34"/>
      <c r="L628" s="34"/>
      <c r="M628" s="34"/>
      <c r="N628" s="34"/>
      <c r="O628" s="34"/>
    </row>
    <row r="629" spans="1:15" ht="16.5">
      <c r="A629" s="34">
        <v>69</v>
      </c>
      <c r="B629" s="34"/>
      <c r="C629" s="347" t="s">
        <v>839</v>
      </c>
      <c r="D629" s="344" t="s">
        <v>788</v>
      </c>
      <c r="E629" s="60">
        <v>2566</v>
      </c>
      <c r="F629" s="345">
        <v>1</v>
      </c>
      <c r="G629" s="34">
        <f t="shared" si="45"/>
        <v>2566</v>
      </c>
      <c r="H629" s="34"/>
      <c r="I629" s="34"/>
      <c r="J629" s="34"/>
      <c r="K629" s="34"/>
      <c r="L629" s="34"/>
      <c r="M629" s="34"/>
      <c r="N629" s="34"/>
      <c r="O629" s="34"/>
    </row>
    <row r="630" spans="1:15" ht="16.5">
      <c r="A630" s="34">
        <v>70</v>
      </c>
      <c r="B630" s="34"/>
      <c r="C630" s="347" t="s">
        <v>840</v>
      </c>
      <c r="D630" s="344" t="s">
        <v>788</v>
      </c>
      <c r="E630" s="60">
        <v>2566</v>
      </c>
      <c r="F630" s="345">
        <v>1</v>
      </c>
      <c r="G630" s="34">
        <f t="shared" si="45"/>
        <v>2566</v>
      </c>
      <c r="H630" s="34"/>
      <c r="I630" s="34"/>
      <c r="J630" s="34"/>
      <c r="K630" s="34"/>
      <c r="L630" s="34"/>
      <c r="M630" s="34"/>
      <c r="N630" s="34"/>
      <c r="O630" s="34"/>
    </row>
    <row r="631" spans="1:15" ht="66">
      <c r="A631" s="34">
        <v>71</v>
      </c>
      <c r="B631" s="34"/>
      <c r="C631" s="343" t="s">
        <v>841</v>
      </c>
      <c r="D631" s="344" t="s">
        <v>788</v>
      </c>
      <c r="E631" s="60">
        <v>26567</v>
      </c>
      <c r="F631" s="345">
        <v>4</v>
      </c>
      <c r="G631" s="34">
        <f t="shared" si="45"/>
        <v>106268</v>
      </c>
      <c r="H631" s="34"/>
      <c r="I631" s="34"/>
      <c r="J631" s="34"/>
      <c r="K631" s="34"/>
      <c r="L631" s="34"/>
      <c r="M631" s="34"/>
      <c r="N631" s="34"/>
      <c r="O631" s="34"/>
    </row>
    <row r="632" spans="1:15" ht="33">
      <c r="A632" s="34">
        <v>72</v>
      </c>
      <c r="B632" s="34"/>
      <c r="C632" s="343" t="s">
        <v>842</v>
      </c>
      <c r="D632" s="344" t="s">
        <v>37</v>
      </c>
      <c r="E632" s="60">
        <v>63495</v>
      </c>
      <c r="F632" s="345">
        <v>1</v>
      </c>
      <c r="G632" s="34">
        <f t="shared" si="45"/>
        <v>63495</v>
      </c>
      <c r="H632" s="34"/>
      <c r="I632" s="34"/>
      <c r="J632" s="34"/>
      <c r="K632" s="34"/>
      <c r="L632" s="34"/>
      <c r="M632" s="34"/>
      <c r="N632" s="34"/>
      <c r="O632" s="34"/>
    </row>
    <row r="633" spans="1:15" ht="33">
      <c r="A633" s="34">
        <v>73</v>
      </c>
      <c r="B633" s="34"/>
      <c r="C633" s="343" t="s">
        <v>843</v>
      </c>
      <c r="D633" s="344" t="s">
        <v>37</v>
      </c>
      <c r="E633" s="60">
        <v>34992</v>
      </c>
      <c r="F633" s="345">
        <v>1</v>
      </c>
      <c r="G633" s="34">
        <f t="shared" si="45"/>
        <v>34992</v>
      </c>
      <c r="H633" s="34"/>
      <c r="I633" s="34"/>
      <c r="J633" s="34"/>
      <c r="K633" s="34"/>
      <c r="L633" s="34"/>
      <c r="M633" s="34"/>
      <c r="N633" s="34"/>
      <c r="O633" s="34"/>
    </row>
    <row r="634" spans="1:15" ht="82.5">
      <c r="A634" s="34">
        <v>74</v>
      </c>
      <c r="B634" s="34"/>
      <c r="C634" s="343" t="s">
        <v>844</v>
      </c>
      <c r="D634" s="344" t="s">
        <v>788</v>
      </c>
      <c r="E634" s="60">
        <v>36895</v>
      </c>
      <c r="F634" s="345">
        <v>15</v>
      </c>
      <c r="G634" s="34">
        <f t="shared" si="45"/>
        <v>553425</v>
      </c>
      <c r="H634" s="34"/>
      <c r="I634" s="34"/>
      <c r="J634" s="34"/>
      <c r="K634" s="34"/>
      <c r="L634" s="34"/>
      <c r="M634" s="34"/>
      <c r="N634" s="34"/>
      <c r="O634" s="34"/>
    </row>
    <row r="635" spans="1:15" ht="82.5">
      <c r="A635" s="34">
        <v>75</v>
      </c>
      <c r="B635" s="34"/>
      <c r="C635" s="343" t="s">
        <v>845</v>
      </c>
      <c r="D635" s="344" t="s">
        <v>788</v>
      </c>
      <c r="E635" s="60">
        <v>13770</v>
      </c>
      <c r="F635" s="345">
        <v>4</v>
      </c>
      <c r="G635" s="34">
        <f t="shared" si="45"/>
        <v>55080</v>
      </c>
      <c r="H635" s="34"/>
      <c r="I635" s="34"/>
      <c r="J635" s="34"/>
      <c r="K635" s="34"/>
      <c r="L635" s="34"/>
      <c r="M635" s="34"/>
      <c r="N635" s="34"/>
      <c r="O635" s="34"/>
    </row>
    <row r="636" spans="1:15" ht="82.5">
      <c r="A636" s="34">
        <v>76</v>
      </c>
      <c r="B636" s="34"/>
      <c r="C636" s="343" t="s">
        <v>845</v>
      </c>
      <c r="D636" s="344" t="s">
        <v>788</v>
      </c>
      <c r="E636" s="60">
        <v>20647</v>
      </c>
      <c r="F636" s="345">
        <v>13</v>
      </c>
      <c r="G636" s="34">
        <f t="shared" si="45"/>
        <v>268411</v>
      </c>
      <c r="H636" s="34"/>
      <c r="I636" s="34"/>
      <c r="J636" s="34"/>
      <c r="K636" s="34"/>
      <c r="L636" s="34"/>
      <c r="M636" s="34"/>
      <c r="N636" s="34"/>
      <c r="O636" s="34"/>
    </row>
    <row r="637" spans="1:15" ht="66">
      <c r="A637" s="34">
        <v>77</v>
      </c>
      <c r="B637" s="34"/>
      <c r="C637" s="343" t="s">
        <v>846</v>
      </c>
      <c r="D637" s="350" t="s">
        <v>37</v>
      </c>
      <c r="E637" s="60">
        <v>68554</v>
      </c>
      <c r="F637" s="345">
        <v>1</v>
      </c>
      <c r="G637" s="34">
        <f t="shared" si="45"/>
        <v>68554</v>
      </c>
      <c r="H637" s="34"/>
      <c r="I637" s="34"/>
      <c r="J637" s="34"/>
      <c r="K637" s="34"/>
      <c r="L637" s="34"/>
      <c r="M637" s="34"/>
      <c r="N637" s="34"/>
      <c r="O637" s="34"/>
    </row>
    <row r="638" spans="1:15" ht="49.5">
      <c r="A638" s="34">
        <v>78</v>
      </c>
      <c r="B638" s="34"/>
      <c r="C638" s="343" t="s">
        <v>847</v>
      </c>
      <c r="D638" s="344" t="s">
        <v>788</v>
      </c>
      <c r="E638" s="60">
        <v>65478</v>
      </c>
      <c r="F638" s="345">
        <v>2</v>
      </c>
      <c r="G638" s="34">
        <f t="shared" si="45"/>
        <v>130956</v>
      </c>
      <c r="H638" s="34"/>
      <c r="I638" s="34"/>
      <c r="J638" s="34"/>
      <c r="K638" s="34"/>
      <c r="L638" s="34"/>
      <c r="M638" s="34"/>
      <c r="N638" s="34"/>
      <c r="O638" s="34"/>
    </row>
    <row r="639" spans="1:15" ht="99">
      <c r="A639" s="34">
        <v>79</v>
      </c>
      <c r="B639" s="34"/>
      <c r="C639" s="343" t="s">
        <v>848</v>
      </c>
      <c r="D639" s="344" t="s">
        <v>788</v>
      </c>
      <c r="E639" s="60">
        <v>1961</v>
      </c>
      <c r="F639" s="345">
        <v>0</v>
      </c>
      <c r="G639" s="34">
        <f t="shared" si="45"/>
        <v>0</v>
      </c>
      <c r="H639" s="34"/>
      <c r="I639" s="34"/>
      <c r="J639" s="34"/>
      <c r="K639" s="34"/>
      <c r="L639" s="34"/>
      <c r="M639" s="34"/>
      <c r="N639" s="34"/>
      <c r="O639" s="34"/>
    </row>
    <row r="640" spans="1:15" ht="99">
      <c r="A640" s="34">
        <v>80</v>
      </c>
      <c r="B640" s="34"/>
      <c r="C640" s="343" t="s">
        <v>848</v>
      </c>
      <c r="D640" s="344" t="s">
        <v>788</v>
      </c>
      <c r="E640" s="60">
        <v>2940.5</v>
      </c>
      <c r="F640" s="345">
        <v>1</v>
      </c>
      <c r="G640" s="34">
        <f t="shared" si="45"/>
        <v>2940.5</v>
      </c>
      <c r="H640" s="34"/>
      <c r="I640" s="34"/>
      <c r="J640" s="34"/>
      <c r="K640" s="34"/>
      <c r="L640" s="34"/>
      <c r="M640" s="34"/>
      <c r="N640" s="34"/>
      <c r="O640" s="34"/>
    </row>
    <row r="641" spans="1:15" ht="66">
      <c r="A641" s="34">
        <v>81</v>
      </c>
      <c r="B641" s="34"/>
      <c r="C641" s="343" t="s">
        <v>849</v>
      </c>
      <c r="D641" s="344" t="s">
        <v>788</v>
      </c>
      <c r="E641" s="60">
        <v>141340</v>
      </c>
      <c r="F641" s="345">
        <v>1</v>
      </c>
      <c r="G641" s="34">
        <f t="shared" si="45"/>
        <v>141340</v>
      </c>
      <c r="H641" s="34"/>
      <c r="I641" s="34"/>
      <c r="J641" s="34"/>
      <c r="K641" s="34"/>
      <c r="L641" s="34"/>
      <c r="M641" s="34"/>
      <c r="N641" s="34"/>
      <c r="O641" s="34"/>
    </row>
    <row r="642" spans="1:15" ht="99">
      <c r="A642" s="34">
        <v>82</v>
      </c>
      <c r="B642" s="34"/>
      <c r="C642" s="343" t="s">
        <v>850</v>
      </c>
      <c r="D642" s="344" t="s">
        <v>788</v>
      </c>
      <c r="E642" s="60">
        <v>79487</v>
      </c>
      <c r="F642" s="345">
        <v>1</v>
      </c>
      <c r="G642" s="34">
        <f t="shared" si="45"/>
        <v>79487</v>
      </c>
      <c r="H642" s="34"/>
      <c r="I642" s="34"/>
      <c r="J642" s="34"/>
      <c r="K642" s="34"/>
      <c r="L642" s="34"/>
      <c r="M642" s="34"/>
      <c r="N642" s="34"/>
      <c r="O642" s="34"/>
    </row>
    <row r="643" spans="1:15" ht="82.5">
      <c r="A643" s="34">
        <v>83</v>
      </c>
      <c r="B643" s="34"/>
      <c r="C643" s="343" t="s">
        <v>851</v>
      </c>
      <c r="D643" s="344" t="s">
        <v>788</v>
      </c>
      <c r="E643" s="60">
        <v>42000</v>
      </c>
      <c r="F643" s="345">
        <v>1</v>
      </c>
      <c r="G643" s="34">
        <f t="shared" si="45"/>
        <v>42000</v>
      </c>
      <c r="H643" s="34"/>
      <c r="I643" s="34"/>
      <c r="J643" s="34"/>
      <c r="K643" s="34"/>
      <c r="L643" s="34"/>
      <c r="M643" s="34"/>
      <c r="N643" s="34"/>
      <c r="O643" s="34"/>
    </row>
    <row r="644" spans="1:15" ht="66">
      <c r="A644" s="34">
        <v>84</v>
      </c>
      <c r="B644" s="34"/>
      <c r="C644" s="343" t="s">
        <v>852</v>
      </c>
      <c r="D644" s="344" t="s">
        <v>788</v>
      </c>
      <c r="E644" s="60">
        <v>1600</v>
      </c>
      <c r="F644" s="345">
        <v>1</v>
      </c>
      <c r="G644" s="34">
        <f t="shared" si="45"/>
        <v>1600</v>
      </c>
      <c r="H644" s="34"/>
      <c r="I644" s="34"/>
      <c r="J644" s="34"/>
      <c r="K644" s="34"/>
      <c r="L644" s="34"/>
      <c r="M644" s="34"/>
      <c r="N644" s="34"/>
      <c r="O644" s="34"/>
    </row>
    <row r="645" spans="1:15" ht="33">
      <c r="A645" s="34">
        <v>85</v>
      </c>
      <c r="B645" s="34"/>
      <c r="C645" s="343" t="s">
        <v>853</v>
      </c>
      <c r="D645" s="344" t="s">
        <v>788</v>
      </c>
      <c r="E645" s="60">
        <v>16200</v>
      </c>
      <c r="F645" s="345">
        <v>1</v>
      </c>
      <c r="G645" s="34">
        <f t="shared" si="45"/>
        <v>16200</v>
      </c>
      <c r="H645" s="34"/>
      <c r="I645" s="34"/>
      <c r="J645" s="34"/>
      <c r="K645" s="34"/>
      <c r="L645" s="34"/>
      <c r="M645" s="34"/>
      <c r="N645" s="34"/>
      <c r="O645" s="34"/>
    </row>
    <row r="646" spans="1:15" ht="99">
      <c r="A646" s="34">
        <v>86</v>
      </c>
      <c r="B646" s="34"/>
      <c r="C646" s="343" t="s">
        <v>854</v>
      </c>
      <c r="D646" s="344" t="s">
        <v>788</v>
      </c>
      <c r="E646" s="60">
        <v>138674</v>
      </c>
      <c r="F646" s="345">
        <v>1</v>
      </c>
      <c r="G646" s="34">
        <f t="shared" si="45"/>
        <v>138674</v>
      </c>
      <c r="H646" s="34"/>
      <c r="I646" s="34"/>
      <c r="J646" s="34"/>
      <c r="K646" s="34"/>
      <c r="L646" s="34"/>
      <c r="M646" s="34"/>
      <c r="N646" s="34"/>
      <c r="O646" s="34"/>
    </row>
    <row r="647" spans="1:15" ht="66">
      <c r="A647" s="34">
        <v>87</v>
      </c>
      <c r="B647" s="34"/>
      <c r="C647" s="343" t="s">
        <v>855</v>
      </c>
      <c r="D647" s="344" t="s">
        <v>246</v>
      </c>
      <c r="E647" s="60">
        <v>88657</v>
      </c>
      <c r="F647" s="345">
        <v>1</v>
      </c>
      <c r="G647" s="34">
        <f t="shared" si="45"/>
        <v>88657</v>
      </c>
      <c r="H647" s="34"/>
      <c r="I647" s="34"/>
      <c r="J647" s="34"/>
      <c r="K647" s="34"/>
      <c r="L647" s="34"/>
      <c r="M647" s="34"/>
      <c r="N647" s="34"/>
      <c r="O647" s="34"/>
    </row>
    <row r="648" spans="1:15" ht="49.5">
      <c r="A648" s="34">
        <v>88</v>
      </c>
      <c r="B648" s="34"/>
      <c r="C648" s="343" t="s">
        <v>856</v>
      </c>
      <c r="D648" s="344" t="s">
        <v>246</v>
      </c>
      <c r="E648" s="60">
        <v>9000</v>
      </c>
      <c r="F648" s="345">
        <v>1</v>
      </c>
      <c r="G648" s="34">
        <f t="shared" si="45"/>
        <v>9000</v>
      </c>
      <c r="H648" s="34"/>
      <c r="I648" s="34"/>
      <c r="J648" s="34"/>
      <c r="K648" s="34"/>
      <c r="L648" s="34"/>
      <c r="M648" s="34"/>
      <c r="N648" s="34"/>
      <c r="O648" s="34"/>
    </row>
    <row r="649" spans="1:15" ht="82.5">
      <c r="A649" s="34">
        <v>89</v>
      </c>
      <c r="B649" s="34"/>
      <c r="C649" s="343" t="s">
        <v>857</v>
      </c>
      <c r="D649" s="344" t="s">
        <v>788</v>
      </c>
      <c r="E649" s="60">
        <v>139872</v>
      </c>
      <c r="F649" s="345">
        <v>1</v>
      </c>
      <c r="G649" s="34">
        <f t="shared" si="45"/>
        <v>139872</v>
      </c>
      <c r="H649" s="34"/>
      <c r="I649" s="34"/>
      <c r="J649" s="34"/>
      <c r="K649" s="34"/>
      <c r="L649" s="34"/>
      <c r="M649" s="34"/>
      <c r="N649" s="34"/>
      <c r="O649" s="34"/>
    </row>
    <row r="650" spans="1:15" ht="49.5">
      <c r="A650" s="34">
        <v>90</v>
      </c>
      <c r="B650" s="34"/>
      <c r="C650" s="343" t="s">
        <v>858</v>
      </c>
      <c r="D650" s="344" t="s">
        <v>246</v>
      </c>
      <c r="E650" s="60">
        <v>900</v>
      </c>
      <c r="F650" s="345">
        <v>1</v>
      </c>
      <c r="G650" s="34">
        <f t="shared" si="45"/>
        <v>900</v>
      </c>
      <c r="H650" s="34"/>
      <c r="I650" s="34"/>
      <c r="J650" s="34"/>
      <c r="K650" s="34"/>
      <c r="L650" s="34"/>
      <c r="M650" s="34"/>
      <c r="N650" s="34"/>
      <c r="O650" s="34"/>
    </row>
    <row r="651" spans="1:15" ht="49.5">
      <c r="A651" s="34">
        <v>91</v>
      </c>
      <c r="B651" s="34"/>
      <c r="C651" s="343" t="s">
        <v>859</v>
      </c>
      <c r="D651" s="344" t="s">
        <v>788</v>
      </c>
      <c r="E651" s="60">
        <v>62558</v>
      </c>
      <c r="F651" s="345">
        <v>2</v>
      </c>
      <c r="G651" s="34">
        <f t="shared" si="45"/>
        <v>125116</v>
      </c>
      <c r="H651" s="34"/>
      <c r="I651" s="34"/>
      <c r="J651" s="34"/>
      <c r="K651" s="34"/>
      <c r="L651" s="34"/>
      <c r="M651" s="34"/>
      <c r="N651" s="34"/>
      <c r="O651" s="34"/>
    </row>
    <row r="652" spans="1:15" ht="66">
      <c r="A652" s="34">
        <v>92</v>
      </c>
      <c r="B652" s="34"/>
      <c r="C652" s="343" t="s">
        <v>860</v>
      </c>
      <c r="D652" s="344" t="s">
        <v>788</v>
      </c>
      <c r="E652" s="60">
        <v>69887</v>
      </c>
      <c r="F652" s="345">
        <v>2</v>
      </c>
      <c r="G652" s="34">
        <f t="shared" si="45"/>
        <v>139774</v>
      </c>
      <c r="H652" s="34"/>
      <c r="I652" s="34"/>
      <c r="J652" s="34"/>
      <c r="K652" s="34"/>
      <c r="L652" s="34"/>
      <c r="M652" s="34"/>
      <c r="N652" s="34"/>
      <c r="O652" s="34"/>
    </row>
    <row r="653" spans="1:15" ht="66">
      <c r="A653" s="34">
        <v>93</v>
      </c>
      <c r="B653" s="34"/>
      <c r="C653" s="343" t="s">
        <v>861</v>
      </c>
      <c r="D653" s="344" t="s">
        <v>788</v>
      </c>
      <c r="E653" s="60">
        <v>58976</v>
      </c>
      <c r="F653" s="345">
        <v>2</v>
      </c>
      <c r="G653" s="34">
        <f t="shared" si="45"/>
        <v>117952</v>
      </c>
      <c r="H653" s="34"/>
      <c r="I653" s="34"/>
      <c r="J653" s="34"/>
      <c r="K653" s="34"/>
      <c r="L653" s="34"/>
      <c r="M653" s="34"/>
      <c r="N653" s="34"/>
      <c r="O653" s="34"/>
    </row>
    <row r="654" spans="1:15" ht="115.5">
      <c r="A654" s="34">
        <v>94</v>
      </c>
      <c r="B654" s="34"/>
      <c r="C654" s="343" t="s">
        <v>862</v>
      </c>
      <c r="D654" s="344" t="s">
        <v>788</v>
      </c>
      <c r="E654" s="60">
        <v>55438</v>
      </c>
      <c r="F654" s="345">
        <v>2</v>
      </c>
      <c r="G654" s="34">
        <f t="shared" si="45"/>
        <v>110876</v>
      </c>
      <c r="H654" s="34"/>
      <c r="I654" s="34"/>
      <c r="J654" s="34"/>
      <c r="K654" s="34"/>
      <c r="L654" s="34"/>
      <c r="M654" s="34"/>
      <c r="N654" s="34"/>
      <c r="O654" s="34"/>
    </row>
    <row r="655" spans="1:15" ht="49.5">
      <c r="A655" s="34">
        <v>95</v>
      </c>
      <c r="B655" s="34"/>
      <c r="C655" s="343" t="s">
        <v>863</v>
      </c>
      <c r="D655" s="344" t="s">
        <v>788</v>
      </c>
      <c r="E655" s="60">
        <v>356</v>
      </c>
      <c r="F655" s="345">
        <v>1</v>
      </c>
      <c r="G655" s="34">
        <f t="shared" si="45"/>
        <v>356</v>
      </c>
      <c r="H655" s="34"/>
      <c r="I655" s="34"/>
      <c r="J655" s="34"/>
      <c r="K655" s="34"/>
      <c r="L655" s="34"/>
      <c r="M655" s="34"/>
      <c r="N655" s="34"/>
      <c r="O655" s="34"/>
    </row>
    <row r="656" spans="1:15" ht="49.5">
      <c r="A656" s="34">
        <v>96</v>
      </c>
      <c r="B656" s="34"/>
      <c r="C656" s="343" t="s">
        <v>864</v>
      </c>
      <c r="D656" s="344" t="s">
        <v>37</v>
      </c>
      <c r="E656" s="60">
        <v>240</v>
      </c>
      <c r="F656" s="345">
        <v>1</v>
      </c>
      <c r="G656" s="34">
        <f t="shared" si="45"/>
        <v>240</v>
      </c>
      <c r="H656" s="34"/>
      <c r="I656" s="34"/>
      <c r="J656" s="34"/>
      <c r="K656" s="34"/>
      <c r="L656" s="34"/>
      <c r="M656" s="34"/>
      <c r="N656" s="34"/>
      <c r="O656" s="34"/>
    </row>
    <row r="657" spans="1:15" ht="49.5">
      <c r="A657" s="34">
        <v>97</v>
      </c>
      <c r="B657" s="34"/>
      <c r="C657" s="343" t="s">
        <v>865</v>
      </c>
      <c r="D657" s="344" t="s">
        <v>37</v>
      </c>
      <c r="E657" s="60">
        <v>54789</v>
      </c>
      <c r="F657" s="345">
        <v>2</v>
      </c>
      <c r="G657" s="34">
        <f t="shared" si="45"/>
        <v>109578</v>
      </c>
      <c r="H657" s="34"/>
      <c r="I657" s="34"/>
      <c r="J657" s="34"/>
      <c r="K657" s="34"/>
      <c r="L657" s="34"/>
      <c r="M657" s="34"/>
      <c r="N657" s="34"/>
      <c r="O657" s="34"/>
    </row>
    <row r="658" spans="1:15" ht="49.5">
      <c r="A658" s="34">
        <v>98</v>
      </c>
      <c r="B658" s="34"/>
      <c r="C658" s="343" t="s">
        <v>866</v>
      </c>
      <c r="D658" s="344" t="s">
        <v>788</v>
      </c>
      <c r="E658" s="60">
        <v>12559</v>
      </c>
      <c r="F658" s="345">
        <v>1</v>
      </c>
      <c r="G658" s="34">
        <f t="shared" si="45"/>
        <v>12559</v>
      </c>
      <c r="H658" s="34"/>
      <c r="I658" s="34"/>
      <c r="J658" s="34"/>
      <c r="K658" s="34"/>
      <c r="L658" s="34"/>
      <c r="M658" s="34"/>
      <c r="N658" s="34"/>
      <c r="O658" s="34"/>
    </row>
    <row r="659" spans="1:15" ht="49.5">
      <c r="A659" s="34">
        <v>99</v>
      </c>
      <c r="B659" s="34"/>
      <c r="C659" s="343" t="s">
        <v>867</v>
      </c>
      <c r="D659" s="344" t="s">
        <v>37</v>
      </c>
      <c r="E659" s="60">
        <v>3224</v>
      </c>
      <c r="F659" s="345">
        <v>2</v>
      </c>
      <c r="G659" s="34">
        <f t="shared" si="45"/>
        <v>6448</v>
      </c>
      <c r="H659" s="34"/>
      <c r="I659" s="34"/>
      <c r="J659" s="34"/>
      <c r="K659" s="34"/>
      <c r="L659" s="34"/>
      <c r="M659" s="34"/>
      <c r="N659" s="34"/>
      <c r="O659" s="34"/>
    </row>
    <row r="660" spans="1:15" ht="82.5">
      <c r="A660" s="34">
        <v>100</v>
      </c>
      <c r="B660" s="34"/>
      <c r="C660" s="343" t="s">
        <v>868</v>
      </c>
      <c r="D660" s="344" t="s">
        <v>246</v>
      </c>
      <c r="E660" s="60">
        <v>18044</v>
      </c>
      <c r="F660" s="345">
        <v>1</v>
      </c>
      <c r="G660" s="34">
        <f t="shared" si="45"/>
        <v>18044</v>
      </c>
      <c r="H660" s="34"/>
      <c r="I660" s="34"/>
      <c r="J660" s="34"/>
      <c r="K660" s="34"/>
      <c r="L660" s="34"/>
      <c r="M660" s="34"/>
      <c r="N660" s="34"/>
      <c r="O660" s="34"/>
    </row>
    <row r="661" spans="1:15" ht="66">
      <c r="A661" s="34">
        <v>101</v>
      </c>
      <c r="B661" s="34"/>
      <c r="C661" s="343" t="s">
        <v>869</v>
      </c>
      <c r="D661" s="344" t="s">
        <v>37</v>
      </c>
      <c r="E661" s="60">
        <v>32665</v>
      </c>
      <c r="F661" s="345">
        <v>1</v>
      </c>
      <c r="G661" s="34">
        <f t="shared" si="45"/>
        <v>32665</v>
      </c>
      <c r="H661" s="34"/>
      <c r="I661" s="34"/>
      <c r="J661" s="34"/>
      <c r="K661" s="34"/>
      <c r="L661" s="34"/>
      <c r="M661" s="34"/>
      <c r="N661" s="34"/>
      <c r="O661" s="34"/>
    </row>
    <row r="662" spans="1:15" ht="66">
      <c r="A662" s="34">
        <v>102</v>
      </c>
      <c r="B662" s="34"/>
      <c r="C662" s="343" t="s">
        <v>870</v>
      </c>
      <c r="D662" s="344" t="s">
        <v>37</v>
      </c>
      <c r="E662" s="60">
        <v>33256</v>
      </c>
      <c r="F662" s="345">
        <v>1</v>
      </c>
      <c r="G662" s="34">
        <f t="shared" si="45"/>
        <v>33256</v>
      </c>
      <c r="H662" s="34"/>
      <c r="I662" s="34"/>
      <c r="J662" s="34"/>
      <c r="K662" s="34"/>
      <c r="L662" s="34"/>
      <c r="M662" s="34"/>
      <c r="N662" s="34"/>
      <c r="O662" s="34"/>
    </row>
    <row r="663" spans="1:15" ht="82.5">
      <c r="A663" s="34">
        <v>103</v>
      </c>
      <c r="B663" s="34"/>
      <c r="C663" s="343" t="s">
        <v>871</v>
      </c>
      <c r="D663" s="344" t="s">
        <v>37</v>
      </c>
      <c r="E663" s="60">
        <v>22987</v>
      </c>
      <c r="F663" s="345">
        <v>1</v>
      </c>
      <c r="G663" s="34">
        <f t="shared" si="45"/>
        <v>22987</v>
      </c>
      <c r="H663" s="34"/>
      <c r="I663" s="34"/>
      <c r="J663" s="34"/>
      <c r="K663" s="34"/>
      <c r="L663" s="34"/>
      <c r="M663" s="34"/>
      <c r="N663" s="34"/>
      <c r="O663" s="34"/>
    </row>
    <row r="664" spans="1:15" ht="66">
      <c r="A664" s="34">
        <v>104</v>
      </c>
      <c r="B664" s="34"/>
      <c r="C664" s="343" t="s">
        <v>872</v>
      </c>
      <c r="D664" s="344" t="s">
        <v>37</v>
      </c>
      <c r="E664" s="60">
        <v>26556</v>
      </c>
      <c r="F664" s="345">
        <v>1</v>
      </c>
      <c r="G664" s="34">
        <f t="shared" si="45"/>
        <v>26556</v>
      </c>
      <c r="H664" s="34"/>
      <c r="I664" s="34"/>
      <c r="J664" s="34"/>
      <c r="K664" s="34"/>
      <c r="L664" s="34"/>
      <c r="M664" s="34"/>
      <c r="N664" s="34"/>
      <c r="O664" s="34"/>
    </row>
    <row r="665" spans="1:15" ht="66">
      <c r="A665" s="34">
        <v>105</v>
      </c>
      <c r="B665" s="34"/>
      <c r="C665" s="343" t="s">
        <v>873</v>
      </c>
      <c r="D665" s="344" t="s">
        <v>37</v>
      </c>
      <c r="E665" s="60">
        <v>28996</v>
      </c>
      <c r="F665" s="345">
        <v>1</v>
      </c>
      <c r="G665" s="34">
        <f t="shared" si="45"/>
        <v>28996</v>
      </c>
      <c r="H665" s="34"/>
      <c r="I665" s="34"/>
      <c r="J665" s="34"/>
      <c r="K665" s="34"/>
      <c r="L665" s="34"/>
      <c r="M665" s="34"/>
      <c r="N665" s="34"/>
      <c r="O665" s="34"/>
    </row>
    <row r="666" spans="1:15" ht="66">
      <c r="A666" s="34">
        <v>106</v>
      </c>
      <c r="B666" s="34"/>
      <c r="C666" s="343" t="s">
        <v>874</v>
      </c>
      <c r="D666" s="344" t="s">
        <v>37</v>
      </c>
      <c r="E666" s="60">
        <v>1137</v>
      </c>
      <c r="F666" s="345">
        <v>2</v>
      </c>
      <c r="G666" s="34">
        <f t="shared" si="45"/>
        <v>2274</v>
      </c>
      <c r="H666" s="34"/>
      <c r="I666" s="34"/>
      <c r="J666" s="34"/>
      <c r="K666" s="34"/>
      <c r="L666" s="34"/>
      <c r="M666" s="34"/>
      <c r="N666" s="34"/>
      <c r="O666" s="34"/>
    </row>
    <row r="667" spans="1:15" ht="82.5">
      <c r="A667" s="34">
        <v>107</v>
      </c>
      <c r="B667" s="34"/>
      <c r="C667" s="343" t="s">
        <v>875</v>
      </c>
      <c r="D667" s="344" t="s">
        <v>788</v>
      </c>
      <c r="E667" s="60">
        <v>9237</v>
      </c>
      <c r="F667" s="345">
        <v>1</v>
      </c>
      <c r="G667" s="34">
        <f t="shared" si="45"/>
        <v>9237</v>
      </c>
      <c r="H667" s="34"/>
      <c r="I667" s="34"/>
      <c r="J667" s="34"/>
      <c r="K667" s="34"/>
      <c r="L667" s="34"/>
      <c r="M667" s="34"/>
      <c r="N667" s="34"/>
      <c r="O667" s="34"/>
    </row>
    <row r="668" spans="1:15" ht="82.5">
      <c r="A668" s="34">
        <v>108</v>
      </c>
      <c r="B668" s="34"/>
      <c r="C668" s="343" t="s">
        <v>876</v>
      </c>
      <c r="D668" s="350" t="s">
        <v>37</v>
      </c>
      <c r="E668" s="60">
        <v>6589</v>
      </c>
      <c r="F668" s="345">
        <v>1</v>
      </c>
      <c r="G668" s="34">
        <f t="shared" si="45"/>
        <v>6589</v>
      </c>
      <c r="H668" s="34"/>
      <c r="I668" s="34"/>
      <c r="J668" s="34"/>
      <c r="K668" s="34"/>
      <c r="L668" s="34"/>
      <c r="M668" s="34"/>
      <c r="N668" s="34"/>
      <c r="O668" s="34"/>
    </row>
    <row r="669" spans="1:15" ht="66">
      <c r="A669" s="34">
        <v>109</v>
      </c>
      <c r="B669" s="34"/>
      <c r="C669" s="343" t="s">
        <v>877</v>
      </c>
      <c r="D669" s="350" t="s">
        <v>37</v>
      </c>
      <c r="E669" s="60">
        <v>430</v>
      </c>
      <c r="F669" s="345">
        <v>1</v>
      </c>
      <c r="G669" s="34">
        <f t="shared" si="45"/>
        <v>430</v>
      </c>
      <c r="H669" s="34"/>
      <c r="I669" s="34"/>
      <c r="J669" s="34"/>
      <c r="K669" s="34"/>
      <c r="L669" s="34"/>
      <c r="M669" s="34"/>
      <c r="N669" s="34"/>
      <c r="O669" s="34"/>
    </row>
    <row r="670" spans="1:15" ht="66">
      <c r="A670" s="34">
        <v>110</v>
      </c>
      <c r="B670" s="34"/>
      <c r="C670" s="343" t="s">
        <v>878</v>
      </c>
      <c r="D670" s="344" t="s">
        <v>788</v>
      </c>
      <c r="E670" s="60">
        <v>3565</v>
      </c>
      <c r="F670" s="345">
        <v>1</v>
      </c>
      <c r="G670" s="34">
        <f t="shared" si="45"/>
        <v>3565</v>
      </c>
      <c r="H670" s="34"/>
      <c r="I670" s="34"/>
      <c r="J670" s="34"/>
      <c r="K670" s="34"/>
      <c r="L670" s="34"/>
      <c r="M670" s="34"/>
      <c r="N670" s="34"/>
      <c r="O670" s="34"/>
    </row>
    <row r="671" spans="1:15" ht="66">
      <c r="A671" s="34">
        <v>111</v>
      </c>
      <c r="B671" s="34"/>
      <c r="C671" s="343" t="s">
        <v>879</v>
      </c>
      <c r="D671" s="344" t="s">
        <v>788</v>
      </c>
      <c r="E671" s="60">
        <v>2546</v>
      </c>
      <c r="F671" s="345">
        <v>1</v>
      </c>
      <c r="G671" s="34">
        <f t="shared" si="45"/>
        <v>2546</v>
      </c>
      <c r="H671" s="34"/>
      <c r="I671" s="34"/>
      <c r="J671" s="34"/>
      <c r="K671" s="34"/>
      <c r="L671" s="34"/>
      <c r="M671" s="34"/>
      <c r="N671" s="34"/>
      <c r="O671" s="34"/>
    </row>
    <row r="672" spans="1:15" ht="66">
      <c r="A672" s="34">
        <v>112</v>
      </c>
      <c r="B672" s="34"/>
      <c r="C672" s="343" t="s">
        <v>880</v>
      </c>
      <c r="D672" s="344" t="s">
        <v>788</v>
      </c>
      <c r="E672" s="60">
        <v>2223</v>
      </c>
      <c r="F672" s="345">
        <v>1</v>
      </c>
      <c r="G672" s="34">
        <f t="shared" si="45"/>
        <v>2223</v>
      </c>
      <c r="H672" s="34"/>
      <c r="I672" s="34"/>
      <c r="J672" s="34"/>
      <c r="K672" s="34"/>
      <c r="L672" s="34"/>
      <c r="M672" s="34"/>
      <c r="N672" s="34"/>
      <c r="O672" s="34"/>
    </row>
    <row r="673" spans="1:15" ht="66">
      <c r="A673" s="34">
        <v>113</v>
      </c>
      <c r="B673" s="34"/>
      <c r="C673" s="343" t="s">
        <v>881</v>
      </c>
      <c r="D673" s="344" t="s">
        <v>788</v>
      </c>
      <c r="E673" s="60">
        <v>6695</v>
      </c>
      <c r="F673" s="345">
        <v>1</v>
      </c>
      <c r="G673" s="34">
        <f t="shared" si="45"/>
        <v>6695</v>
      </c>
      <c r="H673" s="34"/>
      <c r="I673" s="34"/>
      <c r="J673" s="34"/>
      <c r="K673" s="34"/>
      <c r="L673" s="34"/>
      <c r="M673" s="34"/>
      <c r="N673" s="34"/>
      <c r="O673" s="34"/>
    </row>
    <row r="674" spans="1:15" ht="66">
      <c r="A674" s="34">
        <v>114</v>
      </c>
      <c r="B674" s="34"/>
      <c r="C674" s="343" t="s">
        <v>882</v>
      </c>
      <c r="D674" s="344" t="s">
        <v>788</v>
      </c>
      <c r="E674" s="60">
        <v>3365</v>
      </c>
      <c r="F674" s="345">
        <v>1</v>
      </c>
      <c r="G674" s="34">
        <f t="shared" si="45"/>
        <v>3365</v>
      </c>
      <c r="H674" s="34"/>
      <c r="I674" s="34"/>
      <c r="J674" s="34"/>
      <c r="K674" s="34"/>
      <c r="L674" s="34"/>
      <c r="M674" s="34"/>
      <c r="N674" s="34"/>
      <c r="O674" s="34"/>
    </row>
    <row r="675" spans="1:15" ht="99">
      <c r="A675" s="34">
        <v>115</v>
      </c>
      <c r="B675" s="34"/>
      <c r="C675" s="343" t="s">
        <v>883</v>
      </c>
      <c r="D675" s="344" t="s">
        <v>788</v>
      </c>
      <c r="E675" s="60">
        <v>342</v>
      </c>
      <c r="F675" s="345">
        <v>2</v>
      </c>
      <c r="G675" s="34">
        <f t="shared" si="45"/>
        <v>684</v>
      </c>
      <c r="H675" s="34"/>
      <c r="I675" s="34"/>
      <c r="J675" s="34"/>
      <c r="K675" s="34"/>
      <c r="L675" s="34"/>
      <c r="M675" s="34"/>
      <c r="N675" s="34"/>
      <c r="O675" s="34"/>
    </row>
    <row r="676" spans="1:15" ht="66">
      <c r="A676" s="34">
        <v>116</v>
      </c>
      <c r="B676" s="34"/>
      <c r="C676" s="343" t="s">
        <v>884</v>
      </c>
      <c r="D676" s="344" t="s">
        <v>37</v>
      </c>
      <c r="E676" s="60">
        <v>3524</v>
      </c>
      <c r="F676" s="345">
        <v>2</v>
      </c>
      <c r="G676" s="34">
        <f t="shared" si="45"/>
        <v>7048</v>
      </c>
      <c r="H676" s="34"/>
      <c r="I676" s="34"/>
      <c r="J676" s="34"/>
      <c r="K676" s="34"/>
      <c r="L676" s="34"/>
      <c r="M676" s="34"/>
      <c r="N676" s="34"/>
      <c r="O676" s="34"/>
    </row>
    <row r="677" spans="1:15" ht="49.5">
      <c r="A677" s="34">
        <v>117</v>
      </c>
      <c r="B677" s="34"/>
      <c r="C677" s="343" t="s">
        <v>885</v>
      </c>
      <c r="D677" s="344" t="s">
        <v>40</v>
      </c>
      <c r="E677" s="60">
        <v>12454</v>
      </c>
      <c r="F677" s="345">
        <v>1</v>
      </c>
      <c r="G677" s="34">
        <f t="shared" si="45"/>
        <v>12454</v>
      </c>
      <c r="H677" s="34"/>
      <c r="I677" s="34"/>
      <c r="J677" s="34"/>
      <c r="K677" s="34"/>
      <c r="L677" s="34"/>
      <c r="M677" s="34"/>
      <c r="N677" s="34"/>
      <c r="O677" s="34"/>
    </row>
    <row r="678" spans="1:15" ht="66">
      <c r="A678" s="34">
        <v>118</v>
      </c>
      <c r="B678" s="34"/>
      <c r="C678" s="343" t="s">
        <v>886</v>
      </c>
      <c r="D678" s="344" t="s">
        <v>40</v>
      </c>
      <c r="E678" s="60">
        <v>5512</v>
      </c>
      <c r="F678" s="345">
        <v>2</v>
      </c>
      <c r="G678" s="34">
        <f t="shared" si="45"/>
        <v>11024</v>
      </c>
      <c r="H678" s="34"/>
      <c r="I678" s="34"/>
      <c r="J678" s="34"/>
      <c r="K678" s="34"/>
      <c r="L678" s="34"/>
      <c r="M678" s="34"/>
      <c r="N678" s="34"/>
      <c r="O678" s="34"/>
    </row>
    <row r="679" spans="1:15" ht="49.5">
      <c r="A679" s="34">
        <v>119</v>
      </c>
      <c r="B679" s="34"/>
      <c r="C679" s="343" t="s">
        <v>887</v>
      </c>
      <c r="D679" s="350" t="s">
        <v>37</v>
      </c>
      <c r="E679" s="60">
        <v>9888</v>
      </c>
      <c r="F679" s="345">
        <v>1</v>
      </c>
      <c r="G679" s="34">
        <f t="shared" si="45"/>
        <v>9888</v>
      </c>
      <c r="H679" s="34"/>
      <c r="I679" s="34"/>
      <c r="J679" s="34"/>
      <c r="K679" s="34"/>
      <c r="L679" s="34"/>
      <c r="M679" s="34"/>
      <c r="N679" s="34"/>
      <c r="O679" s="34"/>
    </row>
    <row r="680" spans="1:15" ht="49.5">
      <c r="A680" s="34">
        <v>120</v>
      </c>
      <c r="B680" s="34"/>
      <c r="C680" s="343" t="s">
        <v>888</v>
      </c>
      <c r="D680" s="344" t="s">
        <v>40</v>
      </c>
      <c r="E680" s="60">
        <v>9888</v>
      </c>
      <c r="F680" s="345">
        <v>1</v>
      </c>
      <c r="G680" s="34">
        <f t="shared" si="45"/>
        <v>9888</v>
      </c>
      <c r="H680" s="34"/>
      <c r="I680" s="34"/>
      <c r="J680" s="34"/>
      <c r="K680" s="34"/>
      <c r="L680" s="34"/>
      <c r="M680" s="34"/>
      <c r="N680" s="34"/>
      <c r="O680" s="34"/>
    </row>
    <row r="681" spans="1:15" ht="66">
      <c r="A681" s="34">
        <v>121</v>
      </c>
      <c r="B681" s="34"/>
      <c r="C681" s="343" t="s">
        <v>889</v>
      </c>
      <c r="D681" s="344" t="s">
        <v>40</v>
      </c>
      <c r="E681" s="60">
        <v>8856</v>
      </c>
      <c r="F681" s="345">
        <v>1</v>
      </c>
      <c r="G681" s="34">
        <f t="shared" si="45"/>
        <v>8856</v>
      </c>
      <c r="H681" s="34"/>
      <c r="I681" s="34"/>
      <c r="J681" s="34"/>
      <c r="K681" s="34"/>
      <c r="L681" s="34"/>
      <c r="M681" s="34"/>
      <c r="N681" s="34"/>
      <c r="O681" s="34"/>
    </row>
    <row r="682" spans="1:15" ht="49.5">
      <c r="A682" s="34">
        <v>122</v>
      </c>
      <c r="B682" s="34"/>
      <c r="C682" s="343" t="s">
        <v>890</v>
      </c>
      <c r="D682" s="344" t="s">
        <v>40</v>
      </c>
      <c r="E682" s="60">
        <v>7588</v>
      </c>
      <c r="F682" s="345">
        <v>1</v>
      </c>
      <c r="G682" s="34">
        <f t="shared" si="45"/>
        <v>7588</v>
      </c>
      <c r="H682" s="34"/>
      <c r="I682" s="34"/>
      <c r="J682" s="34"/>
      <c r="K682" s="34"/>
      <c r="L682" s="34"/>
      <c r="M682" s="34"/>
      <c r="N682" s="34"/>
      <c r="O682" s="34"/>
    </row>
    <row r="683" spans="1:15" ht="49.5">
      <c r="A683" s="34">
        <v>123</v>
      </c>
      <c r="B683" s="34"/>
      <c r="C683" s="343" t="s">
        <v>891</v>
      </c>
      <c r="D683" s="350" t="s">
        <v>37</v>
      </c>
      <c r="E683" s="60">
        <v>7588</v>
      </c>
      <c r="F683" s="345">
        <v>1</v>
      </c>
      <c r="G683" s="34">
        <f t="shared" si="45"/>
        <v>7588</v>
      </c>
      <c r="H683" s="34"/>
      <c r="I683" s="34"/>
      <c r="J683" s="34"/>
      <c r="K683" s="34"/>
      <c r="L683" s="34"/>
      <c r="M683" s="34"/>
      <c r="N683" s="34"/>
      <c r="O683" s="34"/>
    </row>
    <row r="684" spans="1:15" ht="82.5">
      <c r="A684" s="34">
        <v>124</v>
      </c>
      <c r="B684" s="34"/>
      <c r="C684" s="343" t="s">
        <v>892</v>
      </c>
      <c r="D684" s="344" t="s">
        <v>40</v>
      </c>
      <c r="E684" s="60">
        <v>7588</v>
      </c>
      <c r="F684" s="345">
        <v>1</v>
      </c>
      <c r="G684" s="34">
        <f t="shared" si="45"/>
        <v>7588</v>
      </c>
      <c r="H684" s="34"/>
      <c r="I684" s="34"/>
      <c r="J684" s="34"/>
      <c r="K684" s="34"/>
      <c r="L684" s="34"/>
      <c r="M684" s="34"/>
      <c r="N684" s="34"/>
      <c r="O684" s="34"/>
    </row>
    <row r="685" spans="1:15" ht="66">
      <c r="A685" s="34">
        <v>125</v>
      </c>
      <c r="B685" s="34"/>
      <c r="C685" s="343" t="s">
        <v>893</v>
      </c>
      <c r="D685" s="344" t="s">
        <v>37</v>
      </c>
      <c r="E685" s="60">
        <v>5512</v>
      </c>
      <c r="F685" s="345">
        <v>4</v>
      </c>
      <c r="G685" s="34">
        <f t="shared" si="45"/>
        <v>22048</v>
      </c>
      <c r="H685" s="34"/>
      <c r="I685" s="34"/>
      <c r="J685" s="34"/>
      <c r="K685" s="34"/>
      <c r="L685" s="34"/>
      <c r="M685" s="34"/>
      <c r="N685" s="34"/>
      <c r="O685" s="34"/>
    </row>
    <row r="686" spans="1:15" ht="82.5">
      <c r="A686" s="34">
        <v>126</v>
      </c>
      <c r="B686" s="34"/>
      <c r="C686" s="343" t="s">
        <v>894</v>
      </c>
      <c r="D686" s="344" t="s">
        <v>37</v>
      </c>
      <c r="E686" s="60">
        <v>12556</v>
      </c>
      <c r="F686" s="345">
        <v>1</v>
      </c>
      <c r="G686" s="34">
        <f t="shared" si="45"/>
        <v>12556</v>
      </c>
      <c r="H686" s="34"/>
      <c r="I686" s="34"/>
      <c r="J686" s="34"/>
      <c r="K686" s="34"/>
      <c r="L686" s="34"/>
      <c r="M686" s="34"/>
      <c r="N686" s="34"/>
      <c r="O686" s="34"/>
    </row>
    <row r="687" spans="1:15" ht="66">
      <c r="A687" s="34">
        <v>127</v>
      </c>
      <c r="B687" s="34"/>
      <c r="C687" s="343" t="s">
        <v>895</v>
      </c>
      <c r="D687" s="344" t="s">
        <v>37</v>
      </c>
      <c r="E687" s="60">
        <v>12556</v>
      </c>
      <c r="F687" s="345">
        <v>1</v>
      </c>
      <c r="G687" s="34">
        <f t="shared" si="45"/>
        <v>12556</v>
      </c>
      <c r="H687" s="34"/>
      <c r="I687" s="34"/>
      <c r="J687" s="34"/>
      <c r="K687" s="34"/>
      <c r="L687" s="34"/>
      <c r="M687" s="34"/>
      <c r="N687" s="34"/>
      <c r="O687" s="34"/>
    </row>
    <row r="688" spans="1:15" ht="49.5">
      <c r="A688" s="34">
        <v>128</v>
      </c>
      <c r="B688" s="34"/>
      <c r="C688" s="343" t="s">
        <v>896</v>
      </c>
      <c r="D688" s="344" t="s">
        <v>266</v>
      </c>
      <c r="E688" s="60">
        <v>345672</v>
      </c>
      <c r="F688" s="345">
        <v>1</v>
      </c>
      <c r="G688" s="34">
        <f t="shared" si="45"/>
        <v>345672</v>
      </c>
      <c r="H688" s="34"/>
      <c r="I688" s="34"/>
      <c r="J688" s="34"/>
      <c r="K688" s="34"/>
      <c r="L688" s="34"/>
      <c r="M688" s="34"/>
      <c r="N688" s="34"/>
      <c r="O688" s="34"/>
    </row>
    <row r="689" spans="1:15" ht="66">
      <c r="A689" s="34">
        <v>129</v>
      </c>
      <c r="B689" s="34"/>
      <c r="C689" s="343" t="s">
        <v>897</v>
      </c>
      <c r="D689" s="344" t="s">
        <v>37</v>
      </c>
      <c r="E689" s="60">
        <v>3000</v>
      </c>
      <c r="F689" s="345">
        <v>1</v>
      </c>
      <c r="G689" s="34">
        <f t="shared" si="45"/>
        <v>3000</v>
      </c>
      <c r="H689" s="34"/>
      <c r="I689" s="34"/>
      <c r="J689" s="34"/>
      <c r="K689" s="34"/>
      <c r="L689" s="34"/>
      <c r="M689" s="34"/>
      <c r="N689" s="34"/>
      <c r="O689" s="34"/>
    </row>
    <row r="690" spans="1:15" ht="49.5">
      <c r="A690" s="34">
        <v>130</v>
      </c>
      <c r="B690" s="34"/>
      <c r="C690" s="343" t="s">
        <v>898</v>
      </c>
      <c r="D690" s="344" t="s">
        <v>37</v>
      </c>
      <c r="E690" s="60">
        <v>900</v>
      </c>
      <c r="F690" s="345">
        <v>1</v>
      </c>
      <c r="G690" s="34">
        <f t="shared" ref="G690:G753" si="46">E690*F690</f>
        <v>900</v>
      </c>
      <c r="H690" s="34"/>
      <c r="I690" s="34"/>
      <c r="J690" s="34"/>
      <c r="K690" s="34"/>
      <c r="L690" s="34"/>
      <c r="M690" s="34"/>
      <c r="N690" s="34"/>
      <c r="O690" s="34"/>
    </row>
    <row r="691" spans="1:15" ht="49.5">
      <c r="A691" s="34">
        <v>131</v>
      </c>
      <c r="B691" s="34"/>
      <c r="C691" s="343" t="s">
        <v>899</v>
      </c>
      <c r="D691" s="344" t="s">
        <v>266</v>
      </c>
      <c r="E691" s="60">
        <v>2400</v>
      </c>
      <c r="F691" s="345">
        <v>1</v>
      </c>
      <c r="G691" s="34">
        <f t="shared" si="46"/>
        <v>2400</v>
      </c>
      <c r="H691" s="34"/>
      <c r="I691" s="34"/>
      <c r="J691" s="34"/>
      <c r="K691" s="34"/>
      <c r="L691" s="34"/>
      <c r="M691" s="34"/>
      <c r="N691" s="34"/>
      <c r="O691" s="34"/>
    </row>
    <row r="692" spans="1:15" ht="132">
      <c r="A692" s="34">
        <v>132</v>
      </c>
      <c r="B692" s="34"/>
      <c r="C692" s="343" t="s">
        <v>900</v>
      </c>
      <c r="D692" s="344" t="s">
        <v>246</v>
      </c>
      <c r="E692" s="60">
        <v>5674</v>
      </c>
      <c r="F692" s="345">
        <v>2</v>
      </c>
      <c r="G692" s="34">
        <f t="shared" si="46"/>
        <v>11348</v>
      </c>
      <c r="H692" s="34"/>
      <c r="I692" s="34"/>
      <c r="J692" s="34"/>
      <c r="K692" s="34"/>
      <c r="L692" s="34"/>
      <c r="M692" s="34"/>
      <c r="N692" s="34"/>
      <c r="O692" s="34"/>
    </row>
    <row r="693" spans="1:15" ht="82.5">
      <c r="A693" s="34">
        <v>133</v>
      </c>
      <c r="B693" s="34"/>
      <c r="C693" s="343" t="s">
        <v>901</v>
      </c>
      <c r="D693" s="344" t="s">
        <v>246</v>
      </c>
      <c r="E693" s="60">
        <v>1356</v>
      </c>
      <c r="F693" s="345">
        <v>2</v>
      </c>
      <c r="G693" s="34">
        <f t="shared" si="46"/>
        <v>2712</v>
      </c>
      <c r="H693" s="34"/>
      <c r="I693" s="34"/>
      <c r="J693" s="34"/>
      <c r="K693" s="34"/>
      <c r="L693" s="34"/>
      <c r="M693" s="34"/>
      <c r="N693" s="34"/>
      <c r="O693" s="34"/>
    </row>
    <row r="694" spans="1:15" ht="82.5">
      <c r="A694" s="34">
        <v>134</v>
      </c>
      <c r="B694" s="34"/>
      <c r="C694" s="343" t="s">
        <v>902</v>
      </c>
      <c r="D694" s="344" t="s">
        <v>246</v>
      </c>
      <c r="E694" s="60">
        <v>1234</v>
      </c>
      <c r="F694" s="345">
        <v>1</v>
      </c>
      <c r="G694" s="34">
        <f t="shared" si="46"/>
        <v>1234</v>
      </c>
      <c r="H694" s="34"/>
      <c r="I694" s="34"/>
      <c r="J694" s="34"/>
      <c r="K694" s="34"/>
      <c r="L694" s="34"/>
      <c r="M694" s="34"/>
      <c r="N694" s="34"/>
      <c r="O694" s="34"/>
    </row>
    <row r="695" spans="1:15" ht="99">
      <c r="A695" s="34">
        <v>135</v>
      </c>
      <c r="B695" s="34"/>
      <c r="C695" s="343" t="s">
        <v>903</v>
      </c>
      <c r="D695" s="344" t="s">
        <v>246</v>
      </c>
      <c r="E695" s="60">
        <v>52187</v>
      </c>
      <c r="F695" s="345">
        <v>1</v>
      </c>
      <c r="G695" s="34">
        <f t="shared" si="46"/>
        <v>52187</v>
      </c>
      <c r="H695" s="34"/>
      <c r="I695" s="34"/>
      <c r="J695" s="34"/>
      <c r="K695" s="34"/>
      <c r="L695" s="34"/>
      <c r="M695" s="34"/>
      <c r="N695" s="34"/>
      <c r="O695" s="34"/>
    </row>
    <row r="696" spans="1:15" ht="33">
      <c r="A696" s="34">
        <v>136</v>
      </c>
      <c r="B696" s="34"/>
      <c r="C696" s="351" t="s">
        <v>904</v>
      </c>
      <c r="D696" s="352"/>
      <c r="E696" s="60">
        <v>3391.4</v>
      </c>
      <c r="F696" s="353">
        <v>2</v>
      </c>
      <c r="G696" s="34">
        <f t="shared" si="46"/>
        <v>6782.8</v>
      </c>
      <c r="H696" s="34"/>
      <c r="I696" s="34"/>
      <c r="J696" s="34"/>
      <c r="K696" s="34"/>
      <c r="L696" s="34"/>
      <c r="M696" s="34"/>
      <c r="N696" s="34"/>
      <c r="O696" s="34"/>
    </row>
    <row r="697" spans="1:15" ht="16.5">
      <c r="A697" s="34">
        <v>137</v>
      </c>
      <c r="B697" s="34"/>
      <c r="C697" s="351" t="s">
        <v>905</v>
      </c>
      <c r="D697" s="352" t="s">
        <v>788</v>
      </c>
      <c r="E697" s="60">
        <v>32000</v>
      </c>
      <c r="F697" s="353">
        <v>1</v>
      </c>
      <c r="G697" s="34">
        <f t="shared" si="46"/>
        <v>32000</v>
      </c>
      <c r="H697" s="34"/>
      <c r="I697" s="34"/>
      <c r="J697" s="34"/>
      <c r="K697" s="34"/>
      <c r="L697" s="34"/>
      <c r="M697" s="34"/>
      <c r="N697" s="34"/>
      <c r="O697" s="34"/>
    </row>
    <row r="698" spans="1:15" ht="66">
      <c r="A698" s="34">
        <v>138</v>
      </c>
      <c r="B698" s="34"/>
      <c r="C698" s="351" t="s">
        <v>906</v>
      </c>
      <c r="D698" s="352" t="s">
        <v>788</v>
      </c>
      <c r="E698" s="60">
        <v>19554</v>
      </c>
      <c r="F698" s="353">
        <v>1</v>
      </c>
      <c r="G698" s="34">
        <f t="shared" si="46"/>
        <v>19554</v>
      </c>
      <c r="H698" s="34"/>
      <c r="I698" s="34"/>
      <c r="J698" s="34"/>
      <c r="K698" s="34"/>
      <c r="L698" s="34"/>
      <c r="M698" s="34"/>
      <c r="N698" s="34"/>
      <c r="O698" s="34"/>
    </row>
    <row r="699" spans="1:15" ht="66">
      <c r="A699" s="34">
        <v>139</v>
      </c>
      <c r="B699" s="34"/>
      <c r="C699" s="351" t="s">
        <v>907</v>
      </c>
      <c r="D699" s="352" t="s">
        <v>788</v>
      </c>
      <c r="E699" s="60">
        <v>15447</v>
      </c>
      <c r="F699" s="353">
        <v>1</v>
      </c>
      <c r="G699" s="34">
        <f t="shared" si="46"/>
        <v>15447</v>
      </c>
      <c r="H699" s="34"/>
      <c r="I699" s="34"/>
      <c r="J699" s="34"/>
      <c r="K699" s="34"/>
      <c r="L699" s="34"/>
      <c r="M699" s="34"/>
      <c r="N699" s="34"/>
      <c r="O699" s="34"/>
    </row>
    <row r="700" spans="1:15" ht="66">
      <c r="A700" s="34">
        <v>140</v>
      </c>
      <c r="B700" s="34"/>
      <c r="C700" s="351" t="s">
        <v>908</v>
      </c>
      <c r="D700" s="352" t="s">
        <v>788</v>
      </c>
      <c r="E700" s="60">
        <v>13345</v>
      </c>
      <c r="F700" s="353">
        <v>1</v>
      </c>
      <c r="G700" s="34">
        <f t="shared" si="46"/>
        <v>13345</v>
      </c>
      <c r="H700" s="34"/>
      <c r="I700" s="34"/>
      <c r="J700" s="34"/>
      <c r="K700" s="34"/>
      <c r="L700" s="34"/>
      <c r="M700" s="34"/>
      <c r="N700" s="34"/>
      <c r="O700" s="34"/>
    </row>
    <row r="701" spans="1:15" ht="66">
      <c r="A701" s="34">
        <v>141</v>
      </c>
      <c r="B701" s="34"/>
      <c r="C701" s="351" t="s">
        <v>909</v>
      </c>
      <c r="D701" s="352" t="s">
        <v>788</v>
      </c>
      <c r="E701" s="60">
        <v>15248</v>
      </c>
      <c r="F701" s="353">
        <v>1</v>
      </c>
      <c r="G701" s="34">
        <f t="shared" si="46"/>
        <v>15248</v>
      </c>
      <c r="H701" s="34"/>
      <c r="I701" s="34"/>
      <c r="J701" s="34"/>
      <c r="K701" s="34"/>
      <c r="L701" s="34"/>
      <c r="M701" s="34"/>
      <c r="N701" s="34"/>
      <c r="O701" s="34"/>
    </row>
    <row r="702" spans="1:15" ht="66">
      <c r="A702" s="34">
        <v>142</v>
      </c>
      <c r="B702" s="34"/>
      <c r="C702" s="351" t="s">
        <v>910</v>
      </c>
      <c r="D702" s="352" t="s">
        <v>788</v>
      </c>
      <c r="E702" s="60">
        <v>13224</v>
      </c>
      <c r="F702" s="353">
        <v>1</v>
      </c>
      <c r="G702" s="34">
        <f t="shared" si="46"/>
        <v>13224</v>
      </c>
      <c r="H702" s="34"/>
      <c r="I702" s="34"/>
      <c r="J702" s="34"/>
      <c r="K702" s="34"/>
      <c r="L702" s="34"/>
      <c r="M702" s="34"/>
      <c r="N702" s="34"/>
      <c r="O702" s="34"/>
    </row>
    <row r="703" spans="1:15" ht="115.5">
      <c r="A703" s="34">
        <v>143</v>
      </c>
      <c r="B703" s="34"/>
      <c r="C703" s="351" t="s">
        <v>911</v>
      </c>
      <c r="D703" s="352" t="s">
        <v>788</v>
      </c>
      <c r="E703" s="60">
        <v>10092</v>
      </c>
      <c r="F703" s="353">
        <v>2</v>
      </c>
      <c r="G703" s="34">
        <f t="shared" si="46"/>
        <v>20184</v>
      </c>
      <c r="H703" s="34"/>
      <c r="I703" s="34"/>
      <c r="J703" s="34"/>
      <c r="K703" s="34"/>
      <c r="L703" s="34"/>
      <c r="M703" s="34"/>
      <c r="N703" s="34"/>
      <c r="O703" s="34"/>
    </row>
    <row r="704" spans="1:15" ht="49.5">
      <c r="A704" s="34">
        <v>144</v>
      </c>
      <c r="B704" s="34"/>
      <c r="C704" s="354" t="s">
        <v>912</v>
      </c>
      <c r="D704" s="355" t="s">
        <v>37</v>
      </c>
      <c r="E704" s="60">
        <v>2826.15</v>
      </c>
      <c r="F704" s="353">
        <v>2</v>
      </c>
      <c r="G704" s="34">
        <f t="shared" si="46"/>
        <v>5652.3</v>
      </c>
      <c r="H704" s="34"/>
      <c r="I704" s="34"/>
      <c r="J704" s="34"/>
      <c r="K704" s="34"/>
      <c r="L704" s="34"/>
      <c r="M704" s="34"/>
      <c r="N704" s="34"/>
      <c r="O704" s="34"/>
    </row>
    <row r="705" spans="1:15" ht="49.5">
      <c r="A705" s="34">
        <v>145</v>
      </c>
      <c r="B705" s="34"/>
      <c r="C705" s="354" t="s">
        <v>913</v>
      </c>
      <c r="D705" s="355" t="s">
        <v>37</v>
      </c>
      <c r="E705" s="60">
        <v>1170</v>
      </c>
      <c r="F705" s="353">
        <v>2</v>
      </c>
      <c r="G705" s="34">
        <f t="shared" si="46"/>
        <v>2340</v>
      </c>
      <c r="H705" s="34"/>
      <c r="I705" s="34"/>
      <c r="J705" s="34"/>
      <c r="K705" s="34"/>
      <c r="L705" s="34"/>
      <c r="M705" s="34"/>
      <c r="N705" s="34"/>
      <c r="O705" s="34"/>
    </row>
    <row r="706" spans="1:15" ht="49.5">
      <c r="A706" s="34">
        <v>146</v>
      </c>
      <c r="B706" s="34"/>
      <c r="C706" s="354" t="s">
        <v>914</v>
      </c>
      <c r="D706" s="355" t="s">
        <v>37</v>
      </c>
      <c r="E706" s="60">
        <v>2712.65</v>
      </c>
      <c r="F706" s="353">
        <v>2</v>
      </c>
      <c r="G706" s="34">
        <f t="shared" si="46"/>
        <v>5425.3</v>
      </c>
      <c r="H706" s="34"/>
      <c r="I706" s="34"/>
      <c r="J706" s="34"/>
      <c r="K706" s="34"/>
      <c r="L706" s="34"/>
      <c r="M706" s="34"/>
      <c r="N706" s="34"/>
      <c r="O706" s="34"/>
    </row>
    <row r="707" spans="1:15" ht="16.5">
      <c r="A707" s="34">
        <v>147</v>
      </c>
      <c r="B707" s="34"/>
      <c r="C707" s="354" t="s">
        <v>915</v>
      </c>
      <c r="D707" s="350" t="s">
        <v>916</v>
      </c>
      <c r="E707" s="60">
        <v>73.16</v>
      </c>
      <c r="F707" s="353">
        <v>300</v>
      </c>
      <c r="G707" s="341">
        <f t="shared" si="46"/>
        <v>21948</v>
      </c>
      <c r="H707" s="341"/>
      <c r="I707" s="34"/>
      <c r="J707" s="34"/>
      <c r="K707" s="34"/>
      <c r="L707" s="34"/>
      <c r="M707" s="34"/>
      <c r="N707" s="34"/>
      <c r="O707" s="34"/>
    </row>
    <row r="708" spans="1:15" ht="49.5">
      <c r="A708" s="34">
        <v>148</v>
      </c>
      <c r="B708" s="34"/>
      <c r="C708" s="354" t="s">
        <v>917</v>
      </c>
      <c r="D708" s="355" t="s">
        <v>788</v>
      </c>
      <c r="E708" s="60">
        <v>171270</v>
      </c>
      <c r="F708" s="353">
        <v>2</v>
      </c>
      <c r="G708" s="34">
        <f t="shared" si="46"/>
        <v>342540</v>
      </c>
      <c r="H708" s="341"/>
      <c r="I708" s="34"/>
      <c r="J708" s="34"/>
      <c r="K708" s="34"/>
      <c r="L708" s="34"/>
      <c r="M708" s="34"/>
      <c r="N708" s="34"/>
      <c r="O708" s="34"/>
    </row>
    <row r="709" spans="1:15" ht="49.5">
      <c r="A709" s="34">
        <v>149</v>
      </c>
      <c r="B709" s="34"/>
      <c r="C709" s="354" t="s">
        <v>918</v>
      </c>
      <c r="D709" s="355" t="s">
        <v>788</v>
      </c>
      <c r="E709" s="60">
        <v>209975</v>
      </c>
      <c r="F709" s="353">
        <v>1</v>
      </c>
      <c r="G709" s="34">
        <f t="shared" si="46"/>
        <v>209975</v>
      </c>
      <c r="H709" s="341"/>
      <c r="I709" s="34"/>
      <c r="J709" s="34"/>
      <c r="K709" s="34"/>
      <c r="L709" s="34"/>
      <c r="M709" s="34"/>
      <c r="N709" s="34"/>
      <c r="O709" s="34"/>
    </row>
    <row r="710" spans="1:15" ht="66">
      <c r="A710" s="34">
        <v>151</v>
      </c>
      <c r="B710" s="34"/>
      <c r="C710" s="351" t="s">
        <v>919</v>
      </c>
      <c r="D710" s="344" t="s">
        <v>37</v>
      </c>
      <c r="E710" s="60">
        <v>56563</v>
      </c>
      <c r="F710" s="353">
        <v>2</v>
      </c>
      <c r="G710" s="34">
        <f t="shared" si="46"/>
        <v>113126</v>
      </c>
      <c r="H710" s="34"/>
      <c r="I710" s="34"/>
      <c r="J710" s="34"/>
      <c r="K710" s="34"/>
      <c r="L710" s="34"/>
      <c r="M710" s="34"/>
      <c r="N710" s="34"/>
      <c r="O710" s="34"/>
    </row>
    <row r="711" spans="1:15" ht="33">
      <c r="A711" s="34">
        <v>152</v>
      </c>
      <c r="B711" s="34"/>
      <c r="C711" s="351" t="s">
        <v>920</v>
      </c>
      <c r="D711" s="352"/>
      <c r="E711" s="60">
        <v>181000</v>
      </c>
      <c r="F711" s="353">
        <v>1</v>
      </c>
      <c r="G711" s="34">
        <f t="shared" si="46"/>
        <v>181000</v>
      </c>
      <c r="H711" s="34"/>
      <c r="I711" s="34"/>
      <c r="J711" s="34"/>
      <c r="K711" s="34"/>
      <c r="L711" s="34"/>
      <c r="M711" s="34"/>
      <c r="N711" s="34"/>
      <c r="O711" s="34"/>
    </row>
    <row r="712" spans="1:15" ht="33">
      <c r="A712" s="34">
        <v>153</v>
      </c>
      <c r="B712" s="34"/>
      <c r="C712" s="351" t="s">
        <v>921</v>
      </c>
      <c r="D712" s="344" t="s">
        <v>37</v>
      </c>
      <c r="E712" s="60">
        <v>181000</v>
      </c>
      <c r="F712" s="353">
        <v>1</v>
      </c>
      <c r="G712" s="34">
        <f t="shared" si="46"/>
        <v>181000</v>
      </c>
      <c r="H712" s="34"/>
      <c r="I712" s="34"/>
      <c r="J712" s="34"/>
      <c r="K712" s="34"/>
      <c r="L712" s="34"/>
      <c r="M712" s="34"/>
      <c r="N712" s="34"/>
      <c r="O712" s="34"/>
    </row>
    <row r="713" spans="1:15" ht="82.5">
      <c r="A713" s="34">
        <v>154</v>
      </c>
      <c r="B713" s="34"/>
      <c r="C713" s="351" t="s">
        <v>922</v>
      </c>
      <c r="D713" s="352" t="s">
        <v>788</v>
      </c>
      <c r="E713" s="60">
        <v>25623</v>
      </c>
      <c r="F713" s="353">
        <v>1</v>
      </c>
      <c r="G713" s="34">
        <f t="shared" si="46"/>
        <v>25623</v>
      </c>
      <c r="H713" s="34"/>
      <c r="I713" s="34"/>
      <c r="J713" s="34"/>
      <c r="K713" s="34"/>
      <c r="L713" s="34"/>
      <c r="M713" s="34"/>
      <c r="N713" s="34"/>
      <c r="O713" s="34"/>
    </row>
    <row r="714" spans="1:15" ht="66">
      <c r="A714" s="34">
        <v>155</v>
      </c>
      <c r="B714" s="34"/>
      <c r="C714" s="351" t="s">
        <v>923</v>
      </c>
      <c r="D714" s="352" t="s">
        <v>788</v>
      </c>
      <c r="E714" s="60">
        <v>15662</v>
      </c>
      <c r="F714" s="353">
        <v>1</v>
      </c>
      <c r="G714" s="34">
        <f t="shared" si="46"/>
        <v>15662</v>
      </c>
      <c r="H714" s="34"/>
      <c r="I714" s="34"/>
      <c r="J714" s="34"/>
      <c r="K714" s="34"/>
      <c r="L714" s="34"/>
      <c r="M714" s="34"/>
      <c r="N714" s="34"/>
      <c r="O714" s="34"/>
    </row>
    <row r="715" spans="1:15" ht="66">
      <c r="A715" s="34">
        <v>156</v>
      </c>
      <c r="B715" s="34"/>
      <c r="C715" s="351" t="s">
        <v>924</v>
      </c>
      <c r="D715" s="352" t="s">
        <v>788</v>
      </c>
      <c r="E715" s="60">
        <v>13554</v>
      </c>
      <c r="F715" s="353">
        <v>1</v>
      </c>
      <c r="G715" s="34">
        <f t="shared" si="46"/>
        <v>13554</v>
      </c>
      <c r="H715" s="34"/>
      <c r="I715" s="34"/>
      <c r="J715" s="34"/>
      <c r="K715" s="34"/>
      <c r="L715" s="34"/>
      <c r="M715" s="34"/>
      <c r="N715" s="34"/>
      <c r="O715" s="34"/>
    </row>
    <row r="716" spans="1:15" ht="33">
      <c r="A716" s="34">
        <v>157</v>
      </c>
      <c r="B716" s="34"/>
      <c r="C716" s="351" t="s">
        <v>925</v>
      </c>
      <c r="D716" s="352" t="s">
        <v>788</v>
      </c>
      <c r="E716" s="60">
        <v>6574</v>
      </c>
      <c r="F716" s="353">
        <v>1</v>
      </c>
      <c r="G716" s="34">
        <f t="shared" si="46"/>
        <v>6574</v>
      </c>
      <c r="H716" s="34"/>
      <c r="I716" s="34"/>
      <c r="J716" s="34"/>
      <c r="K716" s="34"/>
      <c r="L716" s="34"/>
      <c r="M716" s="34"/>
      <c r="N716" s="34"/>
      <c r="O716" s="34"/>
    </row>
    <row r="717" spans="1:15" ht="66">
      <c r="A717" s="34">
        <v>158</v>
      </c>
      <c r="B717" s="34"/>
      <c r="C717" s="351" t="s">
        <v>926</v>
      </c>
      <c r="D717" s="352" t="s">
        <v>788</v>
      </c>
      <c r="E717" s="60">
        <v>18321</v>
      </c>
      <c r="F717" s="353">
        <v>1</v>
      </c>
      <c r="G717" s="34">
        <f t="shared" si="46"/>
        <v>18321</v>
      </c>
      <c r="H717" s="34"/>
      <c r="I717" s="34"/>
      <c r="J717" s="34"/>
      <c r="K717" s="34"/>
      <c r="L717" s="34"/>
      <c r="M717" s="34"/>
      <c r="N717" s="34"/>
      <c r="O717" s="34"/>
    </row>
    <row r="718" spans="1:15" ht="66">
      <c r="A718" s="34">
        <v>159</v>
      </c>
      <c r="B718" s="34"/>
      <c r="C718" s="351" t="s">
        <v>927</v>
      </c>
      <c r="D718" s="352" t="s">
        <v>788</v>
      </c>
      <c r="E718" s="60">
        <v>18552</v>
      </c>
      <c r="F718" s="353">
        <v>1</v>
      </c>
      <c r="G718" s="34">
        <f t="shared" si="46"/>
        <v>18552</v>
      </c>
      <c r="H718" s="34"/>
      <c r="I718" s="34"/>
      <c r="J718" s="34"/>
      <c r="K718" s="34"/>
      <c r="L718" s="34"/>
      <c r="M718" s="34"/>
      <c r="N718" s="34"/>
      <c r="O718" s="34"/>
    </row>
    <row r="719" spans="1:15" ht="49.5">
      <c r="A719" s="34">
        <v>160</v>
      </c>
      <c r="B719" s="34"/>
      <c r="C719" s="351" t="s">
        <v>928</v>
      </c>
      <c r="D719" s="352" t="s">
        <v>266</v>
      </c>
      <c r="E719" s="60">
        <v>3452</v>
      </c>
      <c r="F719" s="353">
        <v>1</v>
      </c>
      <c r="G719" s="34">
        <f t="shared" si="46"/>
        <v>3452</v>
      </c>
      <c r="H719" s="34"/>
      <c r="I719" s="34"/>
      <c r="J719" s="34"/>
      <c r="K719" s="34"/>
      <c r="L719" s="34"/>
      <c r="M719" s="34"/>
      <c r="N719" s="34"/>
      <c r="O719" s="34"/>
    </row>
    <row r="720" spans="1:15" ht="49.5">
      <c r="A720" s="34">
        <v>161</v>
      </c>
      <c r="B720" s="34"/>
      <c r="C720" s="351" t="s">
        <v>929</v>
      </c>
      <c r="D720" s="352" t="s">
        <v>266</v>
      </c>
      <c r="E720" s="60">
        <v>2345</v>
      </c>
      <c r="F720" s="353">
        <v>1</v>
      </c>
      <c r="G720" s="34">
        <f t="shared" si="46"/>
        <v>2345</v>
      </c>
      <c r="H720" s="34"/>
      <c r="I720" s="34"/>
      <c r="J720" s="34"/>
      <c r="K720" s="34"/>
      <c r="L720" s="34"/>
      <c r="M720" s="34"/>
      <c r="N720" s="34"/>
      <c r="O720" s="34"/>
    </row>
    <row r="721" spans="1:15" ht="49.5">
      <c r="A721" s="34">
        <v>162</v>
      </c>
      <c r="B721" s="34"/>
      <c r="C721" s="351" t="s">
        <v>930</v>
      </c>
      <c r="D721" s="352" t="s">
        <v>266</v>
      </c>
      <c r="E721" s="60">
        <v>2432</v>
      </c>
      <c r="F721" s="353">
        <v>1</v>
      </c>
      <c r="G721" s="34">
        <f t="shared" si="46"/>
        <v>2432</v>
      </c>
      <c r="H721" s="34"/>
      <c r="I721" s="34"/>
      <c r="J721" s="34"/>
      <c r="K721" s="34"/>
      <c r="L721" s="34"/>
      <c r="M721" s="34"/>
      <c r="N721" s="34"/>
      <c r="O721" s="34"/>
    </row>
    <row r="722" spans="1:15" ht="49.5">
      <c r="A722" s="34">
        <v>163</v>
      </c>
      <c r="B722" s="34"/>
      <c r="C722" s="351" t="s">
        <v>931</v>
      </c>
      <c r="D722" s="352" t="s">
        <v>266</v>
      </c>
      <c r="E722" s="60">
        <v>456</v>
      </c>
      <c r="F722" s="353">
        <v>1</v>
      </c>
      <c r="G722" s="34">
        <f t="shared" si="46"/>
        <v>456</v>
      </c>
      <c r="H722" s="34"/>
      <c r="I722" s="34"/>
      <c r="J722" s="34"/>
      <c r="K722" s="34"/>
      <c r="L722" s="34"/>
      <c r="M722" s="34"/>
      <c r="N722" s="34"/>
      <c r="O722" s="34"/>
    </row>
    <row r="723" spans="1:15" ht="49.5">
      <c r="A723" s="34">
        <v>164</v>
      </c>
      <c r="B723" s="34"/>
      <c r="C723" s="351" t="s">
        <v>932</v>
      </c>
      <c r="D723" s="352" t="s">
        <v>37</v>
      </c>
      <c r="E723" s="60">
        <v>1987</v>
      </c>
      <c r="F723" s="353">
        <v>1</v>
      </c>
      <c r="G723" s="34">
        <f t="shared" si="46"/>
        <v>1987</v>
      </c>
      <c r="H723" s="34"/>
      <c r="I723" s="34"/>
      <c r="J723" s="34"/>
      <c r="K723" s="34"/>
      <c r="L723" s="34"/>
      <c r="M723" s="34"/>
      <c r="N723" s="34"/>
      <c r="O723" s="34"/>
    </row>
    <row r="724" spans="1:15" ht="66">
      <c r="A724" s="34">
        <v>165</v>
      </c>
      <c r="B724" s="34"/>
      <c r="C724" s="351" t="s">
        <v>933</v>
      </c>
      <c r="D724" s="352" t="s">
        <v>37</v>
      </c>
      <c r="E724" s="60">
        <v>987</v>
      </c>
      <c r="F724" s="353">
        <v>6</v>
      </c>
      <c r="G724" s="34">
        <f t="shared" si="46"/>
        <v>5922</v>
      </c>
      <c r="H724" s="34"/>
      <c r="I724" s="34"/>
      <c r="J724" s="34"/>
      <c r="K724" s="34"/>
      <c r="L724" s="34"/>
      <c r="M724" s="34"/>
      <c r="N724" s="34"/>
      <c r="O724" s="34"/>
    </row>
    <row r="725" spans="1:15" ht="49.5">
      <c r="A725" s="34">
        <v>166</v>
      </c>
      <c r="B725" s="34"/>
      <c r="C725" s="351" t="s">
        <v>934</v>
      </c>
      <c r="D725" s="352" t="s">
        <v>266</v>
      </c>
      <c r="E725" s="60">
        <v>2087</v>
      </c>
      <c r="F725" s="353">
        <v>1</v>
      </c>
      <c r="G725" s="34">
        <f t="shared" si="46"/>
        <v>2087</v>
      </c>
      <c r="H725" s="34"/>
      <c r="I725" s="34"/>
      <c r="J725" s="34"/>
      <c r="K725" s="34"/>
      <c r="L725" s="34"/>
      <c r="M725" s="34"/>
      <c r="N725" s="34"/>
      <c r="O725" s="34"/>
    </row>
    <row r="726" spans="1:15" ht="49.5">
      <c r="A726" s="34">
        <v>167</v>
      </c>
      <c r="B726" s="34"/>
      <c r="C726" s="351" t="s">
        <v>935</v>
      </c>
      <c r="D726" s="352" t="s">
        <v>266</v>
      </c>
      <c r="E726" s="60">
        <v>456</v>
      </c>
      <c r="F726" s="353">
        <v>1</v>
      </c>
      <c r="G726" s="34">
        <f t="shared" si="46"/>
        <v>456</v>
      </c>
      <c r="H726" s="34"/>
      <c r="I726" s="34"/>
      <c r="J726" s="34"/>
      <c r="K726" s="34"/>
      <c r="L726" s="34"/>
      <c r="M726" s="34"/>
      <c r="N726" s="34"/>
      <c r="O726" s="34"/>
    </row>
    <row r="727" spans="1:15" ht="49.5">
      <c r="A727" s="34">
        <v>168</v>
      </c>
      <c r="B727" s="34"/>
      <c r="C727" s="351" t="s">
        <v>936</v>
      </c>
      <c r="D727" s="352" t="s">
        <v>37</v>
      </c>
      <c r="E727" s="60">
        <v>1564</v>
      </c>
      <c r="F727" s="353">
        <v>1</v>
      </c>
      <c r="G727" s="34">
        <f t="shared" si="46"/>
        <v>1564</v>
      </c>
      <c r="H727" s="34"/>
      <c r="I727" s="34"/>
      <c r="J727" s="34"/>
      <c r="K727" s="34"/>
      <c r="L727" s="34"/>
      <c r="M727" s="34"/>
      <c r="N727" s="34"/>
      <c r="O727" s="34"/>
    </row>
    <row r="728" spans="1:15" ht="66">
      <c r="A728" s="34">
        <v>169</v>
      </c>
      <c r="B728" s="34"/>
      <c r="C728" s="351" t="s">
        <v>937</v>
      </c>
      <c r="D728" s="352" t="s">
        <v>37</v>
      </c>
      <c r="E728" s="60">
        <v>1699</v>
      </c>
      <c r="F728" s="353">
        <v>7</v>
      </c>
      <c r="G728" s="34">
        <f t="shared" si="46"/>
        <v>11893</v>
      </c>
      <c r="H728" s="34"/>
      <c r="I728" s="34"/>
      <c r="J728" s="34"/>
      <c r="K728" s="34"/>
      <c r="L728" s="34"/>
      <c r="M728" s="34"/>
      <c r="N728" s="34"/>
      <c r="O728" s="34"/>
    </row>
    <row r="729" spans="1:15" ht="93.75">
      <c r="A729" s="34">
        <v>170</v>
      </c>
      <c r="B729" s="34"/>
      <c r="C729" s="356" t="s">
        <v>938</v>
      </c>
      <c r="D729" s="357" t="s">
        <v>266</v>
      </c>
      <c r="E729" s="60">
        <v>2878</v>
      </c>
      <c r="F729" s="358">
        <v>1</v>
      </c>
      <c r="G729" s="34">
        <f t="shared" si="46"/>
        <v>2878</v>
      </c>
      <c r="H729" s="34"/>
      <c r="I729" s="34"/>
      <c r="J729" s="34"/>
      <c r="K729" s="34"/>
      <c r="L729" s="34"/>
      <c r="M729" s="34"/>
      <c r="N729" s="34"/>
      <c r="O729" s="34"/>
    </row>
    <row r="730" spans="1:15" ht="37.5">
      <c r="A730" s="34">
        <v>171</v>
      </c>
      <c r="B730" s="34"/>
      <c r="C730" s="356" t="s">
        <v>939</v>
      </c>
      <c r="D730" s="357" t="s">
        <v>40</v>
      </c>
      <c r="E730" s="60">
        <v>8456</v>
      </c>
      <c r="F730" s="358">
        <v>2</v>
      </c>
      <c r="G730" s="34">
        <f t="shared" si="46"/>
        <v>16912</v>
      </c>
      <c r="H730" s="34"/>
      <c r="I730" s="34"/>
      <c r="J730" s="34"/>
      <c r="K730" s="34"/>
      <c r="L730" s="34"/>
      <c r="M730" s="34"/>
      <c r="N730" s="34"/>
      <c r="O730" s="34"/>
    </row>
    <row r="731" spans="1:15" ht="93.75">
      <c r="A731" s="34">
        <v>172</v>
      </c>
      <c r="B731" s="34"/>
      <c r="C731" s="356" t="s">
        <v>940</v>
      </c>
      <c r="D731" s="357" t="s">
        <v>266</v>
      </c>
      <c r="E731" s="60">
        <v>15326</v>
      </c>
      <c r="F731" s="358">
        <v>1</v>
      </c>
      <c r="G731" s="34">
        <f t="shared" si="46"/>
        <v>15326</v>
      </c>
      <c r="H731" s="34"/>
      <c r="I731" s="34"/>
      <c r="J731" s="34"/>
      <c r="K731" s="34"/>
      <c r="L731" s="34"/>
      <c r="M731" s="34"/>
      <c r="N731" s="34"/>
      <c r="O731" s="34"/>
    </row>
    <row r="732" spans="1:15" ht="56.25">
      <c r="A732" s="34">
        <v>173</v>
      </c>
      <c r="B732" s="34"/>
      <c r="C732" s="359" t="s">
        <v>941</v>
      </c>
      <c r="D732" s="357" t="s">
        <v>246</v>
      </c>
      <c r="E732" s="60">
        <v>26553</v>
      </c>
      <c r="F732" s="358">
        <v>1</v>
      </c>
      <c r="G732" s="34">
        <f t="shared" si="46"/>
        <v>26553</v>
      </c>
      <c r="H732" s="34"/>
      <c r="I732" s="34"/>
      <c r="J732" s="34"/>
      <c r="K732" s="34"/>
      <c r="L732" s="34"/>
      <c r="M732" s="34"/>
      <c r="N732" s="34"/>
      <c r="O732" s="34"/>
    </row>
    <row r="733" spans="1:15" ht="56.25">
      <c r="A733" s="34">
        <v>174</v>
      </c>
      <c r="B733" s="34"/>
      <c r="C733" s="359" t="s">
        <v>942</v>
      </c>
      <c r="D733" s="357" t="s">
        <v>40</v>
      </c>
      <c r="E733" s="60">
        <v>8859</v>
      </c>
      <c r="F733" s="358">
        <v>1</v>
      </c>
      <c r="G733" s="34">
        <f t="shared" si="46"/>
        <v>8859</v>
      </c>
      <c r="H733" s="34"/>
      <c r="I733" s="34"/>
      <c r="J733" s="34"/>
      <c r="K733" s="34"/>
      <c r="L733" s="34"/>
      <c r="M733" s="34"/>
      <c r="N733" s="34"/>
      <c r="O733" s="34"/>
    </row>
    <row r="734" spans="1:15" ht="37.5">
      <c r="A734" s="34">
        <v>175</v>
      </c>
      <c r="B734" s="34"/>
      <c r="C734" s="359" t="s">
        <v>943</v>
      </c>
      <c r="D734" s="357" t="s">
        <v>40</v>
      </c>
      <c r="E734" s="60">
        <v>12886</v>
      </c>
      <c r="F734" s="358">
        <v>2</v>
      </c>
      <c r="G734" s="34">
        <f t="shared" si="46"/>
        <v>25772</v>
      </c>
      <c r="H734" s="34"/>
      <c r="I734" s="34"/>
      <c r="J734" s="34"/>
      <c r="K734" s="34"/>
      <c r="L734" s="34"/>
      <c r="M734" s="34"/>
      <c r="N734" s="34"/>
      <c r="O734" s="34"/>
    </row>
    <row r="735" spans="1:15" ht="18.75">
      <c r="A735" s="34">
        <v>176</v>
      </c>
      <c r="B735" s="34"/>
      <c r="C735" s="359" t="s">
        <v>944</v>
      </c>
      <c r="D735" s="357" t="s">
        <v>40</v>
      </c>
      <c r="E735" s="60">
        <v>30256</v>
      </c>
      <c r="F735" s="358">
        <v>1</v>
      </c>
      <c r="G735" s="34">
        <f t="shared" si="46"/>
        <v>30256</v>
      </c>
      <c r="H735" s="34"/>
      <c r="I735" s="34"/>
      <c r="J735" s="34"/>
      <c r="K735" s="34"/>
      <c r="L735" s="34"/>
      <c r="M735" s="34"/>
      <c r="N735" s="34"/>
      <c r="O735" s="34"/>
    </row>
    <row r="736" spans="1:15" ht="18.75">
      <c r="A736" s="34">
        <v>177</v>
      </c>
      <c r="B736" s="34"/>
      <c r="C736" s="360" t="s">
        <v>945</v>
      </c>
      <c r="D736" s="357" t="s">
        <v>40</v>
      </c>
      <c r="E736" s="60">
        <v>8992</v>
      </c>
      <c r="F736" s="358">
        <v>8</v>
      </c>
      <c r="G736" s="34">
        <f t="shared" si="46"/>
        <v>71936</v>
      </c>
      <c r="H736" s="34"/>
      <c r="I736" s="34"/>
      <c r="J736" s="34"/>
      <c r="K736" s="34"/>
      <c r="L736" s="34"/>
      <c r="M736" s="34"/>
      <c r="N736" s="34"/>
      <c r="O736" s="34"/>
    </row>
    <row r="737" spans="1:15" ht="18.75">
      <c r="A737" s="34">
        <v>178</v>
      </c>
      <c r="B737" s="34"/>
      <c r="C737" s="359" t="s">
        <v>946</v>
      </c>
      <c r="D737" s="357" t="s">
        <v>266</v>
      </c>
      <c r="E737" s="60">
        <v>38000</v>
      </c>
      <c r="F737" s="358">
        <v>1</v>
      </c>
      <c r="G737" s="34">
        <f t="shared" si="46"/>
        <v>38000</v>
      </c>
      <c r="H737" s="34"/>
      <c r="I737" s="34"/>
      <c r="J737" s="34"/>
      <c r="K737" s="34"/>
      <c r="L737" s="34"/>
      <c r="M737" s="34"/>
      <c r="N737" s="34"/>
      <c r="O737" s="34"/>
    </row>
    <row r="738" spans="1:15" ht="56.25">
      <c r="A738" s="34">
        <v>179</v>
      </c>
      <c r="B738" s="34"/>
      <c r="C738" s="356" t="s">
        <v>947</v>
      </c>
      <c r="D738" s="361" t="s">
        <v>266</v>
      </c>
      <c r="E738" s="60">
        <v>12456</v>
      </c>
      <c r="F738" s="362">
        <v>1</v>
      </c>
      <c r="G738" s="34">
        <f t="shared" si="46"/>
        <v>12456</v>
      </c>
      <c r="H738" s="34"/>
      <c r="I738" s="34"/>
      <c r="J738" s="34"/>
      <c r="K738" s="34"/>
      <c r="L738" s="34"/>
      <c r="M738" s="34"/>
      <c r="N738" s="34"/>
      <c r="O738" s="34"/>
    </row>
    <row r="739" spans="1:15" ht="37.5">
      <c r="A739" s="34">
        <v>180</v>
      </c>
      <c r="B739" s="34"/>
      <c r="C739" s="359" t="s">
        <v>948</v>
      </c>
      <c r="D739" s="361" t="s">
        <v>949</v>
      </c>
      <c r="E739" s="60">
        <v>5233</v>
      </c>
      <c r="F739" s="358">
        <v>2</v>
      </c>
      <c r="G739" s="34">
        <f t="shared" si="46"/>
        <v>10466</v>
      </c>
      <c r="H739" s="34"/>
      <c r="I739" s="34"/>
      <c r="J739" s="34"/>
      <c r="K739" s="34"/>
      <c r="L739" s="34"/>
      <c r="M739" s="34"/>
      <c r="N739" s="34"/>
      <c r="O739" s="34"/>
    </row>
    <row r="740" spans="1:15" ht="18.75">
      <c r="A740" s="34">
        <v>181</v>
      </c>
      <c r="B740" s="34"/>
      <c r="C740" s="356" t="s">
        <v>950</v>
      </c>
      <c r="D740" s="361" t="s">
        <v>949</v>
      </c>
      <c r="E740" s="60">
        <v>4222</v>
      </c>
      <c r="F740" s="358">
        <v>6</v>
      </c>
      <c r="G740" s="34">
        <f t="shared" si="46"/>
        <v>25332</v>
      </c>
      <c r="H740" s="34"/>
      <c r="I740" s="34"/>
      <c r="J740" s="34"/>
      <c r="K740" s="34"/>
      <c r="L740" s="34"/>
      <c r="M740" s="34"/>
      <c r="N740" s="34"/>
      <c r="O740" s="34"/>
    </row>
    <row r="741" spans="1:15" ht="37.5">
      <c r="A741" s="34">
        <v>182</v>
      </c>
      <c r="B741" s="34"/>
      <c r="C741" s="356" t="s">
        <v>951</v>
      </c>
      <c r="D741" s="361" t="s">
        <v>949</v>
      </c>
      <c r="E741" s="60">
        <v>32236</v>
      </c>
      <c r="F741" s="358">
        <v>2</v>
      </c>
      <c r="G741" s="34">
        <f t="shared" si="46"/>
        <v>64472</v>
      </c>
      <c r="H741" s="34"/>
      <c r="I741" s="34"/>
      <c r="J741" s="34"/>
      <c r="K741" s="34"/>
      <c r="L741" s="34"/>
      <c r="M741" s="34"/>
      <c r="N741" s="34"/>
      <c r="O741" s="34"/>
    </row>
    <row r="742" spans="1:15" ht="37.5">
      <c r="A742" s="34">
        <v>183</v>
      </c>
      <c r="B742" s="34"/>
      <c r="C742" s="356" t="s">
        <v>952</v>
      </c>
      <c r="D742" s="361" t="s">
        <v>266</v>
      </c>
      <c r="E742" s="60">
        <v>2900</v>
      </c>
      <c r="F742" s="358">
        <v>2</v>
      </c>
      <c r="G742" s="34">
        <f t="shared" si="46"/>
        <v>5800</v>
      </c>
      <c r="H742" s="34"/>
      <c r="I742" s="34"/>
      <c r="J742" s="34"/>
      <c r="K742" s="34"/>
      <c r="L742" s="34"/>
      <c r="M742" s="34"/>
      <c r="N742" s="34"/>
      <c r="O742" s="34"/>
    </row>
    <row r="743" spans="1:15" ht="18.75">
      <c r="A743" s="34">
        <v>184</v>
      </c>
      <c r="B743" s="34"/>
      <c r="C743" s="356" t="s">
        <v>953</v>
      </c>
      <c r="D743" s="361" t="s">
        <v>266</v>
      </c>
      <c r="E743" s="60">
        <v>12856</v>
      </c>
      <c r="F743" s="358">
        <v>2</v>
      </c>
      <c r="G743" s="34">
        <f t="shared" si="46"/>
        <v>25712</v>
      </c>
      <c r="H743" s="34"/>
      <c r="I743" s="34"/>
      <c r="J743" s="34"/>
      <c r="K743" s="34"/>
      <c r="L743" s="34"/>
      <c r="M743" s="34"/>
      <c r="N743" s="34"/>
      <c r="O743" s="34"/>
    </row>
    <row r="744" spans="1:15" ht="37.5">
      <c r="A744" s="34">
        <v>185</v>
      </c>
      <c r="B744" s="34"/>
      <c r="C744" s="356" t="s">
        <v>954</v>
      </c>
      <c r="D744" s="361" t="s">
        <v>949</v>
      </c>
      <c r="E744" s="60">
        <v>4465</v>
      </c>
      <c r="F744" s="358">
        <v>5</v>
      </c>
      <c r="G744" s="34">
        <f t="shared" si="46"/>
        <v>22325</v>
      </c>
      <c r="H744" s="34"/>
      <c r="I744" s="34"/>
      <c r="J744" s="34"/>
      <c r="K744" s="34"/>
      <c r="L744" s="34"/>
      <c r="M744" s="34"/>
      <c r="N744" s="34"/>
      <c r="O744" s="34"/>
    </row>
    <row r="745" spans="1:15" ht="93.75">
      <c r="A745" s="34">
        <v>186</v>
      </c>
      <c r="B745" s="34"/>
      <c r="C745" s="356" t="s">
        <v>955</v>
      </c>
      <c r="D745" s="363" t="s">
        <v>266</v>
      </c>
      <c r="E745" s="60">
        <v>2478</v>
      </c>
      <c r="F745" s="358">
        <v>1</v>
      </c>
      <c r="G745" s="34">
        <f t="shared" si="46"/>
        <v>2478</v>
      </c>
      <c r="H745" s="34"/>
      <c r="I745" s="34"/>
      <c r="J745" s="34"/>
      <c r="K745" s="34"/>
      <c r="L745" s="34"/>
      <c r="M745" s="34"/>
      <c r="N745" s="34"/>
      <c r="O745" s="34"/>
    </row>
    <row r="746" spans="1:15" ht="37.5">
      <c r="A746" s="34">
        <v>187</v>
      </c>
      <c r="B746" s="34"/>
      <c r="C746" s="356" t="s">
        <v>956</v>
      </c>
      <c r="D746" s="363" t="s">
        <v>949</v>
      </c>
      <c r="E746" s="60">
        <v>8896</v>
      </c>
      <c r="F746" s="358">
        <v>4</v>
      </c>
      <c r="G746" s="34">
        <f t="shared" si="46"/>
        <v>35584</v>
      </c>
      <c r="H746" s="34"/>
      <c r="I746" s="34"/>
      <c r="J746" s="34"/>
      <c r="K746" s="34"/>
      <c r="L746" s="34"/>
      <c r="M746" s="34"/>
      <c r="N746" s="34"/>
      <c r="O746" s="34"/>
    </row>
    <row r="747" spans="1:15" ht="37.5">
      <c r="A747" s="34">
        <v>188</v>
      </c>
      <c r="B747" s="34"/>
      <c r="C747" s="356" t="s">
        <v>957</v>
      </c>
      <c r="D747" s="363" t="s">
        <v>949</v>
      </c>
      <c r="E747" s="60">
        <v>8698</v>
      </c>
      <c r="F747" s="358">
        <v>4</v>
      </c>
      <c r="G747" s="34">
        <f t="shared" si="46"/>
        <v>34792</v>
      </c>
      <c r="H747" s="34"/>
      <c r="I747" s="34"/>
      <c r="J747" s="34"/>
      <c r="K747" s="34"/>
      <c r="L747" s="34"/>
      <c r="M747" s="34"/>
      <c r="N747" s="34"/>
      <c r="O747" s="34"/>
    </row>
    <row r="748" spans="1:15" ht="93.75">
      <c r="A748" s="34">
        <v>189</v>
      </c>
      <c r="B748" s="34"/>
      <c r="C748" s="356" t="s">
        <v>958</v>
      </c>
      <c r="D748" s="363" t="s">
        <v>266</v>
      </c>
      <c r="E748" s="60">
        <v>13458</v>
      </c>
      <c r="F748" s="358">
        <v>1</v>
      </c>
      <c r="G748" s="34">
        <f t="shared" si="46"/>
        <v>13458</v>
      </c>
      <c r="H748" s="34"/>
      <c r="I748" s="34"/>
      <c r="J748" s="34"/>
      <c r="K748" s="34"/>
      <c r="L748" s="34"/>
      <c r="M748" s="34"/>
      <c r="N748" s="34"/>
      <c r="O748" s="34"/>
    </row>
    <row r="749" spans="1:15" ht="56.25">
      <c r="A749" s="34">
        <v>190</v>
      </c>
      <c r="B749" s="34"/>
      <c r="C749" s="356" t="s">
        <v>959</v>
      </c>
      <c r="D749" s="363" t="s">
        <v>246</v>
      </c>
      <c r="E749" s="60">
        <v>22648</v>
      </c>
      <c r="F749" s="358">
        <v>1</v>
      </c>
      <c r="G749" s="34">
        <f t="shared" si="46"/>
        <v>22648</v>
      </c>
      <c r="H749" s="34"/>
      <c r="I749" s="34"/>
      <c r="J749" s="34"/>
      <c r="K749" s="34"/>
      <c r="L749" s="34"/>
      <c r="M749" s="34"/>
      <c r="N749" s="34"/>
      <c r="O749" s="34"/>
    </row>
    <row r="750" spans="1:15" ht="56.25">
      <c r="A750" s="34">
        <v>191</v>
      </c>
      <c r="B750" s="34"/>
      <c r="C750" s="356" t="s">
        <v>942</v>
      </c>
      <c r="D750" s="361" t="s">
        <v>40</v>
      </c>
      <c r="E750" s="60">
        <v>7884</v>
      </c>
      <c r="F750" s="358">
        <v>1</v>
      </c>
      <c r="G750" s="34">
        <f t="shared" si="46"/>
        <v>7884</v>
      </c>
      <c r="H750" s="34"/>
      <c r="I750" s="34"/>
      <c r="J750" s="34"/>
      <c r="K750" s="34"/>
      <c r="L750" s="34"/>
      <c r="M750" s="34"/>
      <c r="N750" s="34"/>
      <c r="O750" s="34"/>
    </row>
    <row r="751" spans="1:15" ht="37.5">
      <c r="A751" s="34">
        <v>192</v>
      </c>
      <c r="B751" s="34"/>
      <c r="C751" s="356" t="s">
        <v>960</v>
      </c>
      <c r="D751" s="361" t="s">
        <v>949</v>
      </c>
      <c r="E751" s="60">
        <v>11886</v>
      </c>
      <c r="F751" s="358">
        <v>2</v>
      </c>
      <c r="G751" s="34">
        <f t="shared" si="46"/>
        <v>23772</v>
      </c>
      <c r="H751" s="34"/>
      <c r="I751" s="34"/>
      <c r="J751" s="34"/>
      <c r="K751" s="34"/>
      <c r="L751" s="34"/>
      <c r="M751" s="34"/>
      <c r="N751" s="34"/>
      <c r="O751" s="34"/>
    </row>
    <row r="752" spans="1:15" ht="18.75">
      <c r="A752" s="34">
        <v>193</v>
      </c>
      <c r="B752" s="34"/>
      <c r="C752" s="356" t="s">
        <v>944</v>
      </c>
      <c r="D752" s="361" t="s">
        <v>949</v>
      </c>
      <c r="E752" s="60">
        <v>30256</v>
      </c>
      <c r="F752" s="358">
        <v>1</v>
      </c>
      <c r="G752" s="34">
        <f t="shared" si="46"/>
        <v>30256</v>
      </c>
      <c r="H752" s="34"/>
      <c r="I752" s="34"/>
      <c r="J752" s="34"/>
      <c r="K752" s="34"/>
      <c r="L752" s="34"/>
      <c r="M752" s="34"/>
      <c r="N752" s="34"/>
      <c r="O752" s="34"/>
    </row>
    <row r="753" spans="1:15" ht="18.75">
      <c r="A753" s="34">
        <v>194</v>
      </c>
      <c r="B753" s="34"/>
      <c r="C753" s="356" t="s">
        <v>945</v>
      </c>
      <c r="D753" s="361" t="s">
        <v>40</v>
      </c>
      <c r="E753" s="60">
        <v>8233</v>
      </c>
      <c r="F753" s="358">
        <v>8</v>
      </c>
      <c r="G753" s="34">
        <f t="shared" si="46"/>
        <v>65864</v>
      </c>
      <c r="H753" s="34"/>
      <c r="I753" s="34"/>
      <c r="J753" s="34"/>
      <c r="K753" s="34"/>
      <c r="L753" s="34"/>
      <c r="M753" s="34"/>
      <c r="N753" s="34"/>
      <c r="O753" s="34"/>
    </row>
    <row r="754" spans="1:15" ht="18.75">
      <c r="A754" s="34">
        <v>195</v>
      </c>
      <c r="B754" s="34"/>
      <c r="C754" s="356" t="s">
        <v>961</v>
      </c>
      <c r="D754" s="361" t="s">
        <v>40</v>
      </c>
      <c r="E754" s="60">
        <v>8852</v>
      </c>
      <c r="F754" s="358">
        <v>1</v>
      </c>
      <c r="G754" s="34">
        <f t="shared" ref="G754:G817" si="47">E754*F754</f>
        <v>8852</v>
      </c>
      <c r="H754" s="34"/>
      <c r="I754" s="34"/>
      <c r="J754" s="34"/>
      <c r="K754" s="34"/>
      <c r="L754" s="34"/>
      <c r="M754" s="34"/>
      <c r="N754" s="34"/>
      <c r="O754" s="34"/>
    </row>
    <row r="755" spans="1:15" ht="18.75">
      <c r="A755" s="34">
        <v>196</v>
      </c>
      <c r="B755" s="34"/>
      <c r="C755" s="356" t="s">
        <v>946</v>
      </c>
      <c r="D755" s="361" t="s">
        <v>266</v>
      </c>
      <c r="E755" s="60">
        <v>38000</v>
      </c>
      <c r="F755" s="358">
        <v>1</v>
      </c>
      <c r="G755" s="34">
        <f t="shared" si="47"/>
        <v>38000</v>
      </c>
      <c r="H755" s="34"/>
      <c r="I755" s="34"/>
      <c r="J755" s="34"/>
      <c r="K755" s="34"/>
      <c r="L755" s="34"/>
      <c r="M755" s="34"/>
      <c r="N755" s="34"/>
      <c r="O755" s="34"/>
    </row>
    <row r="756" spans="1:15" ht="56.25">
      <c r="A756" s="34">
        <v>197</v>
      </c>
      <c r="B756" s="34"/>
      <c r="C756" s="364" t="s">
        <v>962</v>
      </c>
      <c r="D756" s="361" t="s">
        <v>40</v>
      </c>
      <c r="E756" s="60">
        <v>12232</v>
      </c>
      <c r="F756" s="358">
        <v>2</v>
      </c>
      <c r="G756" s="34">
        <f t="shared" si="47"/>
        <v>24464</v>
      </c>
      <c r="H756" s="34"/>
      <c r="I756" s="34"/>
      <c r="J756" s="34"/>
      <c r="K756" s="34"/>
      <c r="L756" s="34"/>
      <c r="M756" s="34"/>
      <c r="N756" s="34"/>
      <c r="O756" s="34"/>
    </row>
    <row r="757" spans="1:15" ht="56.25">
      <c r="A757" s="34">
        <v>198</v>
      </c>
      <c r="B757" s="34"/>
      <c r="C757" s="364" t="s">
        <v>963</v>
      </c>
      <c r="D757" s="361" t="s">
        <v>40</v>
      </c>
      <c r="E757" s="60">
        <v>12232</v>
      </c>
      <c r="F757" s="358">
        <v>2</v>
      </c>
      <c r="G757" s="34">
        <f t="shared" si="47"/>
        <v>24464</v>
      </c>
      <c r="H757" s="34"/>
      <c r="I757" s="34"/>
      <c r="J757" s="34"/>
      <c r="K757" s="34"/>
      <c r="L757" s="34"/>
      <c r="M757" s="34"/>
      <c r="N757" s="34"/>
      <c r="O757" s="34"/>
    </row>
    <row r="758" spans="1:15" ht="75">
      <c r="A758" s="34">
        <v>199</v>
      </c>
      <c r="B758" s="34"/>
      <c r="C758" s="364" t="s">
        <v>964</v>
      </c>
      <c r="D758" s="361" t="s">
        <v>40</v>
      </c>
      <c r="E758" s="60">
        <v>5234</v>
      </c>
      <c r="F758" s="358">
        <v>4</v>
      </c>
      <c r="G758" s="34">
        <f t="shared" si="47"/>
        <v>20936</v>
      </c>
      <c r="H758" s="34"/>
      <c r="I758" s="34"/>
      <c r="J758" s="34"/>
      <c r="K758" s="34"/>
      <c r="L758" s="34"/>
      <c r="M758" s="34"/>
      <c r="N758" s="34"/>
      <c r="O758" s="34"/>
    </row>
    <row r="759" spans="1:15" ht="56.25">
      <c r="A759" s="34">
        <v>200</v>
      </c>
      <c r="B759" s="34"/>
      <c r="C759" s="364" t="s">
        <v>965</v>
      </c>
      <c r="D759" s="357" t="s">
        <v>40</v>
      </c>
      <c r="E759" s="60">
        <v>22645</v>
      </c>
      <c r="F759" s="358">
        <v>2</v>
      </c>
      <c r="G759" s="34">
        <f t="shared" si="47"/>
        <v>45290</v>
      </c>
      <c r="H759" s="34"/>
      <c r="I759" s="34"/>
      <c r="J759" s="34"/>
      <c r="K759" s="34"/>
      <c r="L759" s="34"/>
      <c r="M759" s="34"/>
      <c r="N759" s="34"/>
      <c r="O759" s="34"/>
    </row>
    <row r="760" spans="1:15" ht="37.5">
      <c r="A760" s="34">
        <v>201</v>
      </c>
      <c r="B760" s="34"/>
      <c r="C760" s="356" t="s">
        <v>966</v>
      </c>
      <c r="D760" s="357" t="s">
        <v>266</v>
      </c>
      <c r="E760" s="60">
        <v>189786</v>
      </c>
      <c r="F760" s="358">
        <v>1</v>
      </c>
      <c r="G760" s="34">
        <f t="shared" si="47"/>
        <v>189786</v>
      </c>
      <c r="H760" s="34"/>
      <c r="I760" s="34"/>
      <c r="J760" s="34"/>
      <c r="K760" s="34"/>
      <c r="L760" s="34"/>
      <c r="M760" s="34"/>
      <c r="N760" s="34"/>
      <c r="O760" s="34"/>
    </row>
    <row r="761" spans="1:15" ht="37.5">
      <c r="A761" s="34">
        <v>202</v>
      </c>
      <c r="B761" s="34"/>
      <c r="C761" s="356" t="s">
        <v>967</v>
      </c>
      <c r="D761" s="357" t="s">
        <v>266</v>
      </c>
      <c r="E761" s="60">
        <v>198067</v>
      </c>
      <c r="F761" s="358">
        <v>1</v>
      </c>
      <c r="G761" s="34">
        <f t="shared" si="47"/>
        <v>198067</v>
      </c>
      <c r="H761" s="34"/>
      <c r="I761" s="34"/>
      <c r="J761" s="34"/>
      <c r="K761" s="34"/>
      <c r="L761" s="34"/>
      <c r="M761" s="34"/>
      <c r="N761" s="34"/>
      <c r="O761" s="34"/>
    </row>
    <row r="762" spans="1:15" ht="37.5">
      <c r="A762" s="34">
        <v>203</v>
      </c>
      <c r="B762" s="34"/>
      <c r="C762" s="364" t="s">
        <v>968</v>
      </c>
      <c r="D762" s="357" t="s">
        <v>266</v>
      </c>
      <c r="E762" s="60">
        <v>4223</v>
      </c>
      <c r="F762" s="358">
        <v>1</v>
      </c>
      <c r="G762" s="34">
        <f t="shared" si="47"/>
        <v>4223</v>
      </c>
      <c r="H762" s="34"/>
      <c r="I762" s="34"/>
      <c r="J762" s="34"/>
      <c r="K762" s="34"/>
      <c r="L762" s="34"/>
      <c r="M762" s="34"/>
      <c r="N762" s="34"/>
      <c r="O762" s="34"/>
    </row>
    <row r="763" spans="1:15" ht="18.75">
      <c r="A763" s="34">
        <v>204</v>
      </c>
      <c r="B763" s="34"/>
      <c r="C763" s="364" t="s">
        <v>969</v>
      </c>
      <c r="D763" s="357" t="s">
        <v>40</v>
      </c>
      <c r="E763" s="60">
        <v>42400</v>
      </c>
      <c r="F763" s="358">
        <v>1</v>
      </c>
      <c r="G763" s="34">
        <f t="shared" si="47"/>
        <v>42400</v>
      </c>
      <c r="H763" s="34"/>
      <c r="I763" s="34"/>
      <c r="J763" s="34"/>
      <c r="K763" s="34"/>
      <c r="L763" s="34"/>
      <c r="M763" s="34"/>
      <c r="N763" s="34"/>
      <c r="O763" s="34"/>
    </row>
    <row r="764" spans="1:15" ht="56.25">
      <c r="A764" s="34">
        <v>205</v>
      </c>
      <c r="B764" s="34"/>
      <c r="C764" s="364" t="s">
        <v>970</v>
      </c>
      <c r="D764" s="357" t="s">
        <v>266</v>
      </c>
      <c r="E764" s="60">
        <v>4223</v>
      </c>
      <c r="F764" s="358">
        <v>1</v>
      </c>
      <c r="G764" s="34">
        <f t="shared" si="47"/>
        <v>4223</v>
      </c>
      <c r="H764" s="34"/>
      <c r="I764" s="34"/>
      <c r="J764" s="34"/>
      <c r="K764" s="34"/>
      <c r="L764" s="34"/>
      <c r="M764" s="34"/>
      <c r="N764" s="34"/>
      <c r="O764" s="34"/>
    </row>
    <row r="765" spans="1:15" ht="37.5">
      <c r="A765" s="34">
        <v>206</v>
      </c>
      <c r="B765" s="34"/>
      <c r="C765" s="364" t="s">
        <v>971</v>
      </c>
      <c r="D765" s="357" t="s">
        <v>40</v>
      </c>
      <c r="E765" s="60">
        <v>654</v>
      </c>
      <c r="F765" s="358">
        <v>5</v>
      </c>
      <c r="G765" s="34">
        <f t="shared" si="47"/>
        <v>3270</v>
      </c>
      <c r="H765" s="34"/>
      <c r="I765" s="34"/>
      <c r="J765" s="34"/>
      <c r="K765" s="34"/>
      <c r="L765" s="34"/>
      <c r="M765" s="34"/>
      <c r="N765" s="34"/>
      <c r="O765" s="34"/>
    </row>
    <row r="766" spans="1:15" ht="18.75">
      <c r="A766" s="34">
        <v>207</v>
      </c>
      <c r="B766" s="34"/>
      <c r="C766" s="364" t="s">
        <v>972</v>
      </c>
      <c r="D766" s="357" t="s">
        <v>40</v>
      </c>
      <c r="E766" s="60">
        <v>1050</v>
      </c>
      <c r="F766" s="358">
        <v>2</v>
      </c>
      <c r="G766" s="34">
        <f t="shared" si="47"/>
        <v>2100</v>
      </c>
      <c r="H766" s="34"/>
      <c r="I766" s="34"/>
      <c r="J766" s="34"/>
      <c r="K766" s="34"/>
      <c r="L766" s="34"/>
      <c r="M766" s="34"/>
      <c r="N766" s="34"/>
      <c r="O766" s="34"/>
    </row>
    <row r="767" spans="1:15" ht="18.75">
      <c r="A767" s="34">
        <v>208</v>
      </c>
      <c r="B767" s="34"/>
      <c r="C767" s="364" t="s">
        <v>973</v>
      </c>
      <c r="D767" s="357" t="s">
        <v>266</v>
      </c>
      <c r="E767" s="60">
        <v>8100</v>
      </c>
      <c r="F767" s="358">
        <v>1</v>
      </c>
      <c r="G767" s="34">
        <f t="shared" si="47"/>
        <v>8100</v>
      </c>
      <c r="H767" s="34"/>
      <c r="I767" s="34"/>
      <c r="J767" s="34"/>
      <c r="K767" s="34"/>
      <c r="L767" s="34"/>
      <c r="M767" s="34"/>
      <c r="N767" s="34"/>
      <c r="O767" s="34"/>
    </row>
    <row r="768" spans="1:15" ht="37.5">
      <c r="A768" s="34">
        <v>209</v>
      </c>
      <c r="B768" s="34"/>
      <c r="C768" s="364" t="s">
        <v>974</v>
      </c>
      <c r="D768" s="357" t="s">
        <v>266</v>
      </c>
      <c r="E768" s="60">
        <v>8997</v>
      </c>
      <c r="F768" s="358">
        <v>1</v>
      </c>
      <c r="G768" s="34">
        <f t="shared" si="47"/>
        <v>8997</v>
      </c>
      <c r="H768" s="34"/>
      <c r="I768" s="34"/>
      <c r="J768" s="34"/>
      <c r="K768" s="34"/>
      <c r="L768" s="34"/>
      <c r="M768" s="34"/>
      <c r="N768" s="34"/>
      <c r="O768" s="34"/>
    </row>
    <row r="769" spans="1:15" ht="93.75">
      <c r="A769" s="34">
        <v>210</v>
      </c>
      <c r="B769" s="34"/>
      <c r="C769" s="364" t="s">
        <v>975</v>
      </c>
      <c r="D769" s="357" t="s">
        <v>266</v>
      </c>
      <c r="E769" s="60">
        <v>15000</v>
      </c>
      <c r="F769" s="358">
        <v>1</v>
      </c>
      <c r="G769" s="34">
        <f t="shared" si="47"/>
        <v>15000</v>
      </c>
      <c r="H769" s="34"/>
      <c r="I769" s="34"/>
      <c r="J769" s="34"/>
      <c r="K769" s="34"/>
      <c r="L769" s="34"/>
      <c r="M769" s="34"/>
      <c r="N769" s="34"/>
      <c r="O769" s="34"/>
    </row>
    <row r="770" spans="1:15" ht="18.75">
      <c r="A770" s="34">
        <v>211</v>
      </c>
      <c r="B770" s="34"/>
      <c r="C770" s="364" t="s">
        <v>976</v>
      </c>
      <c r="D770" s="357" t="s">
        <v>40</v>
      </c>
      <c r="E770" s="60">
        <v>1447</v>
      </c>
      <c r="F770" s="358">
        <v>1</v>
      </c>
      <c r="G770" s="34">
        <f t="shared" si="47"/>
        <v>1447</v>
      </c>
      <c r="H770" s="34"/>
      <c r="I770" s="34"/>
      <c r="J770" s="34"/>
      <c r="K770" s="34"/>
      <c r="L770" s="34"/>
      <c r="M770" s="34"/>
      <c r="N770" s="34"/>
      <c r="O770" s="34"/>
    </row>
    <row r="771" spans="1:15" ht="18.75">
      <c r="A771" s="34">
        <v>212</v>
      </c>
      <c r="B771" s="34"/>
      <c r="C771" s="364" t="s">
        <v>977</v>
      </c>
      <c r="D771" s="357" t="s">
        <v>40</v>
      </c>
      <c r="E771" s="60">
        <v>1872</v>
      </c>
      <c r="F771" s="358">
        <v>1</v>
      </c>
      <c r="G771" s="34">
        <f t="shared" si="47"/>
        <v>1872</v>
      </c>
      <c r="H771" s="34"/>
      <c r="I771" s="34"/>
      <c r="J771" s="34"/>
      <c r="K771" s="34"/>
      <c r="L771" s="34"/>
      <c r="M771" s="34"/>
      <c r="N771" s="34"/>
      <c r="O771" s="34"/>
    </row>
    <row r="772" spans="1:15" ht="56.25">
      <c r="A772" s="34">
        <v>213</v>
      </c>
      <c r="B772" s="34"/>
      <c r="C772" s="364" t="s">
        <v>978</v>
      </c>
      <c r="D772" s="357" t="s">
        <v>40</v>
      </c>
      <c r="E772" s="60">
        <v>4785</v>
      </c>
      <c r="F772" s="358">
        <v>1</v>
      </c>
      <c r="G772" s="34">
        <f t="shared" si="47"/>
        <v>4785</v>
      </c>
      <c r="H772" s="34"/>
      <c r="I772" s="34"/>
      <c r="J772" s="34"/>
      <c r="K772" s="34"/>
      <c r="L772" s="34"/>
      <c r="M772" s="34"/>
      <c r="N772" s="34"/>
      <c r="O772" s="34"/>
    </row>
    <row r="773" spans="1:15" ht="18.75">
      <c r="A773" s="34">
        <v>214</v>
      </c>
      <c r="B773" s="34"/>
      <c r="C773" s="364" t="s">
        <v>979</v>
      </c>
      <c r="D773" s="357" t="s">
        <v>40</v>
      </c>
      <c r="E773" s="60">
        <v>4380</v>
      </c>
      <c r="F773" s="358">
        <v>1</v>
      </c>
      <c r="G773" s="34">
        <f t="shared" si="47"/>
        <v>4380</v>
      </c>
      <c r="H773" s="34"/>
      <c r="I773" s="34"/>
      <c r="J773" s="34"/>
      <c r="K773" s="34"/>
      <c r="L773" s="34"/>
      <c r="M773" s="34"/>
      <c r="N773" s="34"/>
      <c r="O773" s="34"/>
    </row>
    <row r="774" spans="1:15" ht="56.25">
      <c r="A774" s="34">
        <v>215</v>
      </c>
      <c r="B774" s="34"/>
      <c r="C774" s="364" t="s">
        <v>980</v>
      </c>
      <c r="D774" s="357" t="s">
        <v>40</v>
      </c>
      <c r="E774" s="60">
        <v>3750</v>
      </c>
      <c r="F774" s="358">
        <v>1</v>
      </c>
      <c r="G774" s="34">
        <f t="shared" si="47"/>
        <v>3750</v>
      </c>
      <c r="H774" s="34"/>
      <c r="I774" s="34"/>
      <c r="J774" s="34"/>
      <c r="K774" s="34"/>
      <c r="L774" s="34"/>
      <c r="M774" s="34"/>
      <c r="N774" s="34"/>
      <c r="O774" s="34"/>
    </row>
    <row r="775" spans="1:15" ht="18.75">
      <c r="A775" s="34">
        <v>216</v>
      </c>
      <c r="B775" s="34"/>
      <c r="C775" s="364" t="s">
        <v>981</v>
      </c>
      <c r="D775" s="357" t="s">
        <v>40</v>
      </c>
      <c r="E775" s="60">
        <v>8755</v>
      </c>
      <c r="F775" s="358">
        <v>1</v>
      </c>
      <c r="G775" s="34">
        <f t="shared" si="47"/>
        <v>8755</v>
      </c>
      <c r="H775" s="34"/>
      <c r="I775" s="34"/>
      <c r="J775" s="34"/>
      <c r="K775" s="34"/>
      <c r="L775" s="34"/>
      <c r="M775" s="34"/>
      <c r="N775" s="34"/>
      <c r="O775" s="34"/>
    </row>
    <row r="776" spans="1:15" ht="18.75">
      <c r="A776" s="34">
        <v>217</v>
      </c>
      <c r="B776" s="34"/>
      <c r="C776" s="364" t="s">
        <v>982</v>
      </c>
      <c r="D776" s="357" t="s">
        <v>40</v>
      </c>
      <c r="E776" s="60">
        <v>1980</v>
      </c>
      <c r="F776" s="358">
        <v>1</v>
      </c>
      <c r="G776" s="34">
        <f t="shared" si="47"/>
        <v>1980</v>
      </c>
      <c r="H776" s="34"/>
      <c r="I776" s="34"/>
      <c r="J776" s="34"/>
      <c r="K776" s="34"/>
      <c r="L776" s="34"/>
      <c r="M776" s="34"/>
      <c r="N776" s="34"/>
      <c r="O776" s="34"/>
    </row>
    <row r="777" spans="1:15" ht="56.25">
      <c r="A777" s="34">
        <v>218</v>
      </c>
      <c r="B777" s="34"/>
      <c r="C777" s="356" t="s">
        <v>983</v>
      </c>
      <c r="D777" s="357" t="s">
        <v>40</v>
      </c>
      <c r="E777" s="60">
        <v>46558</v>
      </c>
      <c r="F777" s="358">
        <v>1</v>
      </c>
      <c r="G777" s="34">
        <f t="shared" si="47"/>
        <v>46558</v>
      </c>
      <c r="H777" s="34"/>
      <c r="I777" s="34"/>
      <c r="J777" s="34"/>
      <c r="K777" s="34"/>
      <c r="L777" s="34"/>
      <c r="M777" s="34"/>
      <c r="N777" s="34"/>
      <c r="O777" s="34"/>
    </row>
    <row r="778" spans="1:15" ht="56.25">
      <c r="A778" s="34">
        <v>219</v>
      </c>
      <c r="B778" s="34"/>
      <c r="C778" s="356" t="s">
        <v>984</v>
      </c>
      <c r="D778" s="357" t="s">
        <v>40</v>
      </c>
      <c r="E778" s="60">
        <v>26445</v>
      </c>
      <c r="F778" s="358">
        <v>1</v>
      </c>
      <c r="G778" s="34">
        <f t="shared" si="47"/>
        <v>26445</v>
      </c>
      <c r="H778" s="34"/>
      <c r="I778" s="34"/>
      <c r="J778" s="34"/>
      <c r="K778" s="34"/>
      <c r="L778" s="34"/>
      <c r="M778" s="34"/>
      <c r="N778" s="34"/>
      <c r="O778" s="34"/>
    </row>
    <row r="779" spans="1:15" ht="37.5">
      <c r="A779" s="34">
        <v>220</v>
      </c>
      <c r="B779" s="34"/>
      <c r="C779" s="356" t="s">
        <v>985</v>
      </c>
      <c r="D779" s="357" t="s">
        <v>266</v>
      </c>
      <c r="E779" s="60">
        <v>9098</v>
      </c>
      <c r="F779" s="358">
        <v>1</v>
      </c>
      <c r="G779" s="34">
        <f t="shared" si="47"/>
        <v>9098</v>
      </c>
      <c r="H779" s="34"/>
      <c r="I779" s="34"/>
      <c r="J779" s="34"/>
      <c r="K779" s="34"/>
      <c r="L779" s="34"/>
      <c r="M779" s="34"/>
      <c r="N779" s="34"/>
      <c r="O779" s="34"/>
    </row>
    <row r="780" spans="1:15" ht="18.75">
      <c r="A780" s="34">
        <v>221</v>
      </c>
      <c r="B780" s="34"/>
      <c r="C780" s="356" t="s">
        <v>986</v>
      </c>
      <c r="D780" s="357" t="s">
        <v>266</v>
      </c>
      <c r="E780" s="60">
        <v>22557</v>
      </c>
      <c r="F780" s="358">
        <v>1</v>
      </c>
      <c r="G780" s="34">
        <f t="shared" si="47"/>
        <v>22557</v>
      </c>
      <c r="H780" s="34"/>
      <c r="I780" s="34"/>
      <c r="J780" s="34"/>
      <c r="K780" s="34"/>
      <c r="L780" s="34"/>
      <c r="M780" s="34"/>
      <c r="N780" s="34"/>
      <c r="O780" s="34"/>
    </row>
    <row r="781" spans="1:15" ht="131.25">
      <c r="A781" s="34">
        <v>222</v>
      </c>
      <c r="B781" s="34"/>
      <c r="C781" s="356" t="s">
        <v>987</v>
      </c>
      <c r="D781" s="357" t="s">
        <v>40</v>
      </c>
      <c r="E781" s="60">
        <v>25664</v>
      </c>
      <c r="F781" s="358">
        <v>1</v>
      </c>
      <c r="G781" s="34">
        <f t="shared" si="47"/>
        <v>25664</v>
      </c>
      <c r="H781" s="34"/>
      <c r="I781" s="34"/>
      <c r="J781" s="34"/>
      <c r="K781" s="34"/>
      <c r="L781" s="34"/>
      <c r="M781" s="34"/>
      <c r="N781" s="34"/>
      <c r="O781" s="34"/>
    </row>
    <row r="782" spans="1:15" ht="56.25">
      <c r="A782" s="34">
        <v>223</v>
      </c>
      <c r="B782" s="34"/>
      <c r="C782" s="356" t="s">
        <v>988</v>
      </c>
      <c r="D782" s="357" t="s">
        <v>40</v>
      </c>
      <c r="E782" s="60">
        <v>2022</v>
      </c>
      <c r="F782" s="358">
        <v>1</v>
      </c>
      <c r="G782" s="34">
        <f t="shared" si="47"/>
        <v>2022</v>
      </c>
      <c r="H782" s="34"/>
      <c r="I782" s="34"/>
      <c r="J782" s="34"/>
      <c r="K782" s="34"/>
      <c r="L782" s="34"/>
      <c r="M782" s="34"/>
      <c r="N782" s="34"/>
      <c r="O782" s="34"/>
    </row>
    <row r="783" spans="1:15" ht="37.5">
      <c r="A783" s="34">
        <v>224</v>
      </c>
      <c r="B783" s="34"/>
      <c r="C783" s="356" t="s">
        <v>989</v>
      </c>
      <c r="D783" s="357" t="s">
        <v>40</v>
      </c>
      <c r="E783" s="60">
        <v>28776</v>
      </c>
      <c r="F783" s="358">
        <v>1</v>
      </c>
      <c r="G783" s="34">
        <f t="shared" si="47"/>
        <v>28776</v>
      </c>
      <c r="H783" s="34"/>
      <c r="I783" s="34"/>
      <c r="J783" s="34"/>
      <c r="K783" s="34"/>
      <c r="L783" s="34"/>
      <c r="M783" s="34"/>
      <c r="N783" s="34"/>
      <c r="O783" s="34"/>
    </row>
    <row r="784" spans="1:15" ht="56.25">
      <c r="A784" s="34">
        <v>225</v>
      </c>
      <c r="B784" s="34"/>
      <c r="C784" s="356" t="s">
        <v>990</v>
      </c>
      <c r="D784" s="357" t="s">
        <v>40</v>
      </c>
      <c r="E784" s="60">
        <v>1899</v>
      </c>
      <c r="F784" s="358">
        <v>10</v>
      </c>
      <c r="G784" s="34">
        <f t="shared" si="47"/>
        <v>18990</v>
      </c>
      <c r="H784" s="34"/>
      <c r="I784" s="34"/>
      <c r="J784" s="34"/>
      <c r="K784" s="34"/>
      <c r="L784" s="34"/>
      <c r="M784" s="34"/>
      <c r="N784" s="34"/>
      <c r="O784" s="34"/>
    </row>
    <row r="785" spans="1:15" ht="56.25">
      <c r="A785" s="34">
        <v>226</v>
      </c>
      <c r="B785" s="34"/>
      <c r="C785" s="356" t="s">
        <v>991</v>
      </c>
      <c r="D785" s="357" t="s">
        <v>40</v>
      </c>
      <c r="E785" s="60">
        <v>1123</v>
      </c>
      <c r="F785" s="358">
        <v>6</v>
      </c>
      <c r="G785" s="34">
        <f t="shared" si="47"/>
        <v>6738</v>
      </c>
      <c r="H785" s="34"/>
      <c r="I785" s="34"/>
      <c r="J785" s="34"/>
      <c r="K785" s="34"/>
      <c r="L785" s="34"/>
      <c r="M785" s="34"/>
      <c r="N785" s="34"/>
      <c r="O785" s="34"/>
    </row>
    <row r="786" spans="1:15" ht="56.25">
      <c r="A786" s="34">
        <v>227</v>
      </c>
      <c r="B786" s="34"/>
      <c r="C786" s="356" t="s">
        <v>992</v>
      </c>
      <c r="D786" s="365" t="s">
        <v>949</v>
      </c>
      <c r="E786" s="60">
        <v>22323</v>
      </c>
      <c r="F786" s="358">
        <v>1</v>
      </c>
      <c r="G786" s="34">
        <f t="shared" si="47"/>
        <v>22323</v>
      </c>
      <c r="H786" s="34"/>
      <c r="I786" s="34"/>
      <c r="J786" s="34"/>
      <c r="K786" s="34"/>
      <c r="L786" s="34"/>
      <c r="M786" s="34"/>
      <c r="N786" s="34"/>
      <c r="O786" s="34"/>
    </row>
    <row r="787" spans="1:15" ht="56.25">
      <c r="A787" s="34">
        <v>228</v>
      </c>
      <c r="B787" s="34"/>
      <c r="C787" s="356" t="s">
        <v>993</v>
      </c>
      <c r="D787" s="357" t="s">
        <v>40</v>
      </c>
      <c r="E787" s="60">
        <v>34600</v>
      </c>
      <c r="F787" s="358">
        <v>2</v>
      </c>
      <c r="G787" s="34">
        <f t="shared" si="47"/>
        <v>69200</v>
      </c>
      <c r="H787" s="34"/>
      <c r="I787" s="34"/>
      <c r="J787" s="34"/>
      <c r="K787" s="34"/>
      <c r="L787" s="34"/>
      <c r="M787" s="34"/>
      <c r="N787" s="34"/>
      <c r="O787" s="34"/>
    </row>
    <row r="788" spans="1:15" ht="75">
      <c r="A788" s="34">
        <v>229</v>
      </c>
      <c r="B788" s="34"/>
      <c r="C788" s="359" t="s">
        <v>994</v>
      </c>
      <c r="D788" s="365" t="s">
        <v>40</v>
      </c>
      <c r="E788" s="60">
        <v>32996</v>
      </c>
      <c r="F788" s="358">
        <v>2</v>
      </c>
      <c r="G788" s="34">
        <f t="shared" si="47"/>
        <v>65992</v>
      </c>
      <c r="H788" s="34"/>
      <c r="I788" s="34"/>
      <c r="J788" s="34"/>
      <c r="K788" s="34"/>
      <c r="L788" s="34"/>
      <c r="M788" s="34"/>
      <c r="N788" s="34"/>
      <c r="O788" s="34"/>
    </row>
    <row r="789" spans="1:15" ht="56.25">
      <c r="A789" s="34">
        <v>230</v>
      </c>
      <c r="B789" s="34"/>
      <c r="C789" s="359" t="s">
        <v>995</v>
      </c>
      <c r="D789" s="365" t="s">
        <v>949</v>
      </c>
      <c r="E789" s="60">
        <v>28996</v>
      </c>
      <c r="F789" s="358">
        <v>2</v>
      </c>
      <c r="G789" s="34">
        <f t="shared" si="47"/>
        <v>57992</v>
      </c>
      <c r="H789" s="34"/>
      <c r="I789" s="34"/>
      <c r="J789" s="34"/>
      <c r="K789" s="34"/>
      <c r="L789" s="34"/>
      <c r="M789" s="34"/>
      <c r="N789" s="34"/>
      <c r="O789" s="34"/>
    </row>
    <row r="790" spans="1:15" ht="75">
      <c r="A790" s="34">
        <v>231</v>
      </c>
      <c r="B790" s="34"/>
      <c r="C790" s="356" t="s">
        <v>996</v>
      </c>
      <c r="D790" s="365" t="s">
        <v>949</v>
      </c>
      <c r="E790" s="60">
        <v>26556</v>
      </c>
      <c r="F790" s="358">
        <v>1</v>
      </c>
      <c r="G790" s="34">
        <f t="shared" si="47"/>
        <v>26556</v>
      </c>
      <c r="H790" s="34"/>
      <c r="I790" s="34"/>
      <c r="J790" s="34"/>
      <c r="K790" s="34"/>
      <c r="L790" s="34"/>
      <c r="M790" s="34"/>
      <c r="N790" s="34"/>
      <c r="O790" s="34"/>
    </row>
    <row r="791" spans="1:15" ht="93.75">
      <c r="A791" s="34">
        <v>232</v>
      </c>
      <c r="B791" s="34"/>
      <c r="C791" s="356" t="s">
        <v>997</v>
      </c>
      <c r="D791" s="365" t="s">
        <v>949</v>
      </c>
      <c r="E791" s="60">
        <v>26223</v>
      </c>
      <c r="F791" s="358">
        <v>1</v>
      </c>
      <c r="G791" s="34">
        <f t="shared" si="47"/>
        <v>26223</v>
      </c>
      <c r="H791" s="34"/>
      <c r="I791" s="34"/>
      <c r="J791" s="34"/>
      <c r="K791" s="34"/>
      <c r="L791" s="34"/>
      <c r="M791" s="34"/>
      <c r="N791" s="34"/>
      <c r="O791" s="34"/>
    </row>
    <row r="792" spans="1:15" ht="75">
      <c r="A792" s="34">
        <v>233</v>
      </c>
      <c r="B792" s="34"/>
      <c r="C792" s="356" t="s">
        <v>998</v>
      </c>
      <c r="D792" s="366" t="s">
        <v>40</v>
      </c>
      <c r="E792" s="60">
        <v>810</v>
      </c>
      <c r="F792" s="358">
        <v>1</v>
      </c>
      <c r="G792" s="34">
        <f t="shared" si="47"/>
        <v>810</v>
      </c>
      <c r="H792" s="34"/>
      <c r="I792" s="34"/>
      <c r="J792" s="34"/>
      <c r="K792" s="34"/>
      <c r="L792" s="34"/>
      <c r="M792" s="34"/>
      <c r="N792" s="34"/>
      <c r="O792" s="34"/>
    </row>
    <row r="793" spans="1:15" ht="75">
      <c r="A793" s="34">
        <v>234</v>
      </c>
      <c r="B793" s="34"/>
      <c r="C793" s="356" t="s">
        <v>999</v>
      </c>
      <c r="D793" s="366" t="s">
        <v>40</v>
      </c>
      <c r="E793" s="60">
        <v>810</v>
      </c>
      <c r="F793" s="362">
        <v>1</v>
      </c>
      <c r="G793" s="34">
        <f t="shared" si="47"/>
        <v>810</v>
      </c>
      <c r="H793" s="34"/>
      <c r="I793" s="34"/>
      <c r="J793" s="34"/>
      <c r="K793" s="34"/>
      <c r="L793" s="34"/>
      <c r="M793" s="34"/>
      <c r="N793" s="34"/>
      <c r="O793" s="34"/>
    </row>
    <row r="794" spans="1:15" ht="93.75">
      <c r="A794" s="34">
        <v>235</v>
      </c>
      <c r="B794" s="34"/>
      <c r="C794" s="359" t="s">
        <v>1000</v>
      </c>
      <c r="D794" s="366" t="s">
        <v>40</v>
      </c>
      <c r="E794" s="60">
        <v>810</v>
      </c>
      <c r="F794" s="358">
        <v>1</v>
      </c>
      <c r="G794" s="34">
        <f t="shared" si="47"/>
        <v>810</v>
      </c>
      <c r="H794" s="34"/>
      <c r="I794" s="34"/>
      <c r="J794" s="34"/>
      <c r="K794" s="34"/>
      <c r="L794" s="34"/>
      <c r="M794" s="34"/>
      <c r="N794" s="34"/>
      <c r="O794" s="34"/>
    </row>
    <row r="795" spans="1:15" ht="75">
      <c r="A795" s="34">
        <v>236</v>
      </c>
      <c r="B795" s="34"/>
      <c r="C795" s="359" t="s">
        <v>1001</v>
      </c>
      <c r="D795" s="366" t="s">
        <v>40</v>
      </c>
      <c r="E795" s="60">
        <v>5220</v>
      </c>
      <c r="F795" s="358">
        <v>1</v>
      </c>
      <c r="G795" s="34">
        <f t="shared" si="47"/>
        <v>5220</v>
      </c>
      <c r="H795" s="341"/>
      <c r="I795" s="34"/>
      <c r="J795" s="34"/>
      <c r="K795" s="34"/>
      <c r="L795" s="34"/>
      <c r="M795" s="34"/>
      <c r="N795" s="34"/>
      <c r="O795" s="34"/>
    </row>
    <row r="796" spans="1:15" ht="112.5">
      <c r="A796" s="34">
        <v>237</v>
      </c>
      <c r="B796" s="34"/>
      <c r="C796" s="359" t="s">
        <v>1002</v>
      </c>
      <c r="D796" s="366" t="s">
        <v>40</v>
      </c>
      <c r="E796" s="60">
        <v>5220</v>
      </c>
      <c r="F796" s="367">
        <v>1</v>
      </c>
      <c r="G796" s="34">
        <f t="shared" si="47"/>
        <v>5220</v>
      </c>
      <c r="H796" s="34"/>
      <c r="I796" s="34"/>
      <c r="J796" s="34"/>
      <c r="K796" s="34"/>
      <c r="L796" s="34"/>
      <c r="M796" s="34"/>
      <c r="N796" s="34"/>
      <c r="O796" s="34"/>
    </row>
    <row r="797" spans="1:15" ht="112.5">
      <c r="A797" s="34">
        <v>238</v>
      </c>
      <c r="B797" s="34"/>
      <c r="C797" s="359" t="s">
        <v>1003</v>
      </c>
      <c r="D797" s="366" t="s">
        <v>40</v>
      </c>
      <c r="E797" s="60">
        <v>2430</v>
      </c>
      <c r="F797" s="358">
        <v>1</v>
      </c>
      <c r="G797" s="34">
        <f t="shared" si="47"/>
        <v>2430</v>
      </c>
      <c r="H797" s="34"/>
      <c r="I797" s="34"/>
      <c r="J797" s="34"/>
      <c r="K797" s="34"/>
      <c r="L797" s="34"/>
      <c r="M797" s="34"/>
      <c r="N797" s="34"/>
      <c r="O797" s="34"/>
    </row>
    <row r="798" spans="1:15" ht="93.75">
      <c r="A798" s="34">
        <v>239</v>
      </c>
      <c r="B798" s="34"/>
      <c r="C798" s="359" t="s">
        <v>1004</v>
      </c>
      <c r="D798" s="366" t="s">
        <v>40</v>
      </c>
      <c r="E798" s="60">
        <v>5220</v>
      </c>
      <c r="F798" s="358">
        <v>2</v>
      </c>
      <c r="G798" s="34">
        <f t="shared" si="47"/>
        <v>10440</v>
      </c>
      <c r="H798" s="341"/>
      <c r="I798" s="34"/>
      <c r="J798" s="34"/>
      <c r="K798" s="34"/>
      <c r="L798" s="34"/>
      <c r="M798" s="34"/>
      <c r="N798" s="34"/>
      <c r="O798" s="34"/>
    </row>
    <row r="799" spans="1:15" ht="112.5">
      <c r="A799" s="34">
        <v>240</v>
      </c>
      <c r="B799" s="34"/>
      <c r="C799" s="359" t="s">
        <v>1005</v>
      </c>
      <c r="D799" s="366" t="s">
        <v>40</v>
      </c>
      <c r="E799" s="60">
        <v>810</v>
      </c>
      <c r="F799" s="358">
        <v>3</v>
      </c>
      <c r="G799" s="34">
        <f t="shared" si="47"/>
        <v>2430</v>
      </c>
      <c r="H799" s="34"/>
      <c r="I799" s="34"/>
      <c r="J799" s="34"/>
      <c r="K799" s="34"/>
      <c r="L799" s="34"/>
      <c r="M799" s="34"/>
      <c r="N799" s="34"/>
      <c r="O799" s="34"/>
    </row>
    <row r="800" spans="1:15" ht="112.5">
      <c r="A800" s="34">
        <v>241</v>
      </c>
      <c r="B800" s="34"/>
      <c r="C800" s="359" t="s">
        <v>1006</v>
      </c>
      <c r="D800" s="366" t="s">
        <v>40</v>
      </c>
      <c r="E800" s="60">
        <v>1620</v>
      </c>
      <c r="F800" s="358">
        <v>3</v>
      </c>
      <c r="G800" s="34">
        <f t="shared" si="47"/>
        <v>4860</v>
      </c>
      <c r="H800" s="34"/>
      <c r="I800" s="34"/>
      <c r="J800" s="34"/>
      <c r="K800" s="34"/>
      <c r="L800" s="34"/>
      <c r="M800" s="34"/>
      <c r="N800" s="34"/>
      <c r="O800" s="34"/>
    </row>
    <row r="801" spans="1:15" ht="93.75">
      <c r="A801" s="34">
        <v>242</v>
      </c>
      <c r="B801" s="34"/>
      <c r="C801" s="359" t="s">
        <v>1007</v>
      </c>
      <c r="D801" s="366" t="s">
        <v>40</v>
      </c>
      <c r="E801" s="60">
        <v>6480</v>
      </c>
      <c r="F801" s="358">
        <v>1</v>
      </c>
      <c r="G801" s="34">
        <f t="shared" si="47"/>
        <v>6480</v>
      </c>
      <c r="H801" s="34"/>
      <c r="I801" s="34"/>
      <c r="J801" s="34"/>
      <c r="K801" s="34"/>
      <c r="L801" s="34"/>
      <c r="M801" s="34"/>
      <c r="N801" s="34"/>
      <c r="O801" s="34"/>
    </row>
    <row r="802" spans="1:15" ht="75">
      <c r="A802" s="34">
        <v>243</v>
      </c>
      <c r="B802" s="34"/>
      <c r="C802" s="359" t="s">
        <v>1008</v>
      </c>
      <c r="D802" s="366" t="s">
        <v>40</v>
      </c>
      <c r="E802" s="60">
        <v>1080</v>
      </c>
      <c r="F802" s="362">
        <v>0</v>
      </c>
      <c r="G802" s="34">
        <f t="shared" si="47"/>
        <v>0</v>
      </c>
      <c r="H802" s="341"/>
      <c r="I802" s="34"/>
      <c r="J802" s="34"/>
      <c r="K802" s="34"/>
      <c r="L802" s="34"/>
      <c r="M802" s="34"/>
      <c r="N802" s="34"/>
      <c r="O802" s="34"/>
    </row>
    <row r="803" spans="1:15" ht="56.25">
      <c r="A803" s="34">
        <v>244</v>
      </c>
      <c r="B803" s="34"/>
      <c r="C803" s="359" t="s">
        <v>1009</v>
      </c>
      <c r="D803" s="366" t="s">
        <v>40</v>
      </c>
      <c r="E803" s="60">
        <v>1530</v>
      </c>
      <c r="F803" s="358">
        <v>3</v>
      </c>
      <c r="G803" s="34">
        <f t="shared" si="47"/>
        <v>4590</v>
      </c>
      <c r="H803" s="34"/>
      <c r="I803" s="34"/>
      <c r="J803" s="34"/>
      <c r="K803" s="34"/>
      <c r="L803" s="34"/>
      <c r="M803" s="34"/>
      <c r="N803" s="34"/>
      <c r="O803" s="34"/>
    </row>
    <row r="804" spans="1:15" ht="37.5">
      <c r="A804" s="34">
        <v>245</v>
      </c>
      <c r="B804" s="34"/>
      <c r="C804" s="359" t="s">
        <v>1010</v>
      </c>
      <c r="D804" s="366" t="s">
        <v>40</v>
      </c>
      <c r="E804" s="60">
        <v>1935</v>
      </c>
      <c r="F804" s="362">
        <v>3</v>
      </c>
      <c r="G804" s="34">
        <f t="shared" si="47"/>
        <v>5805</v>
      </c>
      <c r="H804" s="34"/>
      <c r="I804" s="34"/>
      <c r="J804" s="34"/>
      <c r="K804" s="34"/>
      <c r="L804" s="34"/>
      <c r="M804" s="34"/>
      <c r="N804" s="34"/>
      <c r="O804" s="34"/>
    </row>
    <row r="805" spans="1:15" ht="56.25">
      <c r="A805" s="34">
        <v>246</v>
      </c>
      <c r="B805" s="34"/>
      <c r="C805" s="359" t="s">
        <v>1011</v>
      </c>
      <c r="D805" s="366" t="s">
        <v>40</v>
      </c>
      <c r="E805" s="60">
        <v>16020</v>
      </c>
      <c r="F805" s="358">
        <v>3</v>
      </c>
      <c r="G805" s="34">
        <f t="shared" si="47"/>
        <v>48060</v>
      </c>
      <c r="H805" s="34"/>
      <c r="I805" s="34"/>
      <c r="J805" s="34"/>
      <c r="K805" s="34"/>
      <c r="L805" s="34"/>
      <c r="M805" s="34"/>
      <c r="N805" s="34"/>
      <c r="O805" s="34"/>
    </row>
    <row r="806" spans="1:15" ht="37.5">
      <c r="A806" s="34">
        <v>247</v>
      </c>
      <c r="B806" s="34"/>
      <c r="C806" s="359" t="s">
        <v>1012</v>
      </c>
      <c r="D806" s="366" t="s">
        <v>40</v>
      </c>
      <c r="E806" s="60">
        <v>14220</v>
      </c>
      <c r="F806" s="358">
        <v>3</v>
      </c>
      <c r="G806" s="34">
        <f t="shared" si="47"/>
        <v>42660</v>
      </c>
      <c r="H806" s="34"/>
      <c r="I806" s="34"/>
      <c r="J806" s="34"/>
      <c r="K806" s="34"/>
      <c r="L806" s="34"/>
      <c r="M806" s="34"/>
      <c r="N806" s="34"/>
      <c r="O806" s="34"/>
    </row>
    <row r="807" spans="1:15" ht="56.25">
      <c r="A807" s="34">
        <v>248</v>
      </c>
      <c r="B807" s="34"/>
      <c r="C807" s="359" t="s">
        <v>1013</v>
      </c>
      <c r="D807" s="366" t="s">
        <v>40</v>
      </c>
      <c r="E807" s="60">
        <v>6300</v>
      </c>
      <c r="F807" s="358">
        <v>1</v>
      </c>
      <c r="G807" s="34">
        <f t="shared" si="47"/>
        <v>6300</v>
      </c>
      <c r="H807" s="34"/>
      <c r="I807" s="34"/>
      <c r="J807" s="34"/>
      <c r="K807" s="34"/>
      <c r="L807" s="34"/>
      <c r="M807" s="34"/>
      <c r="N807" s="34"/>
      <c r="O807" s="34"/>
    </row>
    <row r="808" spans="1:15" ht="37.5">
      <c r="A808" s="34">
        <v>249</v>
      </c>
      <c r="B808" s="34"/>
      <c r="C808" s="359" t="s">
        <v>1014</v>
      </c>
      <c r="D808" s="366" t="s">
        <v>40</v>
      </c>
      <c r="E808" s="60">
        <v>5940</v>
      </c>
      <c r="F808" s="358">
        <v>3</v>
      </c>
      <c r="G808" s="34">
        <f t="shared" si="47"/>
        <v>17820</v>
      </c>
      <c r="H808" s="34"/>
      <c r="I808" s="34"/>
      <c r="J808" s="34"/>
      <c r="K808" s="34"/>
      <c r="L808" s="34"/>
      <c r="M808" s="34"/>
      <c r="N808" s="34"/>
      <c r="O808" s="34"/>
    </row>
    <row r="809" spans="1:15" ht="37.5">
      <c r="A809" s="34">
        <v>250</v>
      </c>
      <c r="B809" s="34"/>
      <c r="C809" s="356" t="s">
        <v>1015</v>
      </c>
      <c r="D809" s="366" t="s">
        <v>40</v>
      </c>
      <c r="E809" s="60">
        <v>5940</v>
      </c>
      <c r="F809" s="362">
        <v>1</v>
      </c>
      <c r="G809" s="34">
        <f t="shared" si="47"/>
        <v>5940</v>
      </c>
      <c r="H809" s="34"/>
      <c r="I809" s="34"/>
      <c r="J809" s="34"/>
      <c r="K809" s="34"/>
      <c r="L809" s="34"/>
      <c r="M809" s="34"/>
      <c r="N809" s="34"/>
      <c r="O809" s="34"/>
    </row>
    <row r="810" spans="1:15" ht="56.25">
      <c r="A810" s="34">
        <v>251</v>
      </c>
      <c r="B810" s="34"/>
      <c r="C810" s="359" t="s">
        <v>1016</v>
      </c>
      <c r="D810" s="366" t="s">
        <v>40</v>
      </c>
      <c r="E810" s="60">
        <v>1380.6</v>
      </c>
      <c r="F810" s="362">
        <v>2</v>
      </c>
      <c r="G810" s="34">
        <f t="shared" si="47"/>
        <v>2761.2</v>
      </c>
      <c r="H810" s="34"/>
      <c r="I810" s="34"/>
      <c r="J810" s="34"/>
      <c r="K810" s="34"/>
      <c r="L810" s="34"/>
      <c r="M810" s="34"/>
      <c r="N810" s="34"/>
      <c r="O810" s="34"/>
    </row>
    <row r="811" spans="1:15" ht="75">
      <c r="A811" s="34">
        <v>252</v>
      </c>
      <c r="B811" s="34"/>
      <c r="C811" s="356" t="s">
        <v>1017</v>
      </c>
      <c r="D811" s="366" t="s">
        <v>40</v>
      </c>
      <c r="E811" s="60">
        <v>2678.6</v>
      </c>
      <c r="F811" s="358">
        <v>4</v>
      </c>
      <c r="G811" s="34">
        <f t="shared" si="47"/>
        <v>10714.4</v>
      </c>
      <c r="H811" s="34"/>
      <c r="I811" s="34"/>
      <c r="J811" s="34"/>
      <c r="K811" s="34"/>
      <c r="L811" s="34"/>
      <c r="M811" s="34"/>
      <c r="N811" s="34"/>
      <c r="O811" s="34"/>
    </row>
    <row r="812" spans="1:15" ht="56.25">
      <c r="A812" s="34">
        <v>253</v>
      </c>
      <c r="B812" s="34"/>
      <c r="C812" s="359" t="s">
        <v>1018</v>
      </c>
      <c r="D812" s="366" t="s">
        <v>40</v>
      </c>
      <c r="E812" s="60">
        <v>5940</v>
      </c>
      <c r="F812" s="358">
        <v>1</v>
      </c>
      <c r="G812" s="34">
        <f t="shared" si="47"/>
        <v>5940</v>
      </c>
      <c r="H812" s="34"/>
      <c r="I812" s="34"/>
      <c r="J812" s="34"/>
      <c r="K812" s="34"/>
      <c r="L812" s="34"/>
      <c r="M812" s="34"/>
      <c r="N812" s="34"/>
      <c r="O812" s="34"/>
    </row>
    <row r="813" spans="1:15" ht="75">
      <c r="A813" s="34">
        <v>254</v>
      </c>
      <c r="B813" s="34"/>
      <c r="C813" s="356" t="s">
        <v>1019</v>
      </c>
      <c r="D813" s="366" t="s">
        <v>40</v>
      </c>
      <c r="E813" s="60">
        <v>4680</v>
      </c>
      <c r="F813" s="358">
        <v>2</v>
      </c>
      <c r="G813" s="34">
        <f t="shared" si="47"/>
        <v>9360</v>
      </c>
      <c r="H813" s="34"/>
      <c r="I813" s="34"/>
      <c r="J813" s="34"/>
      <c r="K813" s="34"/>
      <c r="L813" s="34"/>
      <c r="M813" s="34"/>
      <c r="N813" s="34"/>
      <c r="O813" s="34"/>
    </row>
    <row r="814" spans="1:15" ht="75">
      <c r="A814" s="34">
        <v>255</v>
      </c>
      <c r="B814" s="34"/>
      <c r="C814" s="359" t="s">
        <v>1020</v>
      </c>
      <c r="D814" s="366" t="s">
        <v>40</v>
      </c>
      <c r="E814" s="60">
        <v>1764</v>
      </c>
      <c r="F814" s="362">
        <v>4</v>
      </c>
      <c r="G814" s="34">
        <f t="shared" si="47"/>
        <v>7056</v>
      </c>
      <c r="H814" s="34"/>
      <c r="I814" s="34"/>
      <c r="J814" s="34"/>
      <c r="K814" s="34"/>
      <c r="L814" s="34"/>
      <c r="M814" s="34"/>
      <c r="N814" s="34"/>
      <c r="O814" s="34"/>
    </row>
    <row r="815" spans="1:15" ht="56.25">
      <c r="A815" s="34">
        <v>256</v>
      </c>
      <c r="B815" s="34"/>
      <c r="C815" s="356" t="s">
        <v>1021</v>
      </c>
      <c r="D815" s="366" t="s">
        <v>40</v>
      </c>
      <c r="E815" s="60">
        <v>1044</v>
      </c>
      <c r="F815" s="358">
        <v>3</v>
      </c>
      <c r="G815" s="34">
        <f t="shared" si="47"/>
        <v>3132</v>
      </c>
      <c r="H815" s="34"/>
      <c r="I815" s="34"/>
      <c r="J815" s="34"/>
      <c r="K815" s="34"/>
      <c r="L815" s="34"/>
      <c r="M815" s="34"/>
      <c r="N815" s="34"/>
      <c r="O815" s="34"/>
    </row>
    <row r="816" spans="1:15" ht="75">
      <c r="A816" s="34">
        <v>257</v>
      </c>
      <c r="B816" s="34"/>
      <c r="C816" s="356" t="s">
        <v>1022</v>
      </c>
      <c r="D816" s="366" t="s">
        <v>40</v>
      </c>
      <c r="E816" s="60">
        <v>2070</v>
      </c>
      <c r="F816" s="358">
        <v>2</v>
      </c>
      <c r="G816" s="34">
        <f t="shared" si="47"/>
        <v>4140</v>
      </c>
      <c r="H816" s="34"/>
      <c r="I816" s="34"/>
      <c r="J816" s="34"/>
      <c r="K816" s="34"/>
      <c r="L816" s="34"/>
      <c r="M816" s="34"/>
      <c r="N816" s="34"/>
      <c r="O816" s="34"/>
    </row>
    <row r="817" spans="1:15" ht="93.75">
      <c r="A817" s="34">
        <v>258</v>
      </c>
      <c r="B817" s="34"/>
      <c r="C817" s="356" t="s">
        <v>1023</v>
      </c>
      <c r="D817" s="366" t="s">
        <v>40</v>
      </c>
      <c r="E817" s="60">
        <v>4680</v>
      </c>
      <c r="F817" s="358">
        <v>2</v>
      </c>
      <c r="G817" s="34">
        <f t="shared" si="47"/>
        <v>9360</v>
      </c>
      <c r="H817" s="34"/>
      <c r="I817" s="34"/>
      <c r="J817" s="34"/>
      <c r="K817" s="34"/>
      <c r="L817" s="34"/>
      <c r="M817" s="34"/>
      <c r="N817" s="34"/>
      <c r="O817" s="34"/>
    </row>
    <row r="818" spans="1:15" ht="112.5">
      <c r="A818" s="34">
        <v>259</v>
      </c>
      <c r="B818" s="34"/>
      <c r="C818" s="356" t="s">
        <v>1024</v>
      </c>
      <c r="D818" s="366" t="s">
        <v>40</v>
      </c>
      <c r="E818" s="60">
        <v>1980</v>
      </c>
      <c r="F818" s="358">
        <v>1</v>
      </c>
      <c r="G818" s="34">
        <f t="shared" ref="G818:G881" si="48">E818*F818</f>
        <v>1980</v>
      </c>
      <c r="H818" s="34"/>
      <c r="I818" s="34"/>
      <c r="J818" s="34"/>
      <c r="K818" s="34"/>
      <c r="L818" s="34"/>
      <c r="M818" s="34"/>
      <c r="N818" s="34"/>
      <c r="O818" s="34"/>
    </row>
    <row r="819" spans="1:15" ht="75">
      <c r="A819" s="34">
        <v>260</v>
      </c>
      <c r="B819" s="34"/>
      <c r="C819" s="359" t="s">
        <v>1025</v>
      </c>
      <c r="D819" s="366" t="s">
        <v>40</v>
      </c>
      <c r="E819" s="60">
        <v>810</v>
      </c>
      <c r="F819" s="358">
        <v>3</v>
      </c>
      <c r="G819" s="34">
        <f t="shared" si="48"/>
        <v>2430</v>
      </c>
      <c r="H819" s="34"/>
      <c r="I819" s="34"/>
      <c r="J819" s="34"/>
      <c r="K819" s="34"/>
      <c r="L819" s="34"/>
      <c r="M819" s="34"/>
      <c r="N819" s="34"/>
      <c r="O819" s="34"/>
    </row>
    <row r="820" spans="1:15" ht="93.75">
      <c r="A820" s="34">
        <v>261</v>
      </c>
      <c r="B820" s="34"/>
      <c r="C820" s="359" t="s">
        <v>1026</v>
      </c>
      <c r="D820" s="366" t="s">
        <v>40</v>
      </c>
      <c r="E820" s="60">
        <v>1404</v>
      </c>
      <c r="F820" s="358">
        <v>3</v>
      </c>
      <c r="G820" s="34">
        <f t="shared" si="48"/>
        <v>4212</v>
      </c>
      <c r="H820" s="34"/>
      <c r="I820" s="34"/>
      <c r="J820" s="34"/>
      <c r="K820" s="34"/>
      <c r="L820" s="34"/>
      <c r="M820" s="34"/>
      <c r="N820" s="34"/>
      <c r="O820" s="34"/>
    </row>
    <row r="821" spans="1:15" ht="75">
      <c r="A821" s="34">
        <v>262</v>
      </c>
      <c r="B821" s="34"/>
      <c r="C821" s="356" t="s">
        <v>1027</v>
      </c>
      <c r="D821" s="366" t="s">
        <v>40</v>
      </c>
      <c r="E821" s="60">
        <v>1080</v>
      </c>
      <c r="F821" s="358">
        <v>3</v>
      </c>
      <c r="G821" s="34">
        <f t="shared" si="48"/>
        <v>3240</v>
      </c>
      <c r="H821" s="341"/>
      <c r="I821" s="34"/>
      <c r="J821" s="34"/>
      <c r="K821" s="34"/>
      <c r="L821" s="34"/>
      <c r="M821" s="34"/>
      <c r="N821" s="34"/>
      <c r="O821" s="34"/>
    </row>
    <row r="822" spans="1:15" ht="37.5">
      <c r="A822" s="34">
        <v>263</v>
      </c>
      <c r="B822" s="34"/>
      <c r="C822" s="356" t="s">
        <v>1028</v>
      </c>
      <c r="D822" s="366" t="s">
        <v>40</v>
      </c>
      <c r="E822" s="60">
        <v>1485</v>
      </c>
      <c r="F822" s="362">
        <v>1</v>
      </c>
      <c r="G822" s="34">
        <f t="shared" si="48"/>
        <v>1485</v>
      </c>
      <c r="H822" s="34"/>
      <c r="I822" s="34"/>
      <c r="J822" s="34"/>
      <c r="K822" s="34"/>
      <c r="L822" s="34"/>
      <c r="M822" s="34"/>
      <c r="N822" s="34"/>
      <c r="O822" s="34"/>
    </row>
    <row r="823" spans="1:15" ht="56.25">
      <c r="A823" s="34">
        <v>264</v>
      </c>
      <c r="B823" s="34"/>
      <c r="C823" s="356" t="s">
        <v>1029</v>
      </c>
      <c r="D823" s="366" t="s">
        <v>40</v>
      </c>
      <c r="E823" s="60">
        <v>4141</v>
      </c>
      <c r="F823" s="358">
        <v>1</v>
      </c>
      <c r="G823" s="34">
        <f t="shared" si="48"/>
        <v>4141</v>
      </c>
      <c r="H823" s="34"/>
      <c r="I823" s="34"/>
      <c r="J823" s="34"/>
      <c r="K823" s="34"/>
      <c r="L823" s="34"/>
      <c r="M823" s="34"/>
      <c r="N823" s="34"/>
      <c r="O823" s="34"/>
    </row>
    <row r="824" spans="1:15" ht="56.25">
      <c r="A824" s="34">
        <v>265</v>
      </c>
      <c r="B824" s="34"/>
      <c r="C824" s="356" t="s">
        <v>1030</v>
      </c>
      <c r="D824" s="366" t="s">
        <v>40</v>
      </c>
      <c r="E824" s="60">
        <v>4140</v>
      </c>
      <c r="F824" s="358">
        <v>3</v>
      </c>
      <c r="G824" s="34">
        <f t="shared" si="48"/>
        <v>12420</v>
      </c>
      <c r="H824" s="34"/>
      <c r="I824" s="34"/>
      <c r="J824" s="34"/>
      <c r="K824" s="34"/>
      <c r="L824" s="34"/>
      <c r="M824" s="34"/>
      <c r="N824" s="34"/>
      <c r="O824" s="34"/>
    </row>
    <row r="825" spans="1:15" ht="75">
      <c r="A825" s="34">
        <v>266</v>
      </c>
      <c r="B825" s="34"/>
      <c r="C825" s="356" t="s">
        <v>1031</v>
      </c>
      <c r="D825" s="357" t="s">
        <v>37</v>
      </c>
      <c r="E825" s="60">
        <v>1288.22</v>
      </c>
      <c r="F825" s="362">
        <v>3</v>
      </c>
      <c r="G825" s="34">
        <f t="shared" si="48"/>
        <v>3864.66</v>
      </c>
      <c r="H825" s="341"/>
      <c r="I825" s="34"/>
      <c r="J825" s="34"/>
      <c r="K825" s="34"/>
      <c r="L825" s="34"/>
      <c r="M825" s="34"/>
      <c r="N825" s="34"/>
      <c r="O825" s="34"/>
    </row>
    <row r="826" spans="1:15" ht="37.5">
      <c r="A826" s="34">
        <v>267</v>
      </c>
      <c r="B826" s="34"/>
      <c r="C826" s="356" t="s">
        <v>1032</v>
      </c>
      <c r="D826" s="357" t="s">
        <v>37</v>
      </c>
      <c r="E826" s="60">
        <v>2077.0500000000002</v>
      </c>
      <c r="F826" s="362">
        <v>0</v>
      </c>
      <c r="G826" s="34">
        <f t="shared" si="48"/>
        <v>0</v>
      </c>
      <c r="H826" s="341"/>
      <c r="I826" s="34"/>
      <c r="J826" s="34"/>
      <c r="K826" s="34"/>
      <c r="L826" s="34"/>
      <c r="M826" s="34"/>
      <c r="N826" s="34"/>
      <c r="O826" s="34"/>
    </row>
    <row r="827" spans="1:15" ht="56.25">
      <c r="A827" s="34">
        <v>268</v>
      </c>
      <c r="B827" s="34"/>
      <c r="C827" s="356" t="s">
        <v>1033</v>
      </c>
      <c r="D827" s="366" t="s">
        <v>40</v>
      </c>
      <c r="E827" s="60">
        <v>2340</v>
      </c>
      <c r="F827" s="358">
        <v>1</v>
      </c>
      <c r="G827" s="34">
        <f t="shared" si="48"/>
        <v>2340</v>
      </c>
      <c r="H827" s="34"/>
      <c r="I827" s="34"/>
      <c r="J827" s="34"/>
      <c r="K827" s="34"/>
      <c r="L827" s="34"/>
      <c r="M827" s="34"/>
      <c r="N827" s="34"/>
      <c r="O827" s="34"/>
    </row>
    <row r="828" spans="1:15" ht="75">
      <c r="A828" s="34">
        <v>269</v>
      </c>
      <c r="B828" s="34"/>
      <c r="C828" s="356" t="s">
        <v>1034</v>
      </c>
      <c r="D828" s="366" t="s">
        <v>40</v>
      </c>
      <c r="E828" s="60">
        <v>2340</v>
      </c>
      <c r="F828" s="358">
        <v>1</v>
      </c>
      <c r="G828" s="34">
        <f t="shared" si="48"/>
        <v>2340</v>
      </c>
      <c r="H828" s="34"/>
      <c r="I828" s="34"/>
      <c r="J828" s="34"/>
      <c r="K828" s="34"/>
      <c r="L828" s="34"/>
      <c r="M828" s="34"/>
      <c r="N828" s="34"/>
      <c r="O828" s="34"/>
    </row>
    <row r="829" spans="1:15" ht="112.5">
      <c r="A829" s="34">
        <v>270</v>
      </c>
      <c r="B829" s="34"/>
      <c r="C829" s="356" t="s">
        <v>1035</v>
      </c>
      <c r="D829" s="366" t="s">
        <v>40</v>
      </c>
      <c r="E829" s="60">
        <v>2340</v>
      </c>
      <c r="F829" s="358">
        <v>1</v>
      </c>
      <c r="G829" s="34">
        <f t="shared" si="48"/>
        <v>2340</v>
      </c>
      <c r="H829" s="34"/>
      <c r="I829" s="34"/>
      <c r="J829" s="34"/>
      <c r="K829" s="34"/>
      <c r="L829" s="34"/>
      <c r="M829" s="34"/>
      <c r="N829" s="34"/>
      <c r="O829" s="34"/>
    </row>
    <row r="830" spans="1:15" ht="112.5">
      <c r="A830" s="34">
        <v>271</v>
      </c>
      <c r="B830" s="34"/>
      <c r="C830" s="359" t="s">
        <v>1036</v>
      </c>
      <c r="D830" s="366" t="s">
        <v>40</v>
      </c>
      <c r="E830" s="60">
        <v>4500</v>
      </c>
      <c r="F830" s="358">
        <v>8</v>
      </c>
      <c r="G830" s="34">
        <f t="shared" si="48"/>
        <v>36000</v>
      </c>
      <c r="H830" s="34"/>
      <c r="I830" s="34"/>
      <c r="J830" s="34"/>
      <c r="K830" s="34"/>
      <c r="L830" s="34"/>
      <c r="M830" s="34"/>
      <c r="N830" s="34"/>
      <c r="O830" s="34"/>
    </row>
    <row r="831" spans="1:15" ht="112.5">
      <c r="A831" s="34">
        <v>272</v>
      </c>
      <c r="B831" s="34"/>
      <c r="C831" s="356" t="s">
        <v>1037</v>
      </c>
      <c r="D831" s="366" t="s">
        <v>40</v>
      </c>
      <c r="E831" s="60">
        <v>2700</v>
      </c>
      <c r="F831" s="358">
        <v>1</v>
      </c>
      <c r="G831" s="34">
        <f t="shared" si="48"/>
        <v>2700</v>
      </c>
      <c r="H831" s="34"/>
      <c r="I831" s="34"/>
      <c r="J831" s="34"/>
      <c r="K831" s="34"/>
      <c r="L831" s="34"/>
      <c r="M831" s="34"/>
      <c r="N831" s="34"/>
      <c r="O831" s="34"/>
    </row>
    <row r="832" spans="1:15" ht="37.5">
      <c r="A832" s="34">
        <v>273</v>
      </c>
      <c r="B832" s="34"/>
      <c r="C832" s="359" t="s">
        <v>1038</v>
      </c>
      <c r="D832" s="366" t="s">
        <v>40</v>
      </c>
      <c r="E832" s="60">
        <v>5940</v>
      </c>
      <c r="F832" s="358">
        <v>6</v>
      </c>
      <c r="G832" s="34">
        <f t="shared" si="48"/>
        <v>35640</v>
      </c>
      <c r="H832" s="34"/>
      <c r="I832" s="34"/>
      <c r="J832" s="34"/>
      <c r="K832" s="34"/>
      <c r="L832" s="34"/>
      <c r="M832" s="34"/>
      <c r="N832" s="34"/>
      <c r="O832" s="34"/>
    </row>
    <row r="833" spans="1:15" ht="37.5">
      <c r="A833" s="34">
        <v>274</v>
      </c>
      <c r="B833" s="34"/>
      <c r="C833" s="356" t="s">
        <v>1039</v>
      </c>
      <c r="D833" s="366" t="s">
        <v>40</v>
      </c>
      <c r="E833" s="60">
        <v>5940</v>
      </c>
      <c r="F833" s="358">
        <v>6</v>
      </c>
      <c r="G833" s="34">
        <f t="shared" si="48"/>
        <v>35640</v>
      </c>
      <c r="H833" s="34"/>
      <c r="I833" s="34"/>
      <c r="J833" s="34"/>
      <c r="K833" s="34"/>
      <c r="L833" s="34"/>
      <c r="M833" s="34"/>
      <c r="N833" s="34"/>
      <c r="O833" s="34"/>
    </row>
    <row r="834" spans="1:15" ht="56.25">
      <c r="A834" s="34">
        <v>275</v>
      </c>
      <c r="B834" s="34"/>
      <c r="C834" s="359" t="s">
        <v>1040</v>
      </c>
      <c r="D834" s="366" t="s">
        <v>40</v>
      </c>
      <c r="E834" s="60">
        <v>6300</v>
      </c>
      <c r="F834" s="358">
        <v>3</v>
      </c>
      <c r="G834" s="34">
        <f t="shared" si="48"/>
        <v>18900</v>
      </c>
      <c r="H834" s="34"/>
      <c r="I834" s="34"/>
      <c r="J834" s="34"/>
      <c r="K834" s="34"/>
      <c r="L834" s="34"/>
      <c r="M834" s="34"/>
      <c r="N834" s="34"/>
      <c r="O834" s="34"/>
    </row>
    <row r="835" spans="1:15" ht="56.25">
      <c r="A835" s="34">
        <v>276</v>
      </c>
      <c r="B835" s="34"/>
      <c r="C835" s="359" t="s">
        <v>1041</v>
      </c>
      <c r="D835" s="366" t="s">
        <v>40</v>
      </c>
      <c r="E835" s="60">
        <v>17640</v>
      </c>
      <c r="F835" s="358">
        <v>3</v>
      </c>
      <c r="G835" s="34">
        <f t="shared" si="48"/>
        <v>52920</v>
      </c>
      <c r="H835" s="34"/>
      <c r="I835" s="34"/>
      <c r="J835" s="34"/>
      <c r="K835" s="34"/>
      <c r="L835" s="34"/>
      <c r="M835" s="34"/>
      <c r="N835" s="34"/>
      <c r="O835" s="34"/>
    </row>
    <row r="836" spans="1:15" ht="75">
      <c r="A836" s="34">
        <v>277</v>
      </c>
      <c r="B836" s="34"/>
      <c r="C836" s="356" t="s">
        <v>1042</v>
      </c>
      <c r="D836" s="366" t="s">
        <v>40</v>
      </c>
      <c r="E836" s="60">
        <v>17640</v>
      </c>
      <c r="F836" s="358">
        <v>3</v>
      </c>
      <c r="G836" s="34">
        <f t="shared" si="48"/>
        <v>52920</v>
      </c>
      <c r="H836" s="34"/>
      <c r="I836" s="34"/>
      <c r="J836" s="34"/>
      <c r="K836" s="34"/>
      <c r="L836" s="34"/>
      <c r="M836" s="34"/>
      <c r="N836" s="34"/>
      <c r="O836" s="34"/>
    </row>
    <row r="837" spans="1:15" ht="56.25">
      <c r="A837" s="34">
        <v>278</v>
      </c>
      <c r="B837" s="34"/>
      <c r="C837" s="356" t="s">
        <v>1043</v>
      </c>
      <c r="D837" s="365" t="s">
        <v>40</v>
      </c>
      <c r="E837" s="60">
        <v>1561</v>
      </c>
      <c r="F837" s="358">
        <v>6</v>
      </c>
      <c r="G837" s="34">
        <f t="shared" si="48"/>
        <v>9366</v>
      </c>
      <c r="H837" s="34"/>
      <c r="I837" s="34"/>
      <c r="J837" s="34"/>
      <c r="K837" s="34"/>
      <c r="L837" s="34"/>
      <c r="M837" s="34"/>
      <c r="N837" s="34"/>
      <c r="O837" s="34"/>
    </row>
    <row r="838" spans="1:15" ht="56.25">
      <c r="A838" s="34">
        <v>279</v>
      </c>
      <c r="B838" s="34"/>
      <c r="C838" s="356" t="s">
        <v>1044</v>
      </c>
      <c r="D838" s="365" t="s">
        <v>40</v>
      </c>
      <c r="E838" s="60">
        <v>4676</v>
      </c>
      <c r="F838" s="358">
        <v>5</v>
      </c>
      <c r="G838" s="34">
        <f t="shared" si="48"/>
        <v>23380</v>
      </c>
      <c r="H838" s="34"/>
      <c r="I838" s="34"/>
      <c r="J838" s="34"/>
      <c r="K838" s="34"/>
      <c r="L838" s="34"/>
      <c r="M838" s="34"/>
      <c r="N838" s="34"/>
      <c r="O838" s="34"/>
    </row>
    <row r="839" spans="1:15" ht="75">
      <c r="A839" s="34">
        <v>280</v>
      </c>
      <c r="B839" s="34"/>
      <c r="C839" s="356" t="s">
        <v>1045</v>
      </c>
      <c r="D839" s="365" t="s">
        <v>40</v>
      </c>
      <c r="E839" s="60">
        <v>15000</v>
      </c>
      <c r="F839" s="358">
        <v>3</v>
      </c>
      <c r="G839" s="34">
        <f t="shared" si="48"/>
        <v>45000</v>
      </c>
      <c r="H839" s="34"/>
      <c r="I839" s="34"/>
      <c r="J839" s="34"/>
      <c r="K839" s="34"/>
      <c r="L839" s="34"/>
      <c r="M839" s="34"/>
      <c r="N839" s="34"/>
      <c r="O839" s="34"/>
    </row>
    <row r="840" spans="1:15" ht="93.75">
      <c r="A840" s="34">
        <v>281</v>
      </c>
      <c r="B840" s="34"/>
      <c r="C840" s="356" t="s">
        <v>1046</v>
      </c>
      <c r="D840" s="365" t="s">
        <v>40</v>
      </c>
      <c r="E840" s="60">
        <v>2820.4</v>
      </c>
      <c r="F840" s="358">
        <v>3</v>
      </c>
      <c r="G840" s="34">
        <f t="shared" si="48"/>
        <v>8461.2000000000007</v>
      </c>
      <c r="H840" s="34"/>
      <c r="I840" s="34"/>
      <c r="J840" s="34"/>
      <c r="K840" s="34"/>
      <c r="L840" s="34"/>
      <c r="M840" s="34"/>
      <c r="N840" s="34"/>
      <c r="O840" s="34"/>
    </row>
    <row r="841" spans="1:15" ht="75">
      <c r="A841" s="34">
        <v>282</v>
      </c>
      <c r="B841" s="34"/>
      <c r="C841" s="364" t="s">
        <v>1047</v>
      </c>
      <c r="D841" s="368" t="s">
        <v>1048</v>
      </c>
      <c r="E841" s="60">
        <v>111911</v>
      </c>
      <c r="F841" s="358">
        <v>1</v>
      </c>
      <c r="G841" s="34">
        <f t="shared" si="48"/>
        <v>111911</v>
      </c>
      <c r="H841" s="34"/>
      <c r="I841" s="34"/>
      <c r="J841" s="34"/>
      <c r="K841" s="34"/>
      <c r="L841" s="34"/>
      <c r="M841" s="34"/>
      <c r="N841" s="34"/>
      <c r="O841" s="34"/>
    </row>
    <row r="842" spans="1:15" ht="78.75">
      <c r="A842" s="34">
        <v>283</v>
      </c>
      <c r="B842" s="34"/>
      <c r="C842" s="369" t="s">
        <v>1049</v>
      </c>
      <c r="D842" s="370" t="s">
        <v>40</v>
      </c>
      <c r="E842" s="60">
        <v>2454.4</v>
      </c>
      <c r="F842" s="358">
        <v>4</v>
      </c>
      <c r="G842" s="34">
        <f t="shared" si="48"/>
        <v>9817.6</v>
      </c>
      <c r="H842" s="34"/>
      <c r="I842" s="34"/>
      <c r="J842" s="34"/>
      <c r="K842" s="34"/>
      <c r="L842" s="34"/>
      <c r="M842" s="34"/>
      <c r="N842" s="34"/>
      <c r="O842" s="34"/>
    </row>
    <row r="843" spans="1:15" ht="37.5">
      <c r="A843" s="34">
        <v>284</v>
      </c>
      <c r="B843" s="34"/>
      <c r="C843" s="364" t="s">
        <v>1050</v>
      </c>
      <c r="D843" s="371" t="s">
        <v>37</v>
      </c>
      <c r="E843" s="60">
        <v>1310</v>
      </c>
      <c r="F843" s="358">
        <v>5</v>
      </c>
      <c r="G843" s="34">
        <f t="shared" si="48"/>
        <v>6550</v>
      </c>
      <c r="H843" s="34"/>
      <c r="I843" s="34"/>
      <c r="J843" s="34"/>
      <c r="K843" s="34"/>
      <c r="L843" s="34"/>
      <c r="M843" s="34"/>
      <c r="N843" s="34"/>
      <c r="O843" s="34"/>
    </row>
    <row r="844" spans="1:15" ht="56.25">
      <c r="A844" s="34">
        <v>285</v>
      </c>
      <c r="B844" s="34"/>
      <c r="C844" s="364" t="s">
        <v>1051</v>
      </c>
      <c r="D844" s="371" t="s">
        <v>266</v>
      </c>
      <c r="E844" s="60">
        <v>1713</v>
      </c>
      <c r="F844" s="358">
        <v>16</v>
      </c>
      <c r="G844" s="34">
        <f t="shared" si="48"/>
        <v>27408</v>
      </c>
      <c r="H844" s="34"/>
      <c r="I844" s="34"/>
      <c r="J844" s="34"/>
      <c r="K844" s="34"/>
      <c r="L844" s="34"/>
      <c r="M844" s="34"/>
      <c r="N844" s="34"/>
      <c r="O844" s="34"/>
    </row>
    <row r="845" spans="1:15" ht="18.75">
      <c r="A845" s="34">
        <v>286</v>
      </c>
      <c r="B845" s="34"/>
      <c r="C845" s="364" t="s">
        <v>1052</v>
      </c>
      <c r="D845" s="371" t="s">
        <v>40</v>
      </c>
      <c r="E845" s="60">
        <v>9110</v>
      </c>
      <c r="F845" s="358">
        <v>1</v>
      </c>
      <c r="G845" s="34">
        <f t="shared" si="48"/>
        <v>9110</v>
      </c>
      <c r="H845" s="34"/>
      <c r="I845" s="34"/>
      <c r="J845" s="34"/>
      <c r="K845" s="34"/>
      <c r="L845" s="34"/>
      <c r="M845" s="34"/>
      <c r="N845" s="34"/>
      <c r="O845" s="34"/>
    </row>
    <row r="846" spans="1:15" ht="150">
      <c r="A846" s="34">
        <v>287</v>
      </c>
      <c r="B846" s="34"/>
      <c r="C846" s="364" t="s">
        <v>1053</v>
      </c>
      <c r="D846" s="368" t="s">
        <v>40</v>
      </c>
      <c r="E846" s="349">
        <v>13563.3</v>
      </c>
      <c r="F846" s="358">
        <v>4</v>
      </c>
      <c r="G846" s="34">
        <f t="shared" si="48"/>
        <v>54253.2</v>
      </c>
      <c r="H846" s="34"/>
      <c r="I846" s="34"/>
      <c r="J846" s="34"/>
      <c r="K846" s="34"/>
      <c r="L846" s="34"/>
      <c r="M846" s="34"/>
      <c r="N846" s="34"/>
      <c r="O846" s="34"/>
    </row>
    <row r="847" spans="1:15" ht="93.75">
      <c r="A847" s="34">
        <v>288</v>
      </c>
      <c r="B847" s="34"/>
      <c r="C847" s="364" t="s">
        <v>1054</v>
      </c>
      <c r="D847" s="368" t="s">
        <v>40</v>
      </c>
      <c r="E847" s="60">
        <v>14528</v>
      </c>
      <c r="F847" s="358">
        <v>4</v>
      </c>
      <c r="G847" s="34">
        <f t="shared" si="48"/>
        <v>58112</v>
      </c>
      <c r="H847" s="34"/>
      <c r="I847" s="34"/>
      <c r="J847" s="34"/>
      <c r="K847" s="34"/>
      <c r="L847" s="34"/>
      <c r="M847" s="34"/>
      <c r="N847" s="34"/>
      <c r="O847" s="34"/>
    </row>
    <row r="848" spans="1:15" ht="37.5">
      <c r="A848" s="34">
        <v>290</v>
      </c>
      <c r="B848" s="34"/>
      <c r="C848" s="364" t="s">
        <v>1055</v>
      </c>
      <c r="D848" s="368" t="s">
        <v>1056</v>
      </c>
      <c r="E848" s="60">
        <v>1472.75</v>
      </c>
      <c r="F848" s="362">
        <v>2</v>
      </c>
      <c r="G848" s="34">
        <f t="shared" si="48"/>
        <v>2945.5</v>
      </c>
      <c r="H848" s="34"/>
      <c r="I848" s="34"/>
      <c r="J848" s="34"/>
      <c r="K848" s="34"/>
      <c r="L848" s="34"/>
      <c r="M848" s="34"/>
      <c r="N848" s="34"/>
      <c r="O848" s="34"/>
    </row>
    <row r="849" spans="1:15" ht="18.75">
      <c r="A849" s="34">
        <v>291</v>
      </c>
      <c r="B849" s="34"/>
      <c r="C849" s="364" t="s">
        <v>1057</v>
      </c>
      <c r="D849" s="368" t="s">
        <v>788</v>
      </c>
      <c r="E849" s="60">
        <v>13196.81</v>
      </c>
      <c r="F849" s="362">
        <v>6</v>
      </c>
      <c r="G849" s="34">
        <f t="shared" si="48"/>
        <v>79180.86</v>
      </c>
      <c r="H849" s="34"/>
      <c r="I849" s="34"/>
      <c r="J849" s="34"/>
      <c r="K849" s="34"/>
      <c r="L849" s="34"/>
      <c r="M849" s="34"/>
      <c r="N849" s="34"/>
      <c r="O849" s="34"/>
    </row>
    <row r="850" spans="1:15" ht="18.75">
      <c r="A850" s="34">
        <v>292</v>
      </c>
      <c r="B850" s="34"/>
      <c r="C850" s="364" t="s">
        <v>1058</v>
      </c>
      <c r="D850" s="368" t="s">
        <v>788</v>
      </c>
      <c r="E850" s="60">
        <v>1473.64</v>
      </c>
      <c r="F850" s="362">
        <v>2</v>
      </c>
      <c r="G850" s="34">
        <f t="shared" si="48"/>
        <v>2947.28</v>
      </c>
      <c r="H850" s="34"/>
      <c r="I850" s="34"/>
      <c r="J850" s="34"/>
      <c r="K850" s="34"/>
      <c r="L850" s="34"/>
      <c r="M850" s="34"/>
      <c r="N850" s="34"/>
      <c r="O850" s="34"/>
    </row>
    <row r="851" spans="1:15" ht="15.75">
      <c r="A851" s="34">
        <v>293</v>
      </c>
      <c r="B851" s="34"/>
      <c r="C851" s="369" t="s">
        <v>1059</v>
      </c>
      <c r="D851" s="372" t="s">
        <v>40</v>
      </c>
      <c r="E851" s="60">
        <v>1961</v>
      </c>
      <c r="F851" s="373">
        <v>0</v>
      </c>
      <c r="G851" s="34">
        <f t="shared" si="48"/>
        <v>0</v>
      </c>
      <c r="H851" s="341"/>
      <c r="I851" s="34"/>
      <c r="J851" s="34"/>
      <c r="K851" s="34"/>
      <c r="L851" s="34"/>
      <c r="M851" s="34"/>
      <c r="N851" s="34"/>
      <c r="O851" s="34"/>
    </row>
    <row r="852" spans="1:15">
      <c r="A852" s="34">
        <v>294</v>
      </c>
      <c r="B852" s="34"/>
      <c r="C852" s="374" t="s">
        <v>1060</v>
      </c>
      <c r="D852" s="372" t="s">
        <v>40</v>
      </c>
      <c r="E852" s="60">
        <v>4066.25</v>
      </c>
      <c r="F852" s="373">
        <v>4</v>
      </c>
      <c r="G852" s="34">
        <f t="shared" si="48"/>
        <v>16265</v>
      </c>
      <c r="H852" s="34"/>
      <c r="I852" s="34"/>
      <c r="J852" s="34"/>
      <c r="K852" s="34"/>
      <c r="L852" s="34"/>
      <c r="M852" s="34"/>
      <c r="N852" s="34"/>
      <c r="O852" s="34"/>
    </row>
    <row r="853" spans="1:15" ht="60">
      <c r="A853" s="34">
        <v>296</v>
      </c>
      <c r="B853" s="34"/>
      <c r="C853" s="375" t="s">
        <v>1061</v>
      </c>
      <c r="D853" s="372" t="s">
        <v>40</v>
      </c>
      <c r="E853" s="60">
        <v>3877.48</v>
      </c>
      <c r="F853" s="373">
        <v>2</v>
      </c>
      <c r="G853" s="341">
        <f t="shared" si="48"/>
        <v>7754.96</v>
      </c>
      <c r="H853" s="341"/>
      <c r="I853" s="34"/>
      <c r="J853" s="34"/>
      <c r="K853" s="34"/>
      <c r="L853" s="34"/>
      <c r="M853" s="34"/>
      <c r="N853" s="34"/>
      <c r="O853" s="34"/>
    </row>
    <row r="854" spans="1:15" ht="60">
      <c r="A854" s="34">
        <v>297</v>
      </c>
      <c r="B854" s="34"/>
      <c r="C854" s="10" t="s">
        <v>1062</v>
      </c>
      <c r="D854" s="372" t="s">
        <v>40</v>
      </c>
      <c r="E854" s="60">
        <v>1958.7</v>
      </c>
      <c r="F854" s="373">
        <v>1</v>
      </c>
      <c r="G854" s="34">
        <f t="shared" si="48"/>
        <v>1958.7</v>
      </c>
      <c r="H854" s="341"/>
      <c r="I854" s="34"/>
      <c r="J854" s="34"/>
      <c r="K854" s="34"/>
      <c r="L854" s="34"/>
      <c r="M854" s="34"/>
      <c r="N854" s="34"/>
      <c r="O854" s="34"/>
    </row>
    <row r="855" spans="1:15" ht="60">
      <c r="A855" s="34">
        <v>298</v>
      </c>
      <c r="B855" s="34"/>
      <c r="C855" s="10" t="s">
        <v>1063</v>
      </c>
      <c r="D855" s="372" t="s">
        <v>40</v>
      </c>
      <c r="E855" s="60">
        <v>15937.2</v>
      </c>
      <c r="F855" s="373">
        <v>2</v>
      </c>
      <c r="G855" s="34">
        <f t="shared" si="48"/>
        <v>31874.400000000001</v>
      </c>
      <c r="H855" s="341"/>
      <c r="I855" s="34"/>
      <c r="J855" s="34"/>
      <c r="K855" s="34"/>
      <c r="L855" s="34"/>
      <c r="M855" s="34"/>
      <c r="N855" s="34"/>
      <c r="O855" s="34"/>
    </row>
    <row r="856" spans="1:15" ht="45">
      <c r="A856" s="34">
        <v>299</v>
      </c>
      <c r="B856" s="34"/>
      <c r="C856" s="10" t="s">
        <v>1064</v>
      </c>
      <c r="D856" s="372" t="s">
        <v>40</v>
      </c>
      <c r="E856" s="60">
        <v>3086</v>
      </c>
      <c r="F856" s="373">
        <v>3</v>
      </c>
      <c r="G856" s="34">
        <f t="shared" si="48"/>
        <v>9258</v>
      </c>
      <c r="H856" s="341"/>
      <c r="I856" s="34"/>
      <c r="J856" s="34"/>
      <c r="K856" s="34"/>
      <c r="L856" s="34"/>
      <c r="M856" s="34"/>
      <c r="N856" s="34"/>
      <c r="O856" s="34"/>
    </row>
    <row r="857" spans="1:15" ht="60">
      <c r="A857" s="34">
        <v>300</v>
      </c>
      <c r="B857" s="34"/>
      <c r="C857" s="10" t="s">
        <v>1065</v>
      </c>
      <c r="D857" s="372" t="s">
        <v>40</v>
      </c>
      <c r="E857" s="60">
        <v>14726.4</v>
      </c>
      <c r="F857" s="373">
        <v>2</v>
      </c>
      <c r="G857" s="34">
        <f t="shared" si="48"/>
        <v>29452.799999999999</v>
      </c>
      <c r="H857" s="341"/>
      <c r="I857" s="34"/>
      <c r="J857" s="34"/>
      <c r="K857" s="34"/>
      <c r="L857" s="34"/>
      <c r="M857" s="34"/>
      <c r="N857" s="34"/>
      <c r="O857" s="34"/>
    </row>
    <row r="858" spans="1:15">
      <c r="A858" s="34">
        <v>301</v>
      </c>
      <c r="B858" s="34"/>
      <c r="C858" s="34" t="s">
        <v>1066</v>
      </c>
      <c r="D858" s="372" t="s">
        <v>40</v>
      </c>
      <c r="E858" s="60">
        <v>1961.2</v>
      </c>
      <c r="F858" s="373">
        <v>1</v>
      </c>
      <c r="G858" s="34">
        <f t="shared" si="48"/>
        <v>1961.2</v>
      </c>
      <c r="H858" s="341"/>
      <c r="I858" s="34"/>
      <c r="J858" s="34"/>
      <c r="K858" s="34"/>
      <c r="L858" s="34"/>
      <c r="M858" s="34"/>
      <c r="N858" s="34"/>
      <c r="O858" s="34"/>
    </row>
    <row r="859" spans="1:15" ht="63">
      <c r="A859" s="34">
        <v>302</v>
      </c>
      <c r="B859" s="34"/>
      <c r="C859" s="376" t="s">
        <v>1067</v>
      </c>
      <c r="D859" s="377" t="s">
        <v>40</v>
      </c>
      <c r="E859" s="378">
        <v>3646.05</v>
      </c>
      <c r="F859" s="379">
        <v>5</v>
      </c>
      <c r="G859" s="34">
        <f t="shared" si="48"/>
        <v>18230.25</v>
      </c>
      <c r="H859" s="341"/>
      <c r="I859" s="34"/>
      <c r="J859" s="34"/>
      <c r="K859" s="34"/>
      <c r="L859" s="34"/>
      <c r="M859" s="34"/>
      <c r="N859" s="34"/>
      <c r="O859" s="34"/>
    </row>
    <row r="860" spans="1:15" ht="63">
      <c r="A860" s="34">
        <v>303</v>
      </c>
      <c r="B860" s="34"/>
      <c r="C860" s="376" t="s">
        <v>1068</v>
      </c>
      <c r="D860" s="377" t="s">
        <v>40</v>
      </c>
      <c r="E860" s="378">
        <v>1569.6</v>
      </c>
      <c r="F860" s="379">
        <v>4</v>
      </c>
      <c r="G860" s="341">
        <f t="shared" si="48"/>
        <v>6278.4</v>
      </c>
      <c r="H860" s="341"/>
      <c r="I860" s="34"/>
      <c r="J860" s="34"/>
      <c r="K860" s="34"/>
      <c r="L860" s="34"/>
      <c r="M860" s="34"/>
      <c r="N860" s="34"/>
      <c r="O860" s="34"/>
    </row>
    <row r="861" spans="1:15" ht="63">
      <c r="A861" s="34">
        <v>304</v>
      </c>
      <c r="B861" s="34"/>
      <c r="C861" s="376" t="s">
        <v>1069</v>
      </c>
      <c r="D861" s="377" t="s">
        <v>40</v>
      </c>
      <c r="E861" s="378">
        <v>3646.05</v>
      </c>
      <c r="F861" s="379">
        <v>5</v>
      </c>
      <c r="G861" s="34">
        <f t="shared" si="48"/>
        <v>18230.25</v>
      </c>
      <c r="H861" s="341"/>
      <c r="I861" s="34"/>
      <c r="J861" s="34"/>
      <c r="K861" s="34"/>
      <c r="L861" s="34"/>
      <c r="M861" s="34"/>
      <c r="N861" s="34"/>
      <c r="O861" s="34"/>
    </row>
    <row r="862" spans="1:15" ht="78.75">
      <c r="A862" s="34">
        <v>305</v>
      </c>
      <c r="B862" s="34"/>
      <c r="C862" s="380" t="s">
        <v>1070</v>
      </c>
      <c r="D862" s="377" t="s">
        <v>40</v>
      </c>
      <c r="E862" s="378">
        <v>3646.05</v>
      </c>
      <c r="F862" s="381">
        <v>5</v>
      </c>
      <c r="G862" s="34">
        <f t="shared" si="48"/>
        <v>18230.25</v>
      </c>
      <c r="H862" s="341"/>
      <c r="I862" s="34"/>
      <c r="J862" s="34"/>
      <c r="K862" s="34"/>
      <c r="L862" s="34"/>
      <c r="M862" s="34"/>
      <c r="N862" s="34"/>
      <c r="O862" s="34"/>
    </row>
    <row r="863" spans="1:15" ht="94.5">
      <c r="A863" s="34">
        <v>306</v>
      </c>
      <c r="B863" s="34"/>
      <c r="C863" s="376" t="s">
        <v>1071</v>
      </c>
      <c r="D863" s="377" t="s">
        <v>40</v>
      </c>
      <c r="E863" s="378">
        <v>1569.6</v>
      </c>
      <c r="F863" s="381">
        <v>5</v>
      </c>
      <c r="G863" s="34">
        <f t="shared" si="48"/>
        <v>7848</v>
      </c>
      <c r="H863" s="341"/>
      <c r="I863" s="34"/>
      <c r="J863" s="34"/>
      <c r="K863" s="34"/>
      <c r="L863" s="34"/>
      <c r="M863" s="34"/>
      <c r="N863" s="34"/>
      <c r="O863" s="34"/>
    </row>
    <row r="864" spans="1:15" ht="94.5">
      <c r="A864" s="34">
        <v>307</v>
      </c>
      <c r="B864" s="34"/>
      <c r="C864" s="376" t="s">
        <v>1072</v>
      </c>
      <c r="D864" s="377" t="s">
        <v>40</v>
      </c>
      <c r="E864" s="378">
        <v>3646.05</v>
      </c>
      <c r="F864" s="379">
        <v>4</v>
      </c>
      <c r="G864" s="34">
        <f t="shared" si="48"/>
        <v>14584.2</v>
      </c>
      <c r="H864" s="341"/>
      <c r="I864" s="34"/>
      <c r="J864" s="34"/>
      <c r="K864" s="34"/>
      <c r="L864" s="34"/>
      <c r="M864" s="34"/>
      <c r="N864" s="34"/>
      <c r="O864" s="34"/>
    </row>
    <row r="865" spans="1:15" ht="63">
      <c r="A865" s="34">
        <v>308</v>
      </c>
      <c r="B865" s="34"/>
      <c r="C865" s="376" t="s">
        <v>1073</v>
      </c>
      <c r="D865" s="377" t="s">
        <v>40</v>
      </c>
      <c r="E865" s="378">
        <v>20000</v>
      </c>
      <c r="F865" s="379">
        <v>1</v>
      </c>
      <c r="G865" s="34">
        <f t="shared" si="48"/>
        <v>20000</v>
      </c>
      <c r="H865" s="341"/>
      <c r="I865" s="34"/>
      <c r="J865" s="34"/>
      <c r="K865" s="34"/>
      <c r="L865" s="34"/>
      <c r="M865" s="34"/>
      <c r="N865" s="34"/>
      <c r="O865" s="34"/>
    </row>
    <row r="866" spans="1:15">
      <c r="A866" s="34">
        <v>309</v>
      </c>
      <c r="B866" s="34"/>
      <c r="C866" s="382" t="s">
        <v>1074</v>
      </c>
      <c r="D866" s="377" t="s">
        <v>40</v>
      </c>
      <c r="E866" s="60">
        <v>587.64</v>
      </c>
      <c r="F866" s="381">
        <v>0</v>
      </c>
      <c r="G866" s="34">
        <f t="shared" si="48"/>
        <v>0</v>
      </c>
      <c r="H866" s="341"/>
      <c r="I866" s="34"/>
      <c r="J866" s="34"/>
      <c r="K866" s="34"/>
      <c r="L866" s="34"/>
      <c r="M866" s="34"/>
      <c r="N866" s="34"/>
      <c r="O866" s="34"/>
    </row>
    <row r="867" spans="1:15" ht="60">
      <c r="A867" s="34">
        <v>310</v>
      </c>
      <c r="B867" s="34"/>
      <c r="C867" s="10" t="s">
        <v>1075</v>
      </c>
      <c r="D867" s="377" t="s">
        <v>40</v>
      </c>
      <c r="E867" s="60">
        <v>406392</v>
      </c>
      <c r="F867" s="349">
        <v>1</v>
      </c>
      <c r="G867" s="34">
        <f t="shared" si="48"/>
        <v>406392</v>
      </c>
      <c r="H867" s="341"/>
      <c r="I867" s="34"/>
      <c r="J867" s="34"/>
      <c r="K867" s="34"/>
      <c r="L867" s="34"/>
      <c r="M867" s="34"/>
      <c r="N867" s="34"/>
      <c r="O867" s="34"/>
    </row>
    <row r="868" spans="1:15">
      <c r="A868" s="34">
        <v>311</v>
      </c>
      <c r="B868" s="34"/>
      <c r="C868" s="10" t="s">
        <v>1076</v>
      </c>
      <c r="D868" s="377" t="s">
        <v>40</v>
      </c>
      <c r="E868" s="60">
        <v>57997</v>
      </c>
      <c r="F868" s="349">
        <v>1</v>
      </c>
      <c r="G868" s="341">
        <f t="shared" si="48"/>
        <v>57997</v>
      </c>
      <c r="H868" s="341"/>
      <c r="I868" s="34"/>
      <c r="J868" s="34"/>
      <c r="K868" s="34"/>
      <c r="L868" s="34"/>
      <c r="M868" s="34"/>
      <c r="N868" s="34"/>
      <c r="O868" s="34"/>
    </row>
    <row r="869" spans="1:15">
      <c r="A869" s="34">
        <v>312</v>
      </c>
      <c r="B869" s="34"/>
      <c r="C869" s="10" t="s">
        <v>1077</v>
      </c>
      <c r="D869" s="377" t="s">
        <v>40</v>
      </c>
      <c r="E869" s="60">
        <v>2944.1</v>
      </c>
      <c r="F869" s="349">
        <v>1</v>
      </c>
      <c r="G869" s="34">
        <f t="shared" si="48"/>
        <v>2944.1</v>
      </c>
      <c r="H869" s="341"/>
      <c r="I869" s="34"/>
      <c r="J869" s="34"/>
      <c r="K869" s="34"/>
      <c r="L869" s="34"/>
      <c r="M869" s="34"/>
      <c r="N869" s="34"/>
      <c r="O869" s="34"/>
    </row>
    <row r="870" spans="1:15" ht="30">
      <c r="A870" s="34">
        <v>313</v>
      </c>
      <c r="B870" s="34"/>
      <c r="C870" s="10" t="s">
        <v>1078</v>
      </c>
      <c r="D870" s="377" t="s">
        <v>40</v>
      </c>
      <c r="E870" s="60">
        <v>25000</v>
      </c>
      <c r="F870" s="349">
        <v>2</v>
      </c>
      <c r="G870" s="34">
        <f t="shared" si="48"/>
        <v>50000</v>
      </c>
      <c r="H870" s="341"/>
      <c r="I870" s="34"/>
      <c r="J870" s="34"/>
      <c r="K870" s="34"/>
      <c r="L870" s="34"/>
      <c r="M870" s="34"/>
      <c r="N870" s="34"/>
      <c r="O870" s="34"/>
    </row>
    <row r="871" spans="1:15" ht="30">
      <c r="A871" s="34">
        <v>314</v>
      </c>
      <c r="B871" s="34"/>
      <c r="C871" s="10" t="s">
        <v>1079</v>
      </c>
      <c r="D871" s="377" t="s">
        <v>40</v>
      </c>
      <c r="E871" s="60">
        <v>1958.8</v>
      </c>
      <c r="F871" s="349">
        <v>1</v>
      </c>
      <c r="G871" s="341">
        <f t="shared" si="48"/>
        <v>1958.8</v>
      </c>
      <c r="H871" s="341"/>
      <c r="I871" s="34"/>
      <c r="J871" s="34"/>
      <c r="K871" s="34"/>
      <c r="L871" s="34"/>
      <c r="M871" s="34"/>
      <c r="N871" s="34"/>
      <c r="O871" s="34"/>
    </row>
    <row r="872" spans="1:15" ht="30">
      <c r="A872" s="34">
        <v>316</v>
      </c>
      <c r="B872" s="34"/>
      <c r="C872" s="10" t="s">
        <v>1080</v>
      </c>
      <c r="D872" s="383" t="s">
        <v>37</v>
      </c>
      <c r="E872" s="60">
        <v>5894.1</v>
      </c>
      <c r="F872" s="60">
        <v>4</v>
      </c>
      <c r="G872" s="34">
        <f t="shared" si="48"/>
        <v>23576.400000000001</v>
      </c>
      <c r="H872" s="341"/>
      <c r="I872" s="34"/>
      <c r="J872" s="34"/>
      <c r="K872" s="34"/>
      <c r="L872" s="34"/>
      <c r="M872" s="34"/>
      <c r="N872" s="34"/>
      <c r="O872" s="34"/>
    </row>
    <row r="873" spans="1:15" ht="30">
      <c r="A873" s="34">
        <v>317</v>
      </c>
      <c r="B873" s="34"/>
      <c r="C873" s="10" t="s">
        <v>1081</v>
      </c>
      <c r="D873" s="383" t="s">
        <v>195</v>
      </c>
      <c r="E873" s="72">
        <v>8.26</v>
      </c>
      <c r="F873" s="72">
        <v>0</v>
      </c>
      <c r="G873" s="34">
        <f t="shared" si="48"/>
        <v>0</v>
      </c>
      <c r="H873" s="384"/>
      <c r="I873" s="34"/>
      <c r="J873" s="34"/>
      <c r="K873" s="34"/>
      <c r="L873" s="34"/>
      <c r="M873" s="34"/>
      <c r="N873" s="34"/>
      <c r="O873" s="34"/>
    </row>
    <row r="874" spans="1:15" ht="30">
      <c r="A874" s="34">
        <v>318</v>
      </c>
      <c r="B874" s="34"/>
      <c r="C874" s="10" t="s">
        <v>1082</v>
      </c>
      <c r="D874" s="383" t="s">
        <v>37</v>
      </c>
      <c r="E874" s="72">
        <v>66</v>
      </c>
      <c r="F874" s="72">
        <v>54</v>
      </c>
      <c r="G874" s="34">
        <f t="shared" si="48"/>
        <v>3564</v>
      </c>
      <c r="H874" s="341"/>
      <c r="I874" s="34"/>
      <c r="J874" s="34"/>
      <c r="K874" s="34"/>
      <c r="L874" s="34"/>
      <c r="M874" s="34"/>
      <c r="N874" s="34"/>
      <c r="O874" s="34"/>
    </row>
    <row r="875" spans="1:15" ht="45">
      <c r="A875" s="34">
        <v>319</v>
      </c>
      <c r="B875" s="34"/>
      <c r="C875" s="10" t="s">
        <v>1083</v>
      </c>
      <c r="D875" s="383" t="s">
        <v>1084</v>
      </c>
      <c r="E875" s="72">
        <v>19.559999999999999</v>
      </c>
      <c r="F875" s="72">
        <v>0</v>
      </c>
      <c r="G875" s="34">
        <f t="shared" si="48"/>
        <v>0</v>
      </c>
      <c r="H875" s="341"/>
      <c r="I875" s="34"/>
      <c r="J875" s="34"/>
      <c r="K875" s="34"/>
      <c r="L875" s="34"/>
      <c r="M875" s="34"/>
      <c r="N875" s="34"/>
      <c r="O875" s="34"/>
    </row>
    <row r="876" spans="1:15" ht="30">
      <c r="A876" s="34">
        <v>320</v>
      </c>
      <c r="B876" s="34"/>
      <c r="C876" s="10" t="s">
        <v>1085</v>
      </c>
      <c r="D876" s="383" t="s">
        <v>1086</v>
      </c>
      <c r="E876" s="72">
        <v>363</v>
      </c>
      <c r="F876" s="72">
        <v>6</v>
      </c>
      <c r="G876" s="34">
        <f t="shared" si="48"/>
        <v>2178</v>
      </c>
      <c r="H876" s="341"/>
      <c r="I876" s="34"/>
      <c r="J876" s="34"/>
      <c r="K876" s="34"/>
      <c r="L876" s="34"/>
      <c r="M876" s="34"/>
      <c r="N876" s="34"/>
      <c r="O876" s="34"/>
    </row>
    <row r="877" spans="1:15" ht="30">
      <c r="A877" s="34">
        <v>321</v>
      </c>
      <c r="B877" s="34"/>
      <c r="C877" s="10" t="s">
        <v>1087</v>
      </c>
      <c r="D877" s="383" t="s">
        <v>195</v>
      </c>
      <c r="E877" s="72">
        <v>8.26</v>
      </c>
      <c r="F877" s="72">
        <v>0</v>
      </c>
      <c r="G877" s="34">
        <f t="shared" si="48"/>
        <v>0</v>
      </c>
      <c r="H877" s="384"/>
      <c r="I877" s="34"/>
      <c r="J877" s="34"/>
      <c r="K877" s="34"/>
      <c r="L877" s="34"/>
      <c r="M877" s="34"/>
      <c r="N877" s="34"/>
      <c r="O877" s="34"/>
    </row>
    <row r="878" spans="1:15" ht="30">
      <c r="A878" s="34">
        <v>322</v>
      </c>
      <c r="B878" s="34"/>
      <c r="C878" s="10" t="s">
        <v>1088</v>
      </c>
      <c r="D878" s="383" t="s">
        <v>37</v>
      </c>
      <c r="E878" s="72">
        <v>45</v>
      </c>
      <c r="F878" s="72">
        <v>84</v>
      </c>
      <c r="G878" s="34">
        <f t="shared" si="48"/>
        <v>3780</v>
      </c>
      <c r="H878" s="341"/>
      <c r="I878" s="34"/>
      <c r="J878" s="34"/>
      <c r="K878" s="34"/>
      <c r="L878" s="34"/>
      <c r="M878" s="34"/>
      <c r="N878" s="34"/>
      <c r="O878" s="34"/>
    </row>
    <row r="879" spans="1:15" ht="45">
      <c r="A879" s="34">
        <v>323</v>
      </c>
      <c r="B879" s="34"/>
      <c r="C879" s="10" t="s">
        <v>1089</v>
      </c>
      <c r="D879" s="383" t="s">
        <v>1084</v>
      </c>
      <c r="E879" s="72">
        <v>34.700000000000003</v>
      </c>
      <c r="F879" s="72">
        <v>0</v>
      </c>
      <c r="G879" s="34">
        <f t="shared" si="48"/>
        <v>0</v>
      </c>
      <c r="H879" s="341"/>
      <c r="I879" s="34"/>
      <c r="J879" s="34"/>
      <c r="K879" s="34"/>
      <c r="L879" s="34"/>
      <c r="M879" s="34"/>
      <c r="N879" s="34"/>
      <c r="O879" s="34"/>
    </row>
    <row r="880" spans="1:15" ht="30">
      <c r="A880" s="34">
        <v>324</v>
      </c>
      <c r="B880" s="34"/>
      <c r="C880" s="10" t="s">
        <v>1090</v>
      </c>
      <c r="D880" s="383" t="s">
        <v>1086</v>
      </c>
      <c r="E880" s="72">
        <v>596</v>
      </c>
      <c r="F880" s="72">
        <v>6</v>
      </c>
      <c r="G880" s="34">
        <f t="shared" si="48"/>
        <v>3576</v>
      </c>
      <c r="H880" s="341"/>
      <c r="I880" s="34"/>
      <c r="J880" s="34"/>
      <c r="K880" s="34"/>
      <c r="L880" s="34"/>
      <c r="M880" s="34"/>
      <c r="N880" s="34"/>
      <c r="O880" s="34"/>
    </row>
    <row r="881" spans="1:15">
      <c r="A881" s="34">
        <v>325</v>
      </c>
      <c r="B881" s="34"/>
      <c r="C881" s="10" t="s">
        <v>1091</v>
      </c>
      <c r="D881" s="383" t="s">
        <v>37</v>
      </c>
      <c r="E881" s="60">
        <v>7077.64</v>
      </c>
      <c r="F881" s="349">
        <v>3</v>
      </c>
      <c r="G881" s="34">
        <f t="shared" si="48"/>
        <v>21232.920000000002</v>
      </c>
      <c r="H881" s="341"/>
      <c r="I881" s="34"/>
      <c r="J881" s="34"/>
      <c r="K881" s="34"/>
      <c r="L881" s="34"/>
      <c r="M881" s="34"/>
      <c r="N881" s="34"/>
      <c r="O881" s="34"/>
    </row>
    <row r="882" spans="1:15" ht="30">
      <c r="A882" s="34">
        <v>326</v>
      </c>
      <c r="B882" s="34"/>
      <c r="C882" s="10" t="s">
        <v>1092</v>
      </c>
      <c r="D882" s="383" t="s">
        <v>37</v>
      </c>
      <c r="E882" s="60">
        <v>376.42</v>
      </c>
      <c r="F882" s="349">
        <v>10</v>
      </c>
      <c r="G882" s="341">
        <f t="shared" ref="G882:G945" si="49">E882*F882</f>
        <v>3764.2000000000003</v>
      </c>
      <c r="H882" s="341"/>
      <c r="I882" s="34"/>
      <c r="J882" s="34"/>
      <c r="K882" s="34"/>
      <c r="L882" s="34"/>
      <c r="M882" s="34"/>
      <c r="N882" s="34"/>
      <c r="O882" s="34"/>
    </row>
    <row r="883" spans="1:15" ht="30">
      <c r="A883" s="34">
        <v>328</v>
      </c>
      <c r="B883" s="34"/>
      <c r="C883" s="10" t="s">
        <v>1093</v>
      </c>
      <c r="D883" s="383" t="s">
        <v>7</v>
      </c>
      <c r="E883" s="60">
        <v>34.700000000000003</v>
      </c>
      <c r="F883" s="349">
        <v>29397</v>
      </c>
      <c r="G883" s="34">
        <f t="shared" si="49"/>
        <v>1020075.9000000001</v>
      </c>
      <c r="H883" s="384">
        <v>14930</v>
      </c>
      <c r="I883" s="34"/>
      <c r="J883" s="34"/>
      <c r="K883" s="34"/>
      <c r="L883" s="34"/>
      <c r="M883" s="34"/>
      <c r="N883" s="34"/>
      <c r="O883" s="34"/>
    </row>
    <row r="884" spans="1:15" ht="30">
      <c r="A884" s="34">
        <v>329</v>
      </c>
      <c r="B884" s="34"/>
      <c r="C884" s="385" t="s">
        <v>1094</v>
      </c>
      <c r="D884" s="386" t="s">
        <v>37</v>
      </c>
      <c r="E884" s="60">
        <v>40</v>
      </c>
      <c r="F884" s="349">
        <v>4140</v>
      </c>
      <c r="G884" s="34">
        <f t="shared" si="49"/>
        <v>165600</v>
      </c>
      <c r="H884" s="341"/>
      <c r="I884" s="34"/>
      <c r="J884" s="34"/>
      <c r="K884" s="34"/>
      <c r="L884" s="34"/>
      <c r="M884" s="34"/>
      <c r="N884" s="34"/>
      <c r="O884" s="34"/>
    </row>
    <row r="885" spans="1:15" ht="30">
      <c r="A885" s="34">
        <v>330</v>
      </c>
      <c r="B885" s="34"/>
      <c r="C885" s="10" t="s">
        <v>1095</v>
      </c>
      <c r="D885" s="386" t="s">
        <v>37</v>
      </c>
      <c r="E885" s="60">
        <v>20</v>
      </c>
      <c r="F885" s="349">
        <v>310</v>
      </c>
      <c r="G885" s="34">
        <f t="shared" si="49"/>
        <v>6200</v>
      </c>
      <c r="H885" s="341"/>
      <c r="I885" s="34"/>
      <c r="J885" s="34"/>
      <c r="K885" s="34"/>
      <c r="L885" s="34"/>
      <c r="M885" s="34"/>
      <c r="N885" s="34"/>
      <c r="O885" s="34"/>
    </row>
    <row r="886" spans="1:15" ht="30">
      <c r="A886" s="34">
        <v>331</v>
      </c>
      <c r="B886" s="34"/>
      <c r="C886" s="10" t="s">
        <v>1096</v>
      </c>
      <c r="D886" s="386" t="s">
        <v>37</v>
      </c>
      <c r="E886" s="60">
        <v>50</v>
      </c>
      <c r="F886" s="349">
        <v>110</v>
      </c>
      <c r="G886" s="34">
        <f t="shared" si="49"/>
        <v>5500</v>
      </c>
      <c r="H886" s="341"/>
      <c r="I886" s="34"/>
      <c r="J886" s="34"/>
      <c r="K886" s="34"/>
      <c r="L886" s="34"/>
      <c r="M886" s="34"/>
      <c r="N886" s="34"/>
      <c r="O886" s="34"/>
    </row>
    <row r="887" spans="1:15" ht="30">
      <c r="A887" s="34">
        <v>332</v>
      </c>
      <c r="B887" s="34"/>
      <c r="C887" s="10" t="s">
        <v>1097</v>
      </c>
      <c r="D887" s="386" t="s">
        <v>37</v>
      </c>
      <c r="E887" s="60">
        <v>55</v>
      </c>
      <c r="F887" s="349">
        <v>63</v>
      </c>
      <c r="G887" s="34">
        <f t="shared" si="49"/>
        <v>3465</v>
      </c>
      <c r="H887" s="341"/>
      <c r="I887" s="34"/>
      <c r="J887" s="34"/>
      <c r="K887" s="34"/>
      <c r="L887" s="34"/>
      <c r="M887" s="34"/>
      <c r="N887" s="34"/>
      <c r="O887" s="34"/>
    </row>
    <row r="888" spans="1:15" ht="30">
      <c r="A888" s="34">
        <v>333</v>
      </c>
      <c r="B888" s="34"/>
      <c r="C888" s="10" t="s">
        <v>1098</v>
      </c>
      <c r="D888" s="386" t="s">
        <v>37</v>
      </c>
      <c r="E888" s="60">
        <v>100</v>
      </c>
      <c r="F888" s="349">
        <v>48</v>
      </c>
      <c r="G888" s="34">
        <f t="shared" si="49"/>
        <v>4800</v>
      </c>
      <c r="H888" s="341"/>
      <c r="I888" s="34"/>
      <c r="J888" s="34"/>
      <c r="K888" s="34"/>
      <c r="L888" s="34"/>
      <c r="M888" s="34"/>
      <c r="N888" s="34"/>
      <c r="O888" s="34"/>
    </row>
    <row r="889" spans="1:15" ht="45">
      <c r="A889" s="34">
        <v>334</v>
      </c>
      <c r="B889" s="34"/>
      <c r="C889" s="10" t="s">
        <v>1099</v>
      </c>
      <c r="D889" s="386" t="s">
        <v>37</v>
      </c>
      <c r="E889" s="60">
        <v>100</v>
      </c>
      <c r="F889" s="349">
        <v>10</v>
      </c>
      <c r="G889" s="34">
        <f t="shared" si="49"/>
        <v>1000</v>
      </c>
      <c r="H889" s="341"/>
      <c r="I889" s="34"/>
      <c r="J889" s="34"/>
      <c r="K889" s="34"/>
      <c r="L889" s="34"/>
      <c r="M889" s="34"/>
      <c r="N889" s="34"/>
      <c r="O889" s="34"/>
    </row>
    <row r="890" spans="1:15" ht="30">
      <c r="A890" s="34">
        <v>335</v>
      </c>
      <c r="B890" s="34"/>
      <c r="C890" s="10" t="s">
        <v>1100</v>
      </c>
      <c r="D890" s="386" t="s">
        <v>37</v>
      </c>
      <c r="E890" s="60">
        <v>45</v>
      </c>
      <c r="F890" s="349">
        <v>882</v>
      </c>
      <c r="G890" s="34">
        <f t="shared" si="49"/>
        <v>39690</v>
      </c>
      <c r="H890" s="341"/>
      <c r="I890" s="34"/>
      <c r="J890" s="34"/>
      <c r="K890" s="34"/>
      <c r="L890" s="34"/>
      <c r="M890" s="34"/>
      <c r="N890" s="34"/>
      <c r="O890" s="34"/>
    </row>
    <row r="891" spans="1:15">
      <c r="A891" s="34">
        <v>336</v>
      </c>
      <c r="B891" s="34"/>
      <c r="C891" s="10" t="s">
        <v>1101</v>
      </c>
      <c r="D891" s="383" t="s">
        <v>40</v>
      </c>
      <c r="E891" s="60">
        <v>1116.6400000000001</v>
      </c>
      <c r="F891" s="349">
        <v>0</v>
      </c>
      <c r="G891" s="34">
        <f t="shared" si="49"/>
        <v>0</v>
      </c>
      <c r="H891" s="341"/>
      <c r="I891" s="34"/>
      <c r="J891" s="34"/>
      <c r="K891" s="34"/>
      <c r="L891" s="34"/>
      <c r="M891" s="34"/>
      <c r="N891" s="34"/>
      <c r="O891" s="34"/>
    </row>
    <row r="892" spans="1:15" ht="30">
      <c r="A892" s="34">
        <v>337</v>
      </c>
      <c r="B892" s="34"/>
      <c r="C892" s="10" t="s">
        <v>1102</v>
      </c>
      <c r="D892" s="383" t="s">
        <v>1103</v>
      </c>
      <c r="E892" s="60">
        <v>113.52</v>
      </c>
      <c r="F892" s="349">
        <v>230</v>
      </c>
      <c r="G892" s="34">
        <f t="shared" si="49"/>
        <v>26109.599999999999</v>
      </c>
      <c r="H892" s="341"/>
      <c r="I892" s="34"/>
      <c r="J892" s="34"/>
      <c r="K892" s="34"/>
      <c r="L892" s="34"/>
      <c r="M892" s="34"/>
      <c r="N892" s="34"/>
      <c r="O892" s="34"/>
    </row>
    <row r="893" spans="1:15" ht="30">
      <c r="A893" s="34">
        <v>339</v>
      </c>
      <c r="B893" s="34"/>
      <c r="C893" s="10" t="s">
        <v>1104</v>
      </c>
      <c r="D893" s="386" t="s">
        <v>786</v>
      </c>
      <c r="E893" s="60">
        <v>34.700000000000003</v>
      </c>
      <c r="F893" s="349">
        <v>0</v>
      </c>
      <c r="G893" s="34">
        <f t="shared" si="49"/>
        <v>0</v>
      </c>
      <c r="H893" s="341"/>
      <c r="I893" s="34"/>
      <c r="J893" s="34"/>
      <c r="K893" s="34"/>
      <c r="L893" s="34"/>
      <c r="M893" s="34"/>
      <c r="N893" s="34"/>
      <c r="O893" s="34"/>
    </row>
    <row r="894" spans="1:15" ht="30">
      <c r="A894" s="34">
        <v>340</v>
      </c>
      <c r="B894" s="34"/>
      <c r="C894" s="10" t="s">
        <v>1094</v>
      </c>
      <c r="D894" s="386" t="s">
        <v>40</v>
      </c>
      <c r="E894" s="60">
        <v>40</v>
      </c>
      <c r="F894" s="349">
        <v>360</v>
      </c>
      <c r="G894" s="34">
        <f t="shared" si="49"/>
        <v>14400</v>
      </c>
      <c r="H894" s="341"/>
      <c r="I894" s="34"/>
      <c r="J894" s="34"/>
      <c r="K894" s="34"/>
      <c r="L894" s="34"/>
      <c r="M894" s="34"/>
      <c r="N894" s="34"/>
      <c r="O894" s="34"/>
    </row>
    <row r="895" spans="1:15" ht="30">
      <c r="A895" s="34">
        <v>341</v>
      </c>
      <c r="B895" s="34"/>
      <c r="C895" s="10" t="s">
        <v>1098</v>
      </c>
      <c r="D895" s="386" t="s">
        <v>40</v>
      </c>
      <c r="E895" s="60">
        <v>50</v>
      </c>
      <c r="F895" s="349">
        <v>24</v>
      </c>
      <c r="G895" s="34">
        <f t="shared" si="49"/>
        <v>1200</v>
      </c>
      <c r="H895" s="341"/>
      <c r="I895" s="34"/>
      <c r="J895" s="34"/>
      <c r="K895" s="34"/>
      <c r="L895" s="34"/>
      <c r="M895" s="34"/>
      <c r="N895" s="34"/>
      <c r="O895" s="34"/>
    </row>
    <row r="896" spans="1:15" ht="30">
      <c r="A896" s="34">
        <v>342</v>
      </c>
      <c r="B896" s="34"/>
      <c r="C896" s="10" t="s">
        <v>1105</v>
      </c>
      <c r="D896" s="386" t="s">
        <v>40</v>
      </c>
      <c r="E896" s="60">
        <v>20</v>
      </c>
      <c r="F896" s="349">
        <v>24</v>
      </c>
      <c r="G896" s="34">
        <f t="shared" si="49"/>
        <v>480</v>
      </c>
      <c r="H896" s="341"/>
      <c r="I896" s="34"/>
      <c r="J896" s="34"/>
      <c r="K896" s="34"/>
      <c r="L896" s="34"/>
      <c r="M896" s="34"/>
      <c r="N896" s="34"/>
      <c r="O896" s="34"/>
    </row>
    <row r="897" spans="1:15" ht="30">
      <c r="A897" s="34">
        <v>343</v>
      </c>
      <c r="B897" s="34"/>
      <c r="C897" s="10" t="s">
        <v>1106</v>
      </c>
      <c r="D897" s="383" t="s">
        <v>40</v>
      </c>
      <c r="E897" s="387">
        <v>9178</v>
      </c>
      <c r="F897" s="349">
        <v>3</v>
      </c>
      <c r="G897" s="34">
        <f t="shared" si="49"/>
        <v>27534</v>
      </c>
      <c r="H897" s="341"/>
      <c r="I897" s="34"/>
      <c r="J897" s="34"/>
      <c r="K897" s="34"/>
      <c r="L897" s="34"/>
      <c r="M897" s="34"/>
      <c r="N897" s="34"/>
      <c r="O897" s="34"/>
    </row>
    <row r="898" spans="1:15">
      <c r="A898" s="34">
        <v>344</v>
      </c>
      <c r="B898" s="34"/>
      <c r="C898" s="10" t="s">
        <v>1107</v>
      </c>
      <c r="D898" s="383" t="s">
        <v>40</v>
      </c>
      <c r="E898" s="388">
        <v>10001.67</v>
      </c>
      <c r="F898" s="349">
        <v>2</v>
      </c>
      <c r="G898" s="34">
        <f t="shared" si="49"/>
        <v>20003.34</v>
      </c>
      <c r="H898" s="341"/>
      <c r="I898" s="34"/>
      <c r="J898" s="34"/>
      <c r="K898" s="34"/>
      <c r="L898" s="34"/>
      <c r="M898" s="34"/>
      <c r="N898" s="34"/>
      <c r="O898" s="34"/>
    </row>
    <row r="899" spans="1:15" ht="45">
      <c r="A899" s="34">
        <v>345</v>
      </c>
      <c r="B899" s="34"/>
      <c r="C899" s="10" t="s">
        <v>1108</v>
      </c>
      <c r="D899" s="383" t="s">
        <v>40</v>
      </c>
      <c r="E899" s="389">
        <v>3234.38</v>
      </c>
      <c r="F899" s="349">
        <v>2</v>
      </c>
      <c r="G899" s="34">
        <f t="shared" si="49"/>
        <v>6468.76</v>
      </c>
      <c r="H899" s="341"/>
      <c r="I899" s="34"/>
      <c r="J899" s="34"/>
      <c r="K899" s="34"/>
      <c r="L899" s="34"/>
      <c r="M899" s="34"/>
      <c r="N899" s="34"/>
      <c r="O899" s="34"/>
    </row>
    <row r="900" spans="1:15" ht="30">
      <c r="A900" s="34">
        <v>346</v>
      </c>
      <c r="B900" s="34"/>
      <c r="C900" s="10" t="s">
        <v>1109</v>
      </c>
      <c r="D900" s="383" t="s">
        <v>40</v>
      </c>
      <c r="E900" s="388">
        <v>2478</v>
      </c>
      <c r="F900" s="349">
        <v>4</v>
      </c>
      <c r="G900" s="34">
        <f t="shared" si="49"/>
        <v>9912</v>
      </c>
      <c r="H900" s="341"/>
      <c r="I900" s="34"/>
      <c r="J900" s="34"/>
      <c r="K900" s="34"/>
      <c r="L900" s="34"/>
      <c r="M900" s="34"/>
      <c r="N900" s="34"/>
      <c r="O900" s="34"/>
    </row>
    <row r="901" spans="1:15" ht="60">
      <c r="A901" s="34">
        <v>347</v>
      </c>
      <c r="B901" s="34"/>
      <c r="C901" s="10" t="s">
        <v>1110</v>
      </c>
      <c r="D901" s="383" t="s">
        <v>40</v>
      </c>
      <c r="E901" s="34">
        <v>7310.1</v>
      </c>
      <c r="F901" s="349">
        <v>4</v>
      </c>
      <c r="G901" s="34">
        <f t="shared" si="49"/>
        <v>29240.400000000001</v>
      </c>
      <c r="H901" s="341"/>
      <c r="I901" s="34"/>
      <c r="J901" s="34"/>
      <c r="K901" s="34"/>
      <c r="L901" s="34"/>
      <c r="M901" s="34"/>
      <c r="N901" s="34"/>
      <c r="O901" s="34"/>
    </row>
    <row r="902" spans="1:15" ht="60">
      <c r="A902" s="34">
        <v>348</v>
      </c>
      <c r="B902" s="34"/>
      <c r="C902" s="10" t="s">
        <v>1111</v>
      </c>
      <c r="D902" s="383" t="s">
        <v>40</v>
      </c>
      <c r="E902" s="34">
        <v>7310.1</v>
      </c>
      <c r="F902" s="349">
        <v>4</v>
      </c>
      <c r="G902" s="34">
        <f t="shared" si="49"/>
        <v>29240.400000000001</v>
      </c>
      <c r="H902" s="341"/>
      <c r="I902" s="34"/>
      <c r="J902" s="34"/>
      <c r="K902" s="34"/>
      <c r="L902" s="34"/>
      <c r="M902" s="34"/>
      <c r="N902" s="34"/>
      <c r="O902" s="34"/>
    </row>
    <row r="903" spans="1:15" ht="45">
      <c r="A903" s="34">
        <v>349</v>
      </c>
      <c r="B903" s="34"/>
      <c r="C903" s="10" t="s">
        <v>1112</v>
      </c>
      <c r="D903" s="383" t="s">
        <v>40</v>
      </c>
      <c r="E903" s="34">
        <v>5881.1</v>
      </c>
      <c r="F903" s="349">
        <v>2</v>
      </c>
      <c r="G903" s="34">
        <f t="shared" si="49"/>
        <v>11762.2</v>
      </c>
      <c r="H903" s="341"/>
      <c r="I903" s="34"/>
      <c r="J903" s="34"/>
      <c r="K903" s="34"/>
      <c r="L903" s="34"/>
      <c r="M903" s="34"/>
      <c r="N903" s="34"/>
      <c r="O903" s="34"/>
    </row>
    <row r="904" spans="1:15" ht="45">
      <c r="A904" s="34">
        <v>350</v>
      </c>
      <c r="B904" s="34"/>
      <c r="C904" s="10" t="s">
        <v>1113</v>
      </c>
      <c r="D904" s="383" t="s">
        <v>40</v>
      </c>
      <c r="E904" s="34">
        <v>5882.3</v>
      </c>
      <c r="F904" s="349">
        <v>3</v>
      </c>
      <c r="G904" s="34">
        <f t="shared" si="49"/>
        <v>17646.900000000001</v>
      </c>
      <c r="H904" s="341"/>
      <c r="I904" s="34"/>
      <c r="J904" s="34"/>
      <c r="K904" s="34"/>
      <c r="L904" s="34"/>
      <c r="M904" s="34"/>
      <c r="N904" s="34"/>
      <c r="O904" s="34"/>
    </row>
    <row r="905" spans="1:15">
      <c r="A905" s="34">
        <v>352</v>
      </c>
      <c r="B905" s="34"/>
      <c r="C905" s="10" t="s">
        <v>1114</v>
      </c>
      <c r="D905" s="383" t="s">
        <v>1115</v>
      </c>
      <c r="E905" s="34">
        <v>300000</v>
      </c>
      <c r="F905" s="349">
        <v>1</v>
      </c>
      <c r="G905" s="341">
        <f t="shared" si="49"/>
        <v>300000</v>
      </c>
      <c r="H905" s="341"/>
      <c r="I905" s="34"/>
      <c r="J905" s="34"/>
      <c r="K905" s="34"/>
      <c r="L905" s="34"/>
      <c r="M905" s="34"/>
      <c r="N905" s="34"/>
      <c r="O905" s="34"/>
    </row>
    <row r="906" spans="1:15" ht="30">
      <c r="A906" s="34">
        <v>353</v>
      </c>
      <c r="B906" s="34"/>
      <c r="C906" s="10" t="s">
        <v>1116</v>
      </c>
      <c r="D906" s="383" t="s">
        <v>40</v>
      </c>
      <c r="E906" s="34">
        <v>14245.8</v>
      </c>
      <c r="F906" s="349">
        <v>8</v>
      </c>
      <c r="G906" s="390">
        <f t="shared" si="49"/>
        <v>113966.39999999999</v>
      </c>
      <c r="H906" s="341"/>
      <c r="I906" s="34"/>
      <c r="J906" s="34"/>
      <c r="K906" s="34"/>
      <c r="L906" s="34"/>
      <c r="M906" s="34"/>
      <c r="N906" s="34"/>
      <c r="O906" s="34"/>
    </row>
    <row r="907" spans="1:15">
      <c r="A907" s="34">
        <v>354</v>
      </c>
      <c r="B907" s="34"/>
      <c r="C907" s="10" t="s">
        <v>1117</v>
      </c>
      <c r="D907" s="383" t="s">
        <v>40</v>
      </c>
      <c r="E907" s="34">
        <v>962.77</v>
      </c>
      <c r="F907" s="349">
        <v>8</v>
      </c>
      <c r="G907" s="390">
        <f t="shared" si="49"/>
        <v>7702.16</v>
      </c>
      <c r="H907" s="341"/>
      <c r="I907" s="34"/>
      <c r="J907" s="34"/>
      <c r="K907" s="34"/>
      <c r="L907" s="34"/>
      <c r="M907" s="34"/>
      <c r="N907" s="34"/>
      <c r="O907" s="34"/>
    </row>
    <row r="908" spans="1:15" ht="90">
      <c r="A908" s="34">
        <v>356</v>
      </c>
      <c r="B908" s="34"/>
      <c r="C908" s="135" t="s">
        <v>1118</v>
      </c>
      <c r="D908" s="383" t="s">
        <v>40</v>
      </c>
      <c r="E908" s="60">
        <v>6185.56</v>
      </c>
      <c r="F908" s="349">
        <v>3</v>
      </c>
      <c r="G908" s="391">
        <f t="shared" si="49"/>
        <v>18556.68</v>
      </c>
      <c r="H908" s="341"/>
      <c r="I908" s="34"/>
      <c r="J908" s="34"/>
      <c r="K908" s="34"/>
      <c r="L908" s="34"/>
      <c r="M908" s="34"/>
      <c r="N908" s="34"/>
      <c r="O908" s="34"/>
    </row>
    <row r="909" spans="1:15" ht="90">
      <c r="A909" s="34">
        <v>357</v>
      </c>
      <c r="B909" s="34"/>
      <c r="C909" s="135" t="s">
        <v>1119</v>
      </c>
      <c r="D909" s="383" t="s">
        <v>40</v>
      </c>
      <c r="E909" s="60">
        <v>3348.84</v>
      </c>
      <c r="F909" s="349">
        <v>3</v>
      </c>
      <c r="G909" s="391">
        <f t="shared" si="49"/>
        <v>10046.52</v>
      </c>
      <c r="H909" s="341"/>
      <c r="I909" s="34"/>
      <c r="J909" s="34"/>
      <c r="K909" s="34"/>
      <c r="L909" s="34"/>
      <c r="M909" s="34"/>
      <c r="N909" s="34"/>
      <c r="O909" s="34"/>
    </row>
    <row r="910" spans="1:15" ht="90">
      <c r="A910" s="34">
        <v>358</v>
      </c>
      <c r="B910" s="34"/>
      <c r="C910" s="135" t="s">
        <v>1120</v>
      </c>
      <c r="D910" s="383" t="s">
        <v>40</v>
      </c>
      <c r="E910" s="60">
        <v>4707.0200000000004</v>
      </c>
      <c r="F910" s="349">
        <v>2</v>
      </c>
      <c r="G910" s="391">
        <f t="shared" si="49"/>
        <v>9414.0400000000009</v>
      </c>
      <c r="H910" s="341"/>
      <c r="I910" s="34"/>
      <c r="J910" s="34"/>
      <c r="K910" s="34"/>
      <c r="L910" s="34"/>
      <c r="M910" s="34"/>
      <c r="N910" s="34"/>
      <c r="O910" s="34"/>
    </row>
    <row r="911" spans="1:15" ht="120">
      <c r="A911" s="34">
        <v>359</v>
      </c>
      <c r="B911" s="34"/>
      <c r="C911" s="135" t="s">
        <v>1121</v>
      </c>
      <c r="D911" s="383" t="s">
        <v>40</v>
      </c>
      <c r="E911" s="60">
        <v>2704.56</v>
      </c>
      <c r="F911" s="349">
        <v>4</v>
      </c>
      <c r="G911" s="391">
        <f t="shared" si="49"/>
        <v>10818.24</v>
      </c>
      <c r="H911" s="341"/>
      <c r="I911" s="34"/>
      <c r="J911" s="34"/>
      <c r="K911" s="34"/>
      <c r="L911" s="34"/>
      <c r="M911" s="34"/>
      <c r="N911" s="34"/>
      <c r="O911" s="34"/>
    </row>
    <row r="912" spans="1:15" ht="75">
      <c r="A912" s="34">
        <v>360</v>
      </c>
      <c r="B912" s="34"/>
      <c r="C912" s="135" t="s">
        <v>1122</v>
      </c>
      <c r="D912" s="383" t="s">
        <v>40</v>
      </c>
      <c r="E912" s="60">
        <v>3530.56</v>
      </c>
      <c r="F912" s="349">
        <v>4</v>
      </c>
      <c r="G912" s="391">
        <f t="shared" si="49"/>
        <v>14122.24</v>
      </c>
      <c r="H912" s="341"/>
      <c r="I912" s="34"/>
      <c r="J912" s="34"/>
      <c r="K912" s="34"/>
      <c r="L912" s="34"/>
      <c r="M912" s="34"/>
      <c r="N912" s="34"/>
      <c r="O912" s="34"/>
    </row>
    <row r="913" spans="1:15" ht="30">
      <c r="A913" s="34">
        <v>361</v>
      </c>
      <c r="B913" s="34"/>
      <c r="C913" s="392" t="s">
        <v>1093</v>
      </c>
      <c r="D913" s="383" t="s">
        <v>7</v>
      </c>
      <c r="E913" s="60">
        <v>34.700000000000003</v>
      </c>
      <c r="F913" s="349">
        <v>77730</v>
      </c>
      <c r="G913" s="393">
        <f t="shared" si="49"/>
        <v>2697231</v>
      </c>
      <c r="H913" s="341"/>
      <c r="I913" s="34"/>
      <c r="J913" s="34"/>
      <c r="K913" s="34"/>
      <c r="L913" s="34"/>
      <c r="M913" s="34"/>
      <c r="N913" s="34"/>
      <c r="O913" s="34"/>
    </row>
    <row r="914" spans="1:15" ht="30">
      <c r="A914" s="34">
        <v>362</v>
      </c>
      <c r="B914" s="34"/>
      <c r="C914" s="394" t="s">
        <v>1094</v>
      </c>
      <c r="D914" s="386" t="s">
        <v>37</v>
      </c>
      <c r="E914" s="60">
        <v>40</v>
      </c>
      <c r="F914" s="349">
        <v>4384</v>
      </c>
      <c r="G914" s="393">
        <f t="shared" si="49"/>
        <v>175360</v>
      </c>
      <c r="H914" s="341"/>
      <c r="I914" s="34"/>
      <c r="J914" s="34"/>
      <c r="K914" s="34"/>
      <c r="L914" s="34"/>
      <c r="M914" s="34"/>
      <c r="N914" s="34"/>
      <c r="O914" s="34"/>
    </row>
    <row r="915" spans="1:15" ht="30">
      <c r="A915" s="34">
        <v>363</v>
      </c>
      <c r="B915" s="34"/>
      <c r="C915" s="392" t="s">
        <v>1100</v>
      </c>
      <c r="D915" s="386" t="s">
        <v>37</v>
      </c>
      <c r="E915" s="60">
        <v>45</v>
      </c>
      <c r="F915" s="349">
        <v>860</v>
      </c>
      <c r="G915" s="393">
        <f t="shared" si="49"/>
        <v>38700</v>
      </c>
      <c r="H915" s="341"/>
      <c r="I915" s="34"/>
      <c r="J915" s="34"/>
      <c r="K915" s="34"/>
      <c r="L915" s="34"/>
      <c r="M915" s="34"/>
      <c r="N915" s="34"/>
      <c r="O915" s="34"/>
    </row>
    <row r="916" spans="1:15" ht="30">
      <c r="A916" s="34">
        <v>364</v>
      </c>
      <c r="B916" s="34"/>
      <c r="C916" s="392" t="s">
        <v>1097</v>
      </c>
      <c r="D916" s="386" t="s">
        <v>37</v>
      </c>
      <c r="E916" s="60">
        <v>55</v>
      </c>
      <c r="F916" s="349">
        <v>63</v>
      </c>
      <c r="G916" s="393">
        <f t="shared" si="49"/>
        <v>3465</v>
      </c>
      <c r="H916" s="341"/>
      <c r="I916" s="34"/>
      <c r="J916" s="34"/>
      <c r="K916" s="34"/>
      <c r="L916" s="34"/>
      <c r="M916" s="34"/>
      <c r="N916" s="34"/>
      <c r="O916" s="34"/>
    </row>
    <row r="917" spans="1:15" ht="30">
      <c r="A917" s="34">
        <v>365</v>
      </c>
      <c r="B917" s="34"/>
      <c r="C917" s="395" t="s">
        <v>1096</v>
      </c>
      <c r="D917" s="386" t="s">
        <v>37</v>
      </c>
      <c r="E917" s="60">
        <v>50</v>
      </c>
      <c r="F917" s="349">
        <v>204</v>
      </c>
      <c r="G917" s="393">
        <f t="shared" si="49"/>
        <v>10200</v>
      </c>
      <c r="H917" s="341"/>
      <c r="I917" s="34"/>
      <c r="J917" s="34"/>
      <c r="K917" s="34"/>
      <c r="L917" s="34"/>
      <c r="M917" s="34"/>
      <c r="N917" s="34"/>
      <c r="O917" s="34"/>
    </row>
    <row r="918" spans="1:15" ht="30">
      <c r="A918" s="34">
        <v>366</v>
      </c>
      <c r="B918" s="34"/>
      <c r="C918" s="392" t="s">
        <v>1098</v>
      </c>
      <c r="D918" s="386" t="s">
        <v>37</v>
      </c>
      <c r="E918" s="60">
        <v>100</v>
      </c>
      <c r="F918" s="349">
        <v>48</v>
      </c>
      <c r="G918" s="393">
        <f t="shared" si="49"/>
        <v>4800</v>
      </c>
      <c r="H918" s="341"/>
      <c r="I918" s="34"/>
      <c r="J918" s="34"/>
      <c r="K918" s="34"/>
      <c r="L918" s="34"/>
      <c r="M918" s="34"/>
      <c r="N918" s="34"/>
      <c r="O918" s="34"/>
    </row>
    <row r="919" spans="1:15" ht="45">
      <c r="A919" s="34">
        <v>367</v>
      </c>
      <c r="B919" s="34"/>
      <c r="C919" s="392" t="s">
        <v>1099</v>
      </c>
      <c r="D919" s="386" t="s">
        <v>37</v>
      </c>
      <c r="E919" s="60">
        <v>100</v>
      </c>
      <c r="F919" s="349">
        <v>12</v>
      </c>
      <c r="G919" s="393">
        <f t="shared" si="49"/>
        <v>1200</v>
      </c>
      <c r="H919" s="341"/>
      <c r="I919" s="34"/>
      <c r="J919" s="34"/>
      <c r="K919" s="34"/>
      <c r="L919" s="34"/>
      <c r="M919" s="34"/>
      <c r="N919" s="34"/>
      <c r="O919" s="34"/>
    </row>
    <row r="920" spans="1:15" ht="30">
      <c r="A920" s="34">
        <v>368</v>
      </c>
      <c r="B920" s="34"/>
      <c r="C920" s="392" t="s">
        <v>1095</v>
      </c>
      <c r="D920" s="386" t="s">
        <v>37</v>
      </c>
      <c r="E920" s="60">
        <v>20</v>
      </c>
      <c r="F920" s="349">
        <v>345</v>
      </c>
      <c r="G920" s="393">
        <f t="shared" si="49"/>
        <v>6900</v>
      </c>
      <c r="H920" s="341"/>
      <c r="I920" s="34"/>
      <c r="J920" s="34"/>
      <c r="K920" s="34"/>
      <c r="L920" s="34"/>
      <c r="M920" s="34"/>
      <c r="N920" s="34"/>
      <c r="O920" s="34"/>
    </row>
    <row r="921" spans="1:15" ht="90">
      <c r="A921" s="34">
        <v>370</v>
      </c>
      <c r="B921" s="34"/>
      <c r="C921" s="135" t="s">
        <v>1123</v>
      </c>
      <c r="D921" s="396" t="s">
        <v>1124</v>
      </c>
      <c r="E921" s="397">
        <v>1</v>
      </c>
      <c r="F921" s="60">
        <v>2.4</v>
      </c>
      <c r="G921" s="393">
        <f t="shared" si="49"/>
        <v>2.4</v>
      </c>
      <c r="H921" s="341"/>
      <c r="I921" s="34"/>
      <c r="J921" s="34"/>
      <c r="K921" s="34"/>
      <c r="L921" s="34"/>
      <c r="M921" s="34"/>
      <c r="N921" s="34"/>
      <c r="O921" s="34"/>
    </row>
    <row r="922" spans="1:15" ht="30">
      <c r="A922" s="34">
        <v>371</v>
      </c>
      <c r="B922" s="34"/>
      <c r="C922" s="398" t="s">
        <v>1125</v>
      </c>
      <c r="D922" s="396" t="s">
        <v>40</v>
      </c>
      <c r="E922" s="399">
        <v>1</v>
      </c>
      <c r="F922" s="60">
        <v>6</v>
      </c>
      <c r="G922" s="393">
        <f t="shared" si="49"/>
        <v>6</v>
      </c>
      <c r="H922" s="341"/>
      <c r="I922" s="34"/>
      <c r="J922" s="34"/>
      <c r="K922" s="34"/>
      <c r="L922" s="34"/>
      <c r="M922" s="34"/>
      <c r="N922" s="34"/>
      <c r="O922" s="34"/>
    </row>
    <row r="923" spans="1:15" ht="30">
      <c r="A923" s="34">
        <v>372</v>
      </c>
      <c r="B923" s="34"/>
      <c r="C923" s="398" t="s">
        <v>1126</v>
      </c>
      <c r="D923" s="396" t="s">
        <v>40</v>
      </c>
      <c r="E923" s="399">
        <v>1</v>
      </c>
      <c r="F923" s="60">
        <v>3</v>
      </c>
      <c r="G923" s="393">
        <f t="shared" si="49"/>
        <v>3</v>
      </c>
      <c r="H923" s="341"/>
      <c r="I923" s="34"/>
      <c r="J923" s="34"/>
      <c r="K923" s="34"/>
      <c r="L923" s="34"/>
      <c r="M923" s="34"/>
      <c r="N923" s="34"/>
      <c r="O923" s="34"/>
    </row>
    <row r="924" spans="1:15">
      <c r="A924" s="34">
        <v>373</v>
      </c>
      <c r="B924" s="34"/>
      <c r="C924" s="398" t="s">
        <v>1127</v>
      </c>
      <c r="D924" s="396" t="s">
        <v>40</v>
      </c>
      <c r="E924" s="400">
        <v>1</v>
      </c>
      <c r="F924" s="60">
        <v>24</v>
      </c>
      <c r="G924" s="393">
        <f t="shared" si="49"/>
        <v>24</v>
      </c>
      <c r="H924" s="341"/>
      <c r="I924" s="34"/>
      <c r="J924" s="34"/>
      <c r="K924" s="34"/>
      <c r="L924" s="34"/>
      <c r="M924" s="34"/>
      <c r="N924" s="34"/>
      <c r="O924" s="34"/>
    </row>
    <row r="925" spans="1:15" ht="30">
      <c r="A925" s="34">
        <v>374</v>
      </c>
      <c r="B925" s="34"/>
      <c r="C925" s="398" t="s">
        <v>1128</v>
      </c>
      <c r="D925" s="396" t="s">
        <v>40</v>
      </c>
      <c r="E925" s="400">
        <v>1</v>
      </c>
      <c r="F925" s="60">
        <v>6</v>
      </c>
      <c r="G925" s="393">
        <f t="shared" si="49"/>
        <v>6</v>
      </c>
      <c r="H925" s="341"/>
      <c r="I925" s="34"/>
      <c r="J925" s="34"/>
      <c r="K925" s="34"/>
      <c r="L925" s="34"/>
      <c r="M925" s="34"/>
      <c r="N925" s="34"/>
      <c r="O925" s="34"/>
    </row>
    <row r="926" spans="1:15" ht="30">
      <c r="A926" s="34">
        <v>375</v>
      </c>
      <c r="B926" s="34"/>
      <c r="C926" s="398" t="s">
        <v>1129</v>
      </c>
      <c r="D926" s="396" t="s">
        <v>40</v>
      </c>
      <c r="E926" s="401">
        <v>1</v>
      </c>
      <c r="F926" s="60">
        <v>6</v>
      </c>
      <c r="G926" s="393">
        <f t="shared" si="49"/>
        <v>6</v>
      </c>
      <c r="H926" s="341"/>
      <c r="I926" s="34"/>
      <c r="J926" s="34"/>
      <c r="K926" s="34"/>
      <c r="L926" s="34"/>
      <c r="M926" s="34"/>
      <c r="N926" s="34"/>
      <c r="O926" s="34"/>
    </row>
    <row r="927" spans="1:15">
      <c r="A927" s="34">
        <v>376</v>
      </c>
      <c r="B927" s="34"/>
      <c r="C927" s="398" t="s">
        <v>1130</v>
      </c>
      <c r="D927" s="396" t="s">
        <v>40</v>
      </c>
      <c r="E927" s="387">
        <v>1</v>
      </c>
      <c r="F927" s="60">
        <v>16</v>
      </c>
      <c r="G927" s="393">
        <f t="shared" si="49"/>
        <v>16</v>
      </c>
      <c r="H927" s="341"/>
      <c r="I927" s="34"/>
      <c r="J927" s="34"/>
      <c r="K927" s="34"/>
      <c r="L927" s="34"/>
      <c r="M927" s="34"/>
      <c r="N927" s="34"/>
      <c r="O927" s="34"/>
    </row>
    <row r="928" spans="1:15" ht="15.75">
      <c r="A928" s="34">
        <v>377</v>
      </c>
      <c r="B928" s="34"/>
      <c r="C928" s="402" t="s">
        <v>1131</v>
      </c>
      <c r="D928" s="396" t="s">
        <v>40</v>
      </c>
      <c r="E928" s="387">
        <v>1</v>
      </c>
      <c r="F928" s="60">
        <v>4</v>
      </c>
      <c r="G928" s="393">
        <f t="shared" si="49"/>
        <v>4</v>
      </c>
      <c r="H928" s="341"/>
      <c r="I928" s="34"/>
      <c r="J928" s="34"/>
      <c r="K928" s="34"/>
      <c r="L928" s="34"/>
      <c r="M928" s="34"/>
      <c r="N928" s="34"/>
      <c r="O928" s="34"/>
    </row>
    <row r="929" spans="1:15" ht="15.75">
      <c r="A929" s="34">
        <v>378</v>
      </c>
      <c r="B929" s="34"/>
      <c r="C929" s="402" t="s">
        <v>1132</v>
      </c>
      <c r="D929" s="396" t="s">
        <v>40</v>
      </c>
      <c r="E929" s="388">
        <v>1</v>
      </c>
      <c r="F929" s="60">
        <v>3</v>
      </c>
      <c r="G929" s="393">
        <f t="shared" si="49"/>
        <v>3</v>
      </c>
      <c r="H929" s="341"/>
      <c r="I929" s="34"/>
      <c r="J929" s="34"/>
      <c r="K929" s="34"/>
      <c r="L929" s="34"/>
      <c r="M929" s="34"/>
      <c r="N929" s="34"/>
      <c r="O929" s="34"/>
    </row>
    <row r="930" spans="1:15">
      <c r="A930" s="34">
        <v>379</v>
      </c>
      <c r="B930" s="34"/>
      <c r="C930" s="403" t="s">
        <v>1133</v>
      </c>
      <c r="D930" s="396" t="s">
        <v>40</v>
      </c>
      <c r="E930" s="388">
        <v>1</v>
      </c>
      <c r="F930" s="60">
        <v>6</v>
      </c>
      <c r="G930" s="393">
        <f t="shared" si="49"/>
        <v>6</v>
      </c>
      <c r="H930" s="341"/>
      <c r="I930" s="34"/>
      <c r="J930" s="34"/>
      <c r="K930" s="34"/>
      <c r="L930" s="34"/>
      <c r="M930" s="34"/>
      <c r="N930" s="34"/>
      <c r="O930" s="34"/>
    </row>
    <row r="931" spans="1:15" ht="30">
      <c r="A931" s="34">
        <v>380</v>
      </c>
      <c r="B931" s="34"/>
      <c r="C931" s="404" t="s">
        <v>1134</v>
      </c>
      <c r="D931" s="396" t="s">
        <v>40</v>
      </c>
      <c r="E931" s="389">
        <v>1</v>
      </c>
      <c r="F931" s="60">
        <v>6</v>
      </c>
      <c r="G931" s="393">
        <f t="shared" si="49"/>
        <v>6</v>
      </c>
      <c r="H931" s="341"/>
      <c r="I931" s="34"/>
      <c r="J931" s="34"/>
      <c r="K931" s="34"/>
      <c r="L931" s="34"/>
      <c r="M931" s="34"/>
      <c r="N931" s="34"/>
      <c r="O931" s="34"/>
    </row>
    <row r="932" spans="1:15" ht="30">
      <c r="A932" s="34">
        <v>381</v>
      </c>
      <c r="B932" s="34"/>
      <c r="C932" s="404" t="s">
        <v>1135</v>
      </c>
      <c r="D932" s="396" t="s">
        <v>40</v>
      </c>
      <c r="E932" s="405">
        <v>1</v>
      </c>
      <c r="F932" s="60">
        <v>6</v>
      </c>
      <c r="G932" s="393">
        <f t="shared" si="49"/>
        <v>6</v>
      </c>
      <c r="H932" s="341"/>
      <c r="I932" s="34"/>
      <c r="J932" s="34"/>
      <c r="K932" s="34"/>
      <c r="L932" s="34"/>
      <c r="M932" s="34"/>
      <c r="N932" s="34"/>
      <c r="O932" s="34"/>
    </row>
    <row r="933" spans="1:15" ht="30">
      <c r="A933" s="34">
        <v>382</v>
      </c>
      <c r="B933" s="34"/>
      <c r="C933" s="404" t="s">
        <v>1136</v>
      </c>
      <c r="D933" s="396" t="s">
        <v>40</v>
      </c>
      <c r="E933" s="406">
        <v>1</v>
      </c>
      <c r="F933" s="60">
        <v>36</v>
      </c>
      <c r="G933" s="393">
        <f t="shared" si="49"/>
        <v>36</v>
      </c>
      <c r="H933" s="341"/>
      <c r="I933" s="34"/>
      <c r="J933" s="34"/>
      <c r="K933" s="34"/>
      <c r="L933" s="34"/>
      <c r="M933" s="34"/>
      <c r="N933" s="34"/>
      <c r="O933" s="34"/>
    </row>
    <row r="934" spans="1:15" ht="30">
      <c r="A934" s="34">
        <v>383</v>
      </c>
      <c r="B934" s="34"/>
      <c r="C934" s="404" t="s">
        <v>1137</v>
      </c>
      <c r="D934" s="396" t="s">
        <v>40</v>
      </c>
      <c r="E934" s="389">
        <v>1</v>
      </c>
      <c r="F934" s="407">
        <v>15</v>
      </c>
      <c r="G934" s="393">
        <f t="shared" si="49"/>
        <v>15</v>
      </c>
      <c r="H934" s="341"/>
      <c r="I934" s="34"/>
      <c r="J934" s="34"/>
      <c r="K934" s="34"/>
      <c r="L934" s="34"/>
      <c r="M934" s="34"/>
      <c r="N934" s="34"/>
      <c r="O934" s="34"/>
    </row>
    <row r="935" spans="1:15" ht="90">
      <c r="A935" s="34"/>
      <c r="B935" s="34"/>
      <c r="C935" s="404" t="s">
        <v>1138</v>
      </c>
      <c r="D935" s="396" t="s">
        <v>40</v>
      </c>
      <c r="E935" s="60">
        <v>159300</v>
      </c>
      <c r="F935" s="349">
        <v>1</v>
      </c>
      <c r="G935" s="393">
        <f t="shared" si="49"/>
        <v>159300</v>
      </c>
      <c r="H935" s="341"/>
      <c r="I935" s="34"/>
      <c r="J935" s="34"/>
      <c r="K935" s="34"/>
      <c r="L935" s="34"/>
      <c r="M935" s="34"/>
      <c r="N935" s="34"/>
      <c r="O935" s="34"/>
    </row>
    <row r="936" spans="1:15">
      <c r="A936" s="34"/>
      <c r="B936" s="34"/>
      <c r="C936" s="408" t="s">
        <v>1139</v>
      </c>
      <c r="D936" s="383" t="s">
        <v>195</v>
      </c>
      <c r="E936" s="389">
        <v>5894.1</v>
      </c>
      <c r="F936" s="388">
        <v>40</v>
      </c>
      <c r="G936" s="391">
        <f t="shared" si="49"/>
        <v>235764</v>
      </c>
      <c r="H936" s="409"/>
      <c r="I936" s="410"/>
      <c r="J936" s="410"/>
      <c r="K936" s="410"/>
      <c r="L936" s="410"/>
      <c r="M936" s="410"/>
      <c r="N936" s="410"/>
      <c r="O936" s="410"/>
    </row>
    <row r="937" spans="1:15">
      <c r="A937" s="34"/>
      <c r="B937" s="34"/>
      <c r="C937" s="408" t="s">
        <v>1140</v>
      </c>
      <c r="D937" s="383" t="s">
        <v>195</v>
      </c>
      <c r="E937" s="389">
        <v>295</v>
      </c>
      <c r="F937" s="388">
        <v>0</v>
      </c>
      <c r="G937" s="391">
        <f t="shared" si="49"/>
        <v>0</v>
      </c>
      <c r="H937" s="409"/>
      <c r="I937" s="409"/>
      <c r="J937" s="410"/>
      <c r="K937" s="410"/>
      <c r="L937" s="410"/>
      <c r="M937" s="410"/>
      <c r="N937" s="410"/>
      <c r="O937" s="410"/>
    </row>
    <row r="938" spans="1:15" ht="135">
      <c r="A938" s="34"/>
      <c r="B938" s="34"/>
      <c r="C938" s="408" t="s">
        <v>1141</v>
      </c>
      <c r="D938" s="383" t="s">
        <v>40</v>
      </c>
      <c r="E938" s="389">
        <v>6841.54</v>
      </c>
      <c r="F938" s="388">
        <v>0</v>
      </c>
      <c r="G938" s="391">
        <f t="shared" si="49"/>
        <v>0</v>
      </c>
      <c r="H938" s="409"/>
      <c r="I938" s="409"/>
      <c r="J938" s="410"/>
      <c r="K938" s="410"/>
      <c r="L938" s="410"/>
      <c r="M938" s="410"/>
      <c r="N938" s="410"/>
      <c r="O938" s="410"/>
    </row>
    <row r="939" spans="1:15" ht="75">
      <c r="A939" s="34"/>
      <c r="B939" s="34"/>
      <c r="C939" s="408" t="s">
        <v>1142</v>
      </c>
      <c r="D939" s="383" t="s">
        <v>40</v>
      </c>
      <c r="E939" s="389">
        <v>2837.43</v>
      </c>
      <c r="F939" s="388">
        <v>6</v>
      </c>
      <c r="G939" s="391">
        <f t="shared" si="49"/>
        <v>17024.579999999998</v>
      </c>
      <c r="H939" s="409"/>
      <c r="I939" s="409"/>
      <c r="J939" s="410"/>
      <c r="K939" s="410"/>
      <c r="L939" s="410"/>
      <c r="M939" s="410"/>
      <c r="N939" s="410"/>
      <c r="O939" s="410"/>
    </row>
    <row r="940" spans="1:15" ht="60">
      <c r="A940" s="34"/>
      <c r="B940" s="34"/>
      <c r="C940" s="408" t="s">
        <v>1143</v>
      </c>
      <c r="D940" s="383" t="s">
        <v>40</v>
      </c>
      <c r="E940" s="389">
        <v>2837.43</v>
      </c>
      <c r="F940" s="388">
        <v>6</v>
      </c>
      <c r="G940" s="391">
        <f t="shared" si="49"/>
        <v>17024.579999999998</v>
      </c>
      <c r="H940" s="409"/>
      <c r="I940" s="409"/>
      <c r="J940" s="410"/>
      <c r="K940" s="410"/>
      <c r="L940" s="410"/>
      <c r="M940" s="410"/>
      <c r="N940" s="410"/>
      <c r="O940" s="410"/>
    </row>
    <row r="941" spans="1:15" ht="45">
      <c r="A941" s="34"/>
      <c r="B941" s="34"/>
      <c r="C941" s="408" t="s">
        <v>1144</v>
      </c>
      <c r="D941" s="383" t="s">
        <v>40</v>
      </c>
      <c r="E941" s="389">
        <v>7269.7</v>
      </c>
      <c r="F941" s="388">
        <v>8</v>
      </c>
      <c r="G941" s="391">
        <f t="shared" si="49"/>
        <v>58157.599999999999</v>
      </c>
      <c r="H941" s="409"/>
      <c r="I941" s="409"/>
      <c r="J941" s="410"/>
      <c r="K941" s="410"/>
      <c r="L941" s="410"/>
      <c r="M941" s="410"/>
      <c r="N941" s="410"/>
      <c r="O941" s="410"/>
    </row>
    <row r="942" spans="1:15" ht="30">
      <c r="A942" s="34"/>
      <c r="B942" s="34"/>
      <c r="C942" s="408" t="s">
        <v>1145</v>
      </c>
      <c r="D942" s="383" t="s">
        <v>40</v>
      </c>
      <c r="E942" s="389">
        <v>3088.89</v>
      </c>
      <c r="F942" s="388">
        <v>5</v>
      </c>
      <c r="G942" s="391">
        <f t="shared" si="49"/>
        <v>15444.449999999999</v>
      </c>
      <c r="H942" s="409"/>
      <c r="I942" s="409"/>
      <c r="J942" s="410"/>
      <c r="K942" s="410"/>
      <c r="L942" s="410"/>
      <c r="M942" s="410"/>
      <c r="N942" s="410"/>
      <c r="O942" s="410"/>
    </row>
    <row r="943" spans="1:15" ht="75">
      <c r="A943" s="34"/>
      <c r="B943" s="34"/>
      <c r="C943" s="408" t="s">
        <v>1146</v>
      </c>
      <c r="D943" s="383" t="s">
        <v>40</v>
      </c>
      <c r="E943" s="389">
        <v>622327.28</v>
      </c>
      <c r="F943" s="388">
        <v>2</v>
      </c>
      <c r="G943" s="391">
        <f t="shared" si="49"/>
        <v>1244654.56</v>
      </c>
      <c r="H943" s="409"/>
      <c r="I943" s="409"/>
      <c r="J943" s="410"/>
      <c r="K943" s="410"/>
      <c r="L943" s="410"/>
      <c r="M943" s="410"/>
      <c r="N943" s="410"/>
      <c r="O943" s="410"/>
    </row>
    <row r="944" spans="1:15" ht="60">
      <c r="A944" s="34"/>
      <c r="B944" s="34"/>
      <c r="C944" s="408" t="s">
        <v>1147</v>
      </c>
      <c r="D944" s="383" t="s">
        <v>40</v>
      </c>
      <c r="E944" s="389">
        <v>88984.98</v>
      </c>
      <c r="F944" s="388">
        <v>7</v>
      </c>
      <c r="G944" s="391">
        <f t="shared" si="49"/>
        <v>622894.86</v>
      </c>
      <c r="H944" s="409"/>
      <c r="I944" s="409"/>
      <c r="J944" s="410"/>
      <c r="K944" s="410"/>
      <c r="L944" s="410"/>
      <c r="M944" s="410"/>
      <c r="N944" s="410"/>
      <c r="O944" s="410"/>
    </row>
    <row r="945" spans="1:15" ht="30">
      <c r="A945" s="34"/>
      <c r="B945" s="34"/>
      <c r="C945" s="392" t="s">
        <v>1148</v>
      </c>
      <c r="D945" s="383" t="s">
        <v>266</v>
      </c>
      <c r="E945" s="389">
        <v>475328</v>
      </c>
      <c r="F945" s="388">
        <v>1</v>
      </c>
      <c r="G945" s="391">
        <f t="shared" si="49"/>
        <v>475328</v>
      </c>
      <c r="H945" s="409"/>
      <c r="I945" s="409"/>
      <c r="J945" s="410"/>
      <c r="K945" s="410"/>
      <c r="L945" s="410"/>
      <c r="M945" s="410"/>
      <c r="N945" s="410"/>
      <c r="O945" s="410"/>
    </row>
    <row r="946" spans="1:15" ht="30">
      <c r="A946" s="34"/>
      <c r="B946" s="34"/>
      <c r="C946" s="408" t="s">
        <v>1149</v>
      </c>
      <c r="D946" s="383" t="s">
        <v>40</v>
      </c>
      <c r="E946" s="389">
        <v>17700</v>
      </c>
      <c r="F946" s="388">
        <v>2</v>
      </c>
      <c r="G946" s="391">
        <f t="shared" ref="G946:G965" si="50">E946*F946</f>
        <v>35400</v>
      </c>
      <c r="H946" s="409"/>
      <c r="I946" s="409"/>
      <c r="J946" s="410"/>
      <c r="K946" s="410"/>
      <c r="L946" s="410"/>
      <c r="M946" s="410"/>
      <c r="N946" s="410"/>
      <c r="O946" s="410"/>
    </row>
    <row r="947" spans="1:15" ht="30">
      <c r="A947" s="34"/>
      <c r="B947" s="34"/>
      <c r="C947" s="408" t="s">
        <v>1150</v>
      </c>
      <c r="D947" s="383" t="s">
        <v>266</v>
      </c>
      <c r="E947" s="389">
        <v>35400</v>
      </c>
      <c r="F947" s="388">
        <v>1</v>
      </c>
      <c r="G947" s="391">
        <f t="shared" si="50"/>
        <v>35400</v>
      </c>
      <c r="H947" s="409"/>
      <c r="I947" s="409"/>
      <c r="J947" s="410"/>
      <c r="K947" s="410"/>
      <c r="L947" s="410"/>
      <c r="M947" s="410"/>
      <c r="N947" s="410"/>
      <c r="O947" s="410"/>
    </row>
    <row r="948" spans="1:15" ht="30">
      <c r="A948" s="34"/>
      <c r="B948" s="34"/>
      <c r="C948" s="408" t="s">
        <v>1151</v>
      </c>
      <c r="D948" s="383" t="s">
        <v>40</v>
      </c>
      <c r="E948" s="389">
        <v>11800</v>
      </c>
      <c r="F948" s="388">
        <v>2</v>
      </c>
      <c r="G948" s="391">
        <f t="shared" si="50"/>
        <v>23600</v>
      </c>
      <c r="H948" s="409"/>
      <c r="I948" s="409"/>
      <c r="J948" s="410"/>
      <c r="K948" s="410"/>
      <c r="L948" s="410"/>
      <c r="M948" s="410"/>
      <c r="N948" s="410"/>
      <c r="O948" s="410"/>
    </row>
    <row r="949" spans="1:15" ht="30">
      <c r="A949" s="34"/>
      <c r="B949" s="34"/>
      <c r="C949" s="408" t="s">
        <v>1152</v>
      </c>
      <c r="D949" s="383" t="s">
        <v>266</v>
      </c>
      <c r="E949" s="389">
        <v>23600</v>
      </c>
      <c r="F949" s="388">
        <v>1</v>
      </c>
      <c r="G949" s="391">
        <f t="shared" si="50"/>
        <v>23600</v>
      </c>
      <c r="H949" s="409"/>
      <c r="I949" s="409"/>
      <c r="J949" s="410"/>
      <c r="K949" s="410"/>
      <c r="L949" s="410"/>
      <c r="M949" s="410"/>
      <c r="N949" s="410"/>
      <c r="O949" s="410"/>
    </row>
    <row r="950" spans="1:15" ht="30">
      <c r="A950" s="34"/>
      <c r="B950" s="34"/>
      <c r="C950" s="408" t="s">
        <v>1153</v>
      </c>
      <c r="D950" s="383" t="s">
        <v>40</v>
      </c>
      <c r="E950" s="389">
        <v>8834.66</v>
      </c>
      <c r="F950" s="388">
        <v>2</v>
      </c>
      <c r="G950" s="391">
        <f t="shared" si="50"/>
        <v>17669.32</v>
      </c>
      <c r="H950" s="409"/>
      <c r="I950" s="409"/>
      <c r="J950" s="410"/>
      <c r="K950" s="410"/>
      <c r="L950" s="410"/>
      <c r="M950" s="410"/>
      <c r="N950" s="410"/>
      <c r="O950" s="410"/>
    </row>
    <row r="951" spans="1:15" ht="30">
      <c r="A951" s="34"/>
      <c r="B951" s="34"/>
      <c r="C951" s="408" t="s">
        <v>1154</v>
      </c>
      <c r="D951" s="383" t="s">
        <v>40</v>
      </c>
      <c r="E951" s="389">
        <v>7363.2</v>
      </c>
      <c r="F951" s="388">
        <v>1</v>
      </c>
      <c r="G951" s="391">
        <f t="shared" si="50"/>
        <v>7363.2</v>
      </c>
      <c r="H951" s="409"/>
      <c r="I951" s="409"/>
      <c r="J951" s="410"/>
      <c r="K951" s="410"/>
      <c r="L951" s="410"/>
      <c r="M951" s="410"/>
      <c r="N951" s="410"/>
      <c r="O951" s="410"/>
    </row>
    <row r="952" spans="1:15" ht="30">
      <c r="A952" s="34"/>
      <c r="B952" s="34"/>
      <c r="C952" s="408" t="s">
        <v>1155</v>
      </c>
      <c r="D952" s="383" t="s">
        <v>40</v>
      </c>
      <c r="E952" s="389">
        <v>2944.1</v>
      </c>
      <c r="F952" s="388">
        <v>3</v>
      </c>
      <c r="G952" s="391">
        <f t="shared" si="50"/>
        <v>8832.2999999999993</v>
      </c>
      <c r="H952" s="409"/>
      <c r="I952" s="409"/>
      <c r="J952" s="410"/>
      <c r="K952" s="410"/>
      <c r="L952" s="410"/>
      <c r="M952" s="410"/>
      <c r="N952" s="410"/>
      <c r="O952" s="410"/>
    </row>
    <row r="953" spans="1:15" ht="30">
      <c r="A953" s="34"/>
      <c r="B953" s="34"/>
      <c r="C953" s="408" t="s">
        <v>1156</v>
      </c>
      <c r="D953" s="383" t="s">
        <v>40</v>
      </c>
      <c r="E953" s="389">
        <v>1882.1</v>
      </c>
      <c r="F953" s="388">
        <v>3</v>
      </c>
      <c r="G953" s="391">
        <f t="shared" si="50"/>
        <v>5646.2999999999993</v>
      </c>
      <c r="H953" s="409"/>
      <c r="I953" s="409"/>
      <c r="J953" s="410"/>
      <c r="K953" s="410"/>
      <c r="L953" s="410"/>
      <c r="M953" s="410"/>
      <c r="N953" s="410"/>
      <c r="O953" s="410"/>
    </row>
    <row r="954" spans="1:15" ht="30">
      <c r="A954" s="34"/>
      <c r="B954" s="34"/>
      <c r="C954" s="408" t="s">
        <v>1157</v>
      </c>
      <c r="D954" s="383" t="s">
        <v>40</v>
      </c>
      <c r="E954" s="389">
        <v>1412.46</v>
      </c>
      <c r="F954" s="388">
        <v>10</v>
      </c>
      <c r="G954" s="391">
        <f t="shared" si="50"/>
        <v>14124.6</v>
      </c>
      <c r="H954" s="409"/>
      <c r="I954" s="409"/>
      <c r="J954" s="410"/>
      <c r="K954" s="410"/>
      <c r="L954" s="410"/>
      <c r="M954" s="410"/>
      <c r="N954" s="410"/>
      <c r="O954" s="410"/>
    </row>
    <row r="955" spans="1:15" ht="30">
      <c r="A955" s="34"/>
      <c r="B955" s="34"/>
      <c r="C955" s="408" t="s">
        <v>1158</v>
      </c>
      <c r="D955" s="383" t="s">
        <v>40</v>
      </c>
      <c r="E955" s="389">
        <v>2000.1</v>
      </c>
      <c r="F955" s="388">
        <v>3</v>
      </c>
      <c r="G955" s="391">
        <f t="shared" si="50"/>
        <v>6000.2999999999993</v>
      </c>
      <c r="H955" s="409"/>
      <c r="I955" s="409"/>
      <c r="J955" s="410"/>
      <c r="K955" s="410"/>
      <c r="L955" s="410"/>
      <c r="M955" s="410"/>
      <c r="N955" s="410"/>
      <c r="O955" s="410"/>
    </row>
    <row r="956" spans="1:15" ht="90">
      <c r="A956" s="34"/>
      <c r="B956" s="34"/>
      <c r="C956" s="408" t="s">
        <v>1159</v>
      </c>
      <c r="D956" s="383" t="s">
        <v>1103</v>
      </c>
      <c r="E956" s="389">
        <v>251558.3</v>
      </c>
      <c r="F956" s="388">
        <v>0.43809999999999999</v>
      </c>
      <c r="G956" s="391">
        <f t="shared" si="50"/>
        <v>110207.69123</v>
      </c>
      <c r="H956" s="409"/>
      <c r="I956" s="409"/>
      <c r="J956" s="410"/>
      <c r="K956" s="410"/>
      <c r="L956" s="410"/>
      <c r="M956" s="410"/>
      <c r="N956" s="410"/>
      <c r="O956" s="410"/>
    </row>
    <row r="957" spans="1:15" ht="75">
      <c r="A957" s="34"/>
      <c r="B957" s="34"/>
      <c r="C957" s="411" t="s">
        <v>1160</v>
      </c>
      <c r="D957" s="383" t="s">
        <v>193</v>
      </c>
      <c r="E957" s="389">
        <v>3733.64</v>
      </c>
      <c r="F957" s="388">
        <v>13</v>
      </c>
      <c r="G957" s="391">
        <f t="shared" si="50"/>
        <v>48537.32</v>
      </c>
      <c r="H957" s="409"/>
      <c r="I957" s="409"/>
      <c r="J957" s="410"/>
      <c r="K957" s="410"/>
      <c r="L957" s="410"/>
      <c r="M957" s="410"/>
      <c r="N957" s="410"/>
      <c r="O957" s="410"/>
    </row>
    <row r="958" spans="1:15" ht="105">
      <c r="A958" s="34"/>
      <c r="B958" s="34"/>
      <c r="C958" s="411" t="s">
        <v>1161</v>
      </c>
      <c r="D958" s="383" t="s">
        <v>193</v>
      </c>
      <c r="E958" s="389">
        <v>7553.58</v>
      </c>
      <c r="F958" s="388">
        <v>4</v>
      </c>
      <c r="G958" s="391">
        <f t="shared" si="50"/>
        <v>30214.32</v>
      </c>
      <c r="H958" s="409"/>
      <c r="I958" s="409"/>
      <c r="J958" s="410"/>
      <c r="K958" s="410"/>
      <c r="L958" s="410"/>
      <c r="M958" s="410"/>
      <c r="N958" s="410"/>
      <c r="O958" s="410"/>
    </row>
    <row r="959" spans="1:15" ht="135">
      <c r="A959" s="34"/>
      <c r="B959" s="34"/>
      <c r="C959" s="411" t="s">
        <v>1162</v>
      </c>
      <c r="D959" s="383" t="s">
        <v>193</v>
      </c>
      <c r="E959" s="389">
        <v>5390.95</v>
      </c>
      <c r="F959" s="388">
        <v>4</v>
      </c>
      <c r="G959" s="391">
        <f t="shared" si="50"/>
        <v>21563.8</v>
      </c>
      <c r="H959" s="409"/>
      <c r="I959" s="409"/>
      <c r="J959" s="410"/>
      <c r="K959" s="410"/>
      <c r="L959" s="410"/>
      <c r="M959" s="410"/>
      <c r="N959" s="410"/>
      <c r="O959" s="410"/>
    </row>
    <row r="960" spans="1:15" ht="45">
      <c r="A960" s="34"/>
      <c r="B960" s="34"/>
      <c r="C960" s="398" t="s">
        <v>1163</v>
      </c>
      <c r="D960" s="383" t="s">
        <v>193</v>
      </c>
      <c r="E960" s="389">
        <v>3409.68</v>
      </c>
      <c r="F960" s="388">
        <v>16</v>
      </c>
      <c r="G960" s="391">
        <f t="shared" si="50"/>
        <v>54554.879999999997</v>
      </c>
      <c r="H960" s="409"/>
      <c r="I960" s="409"/>
      <c r="J960" s="410"/>
      <c r="K960" s="410"/>
      <c r="L960" s="410"/>
      <c r="M960" s="410"/>
      <c r="N960" s="410"/>
      <c r="O960" s="410"/>
    </row>
    <row r="961" spans="1:15" ht="105">
      <c r="A961" s="34"/>
      <c r="B961" s="34"/>
      <c r="C961" s="404" t="s">
        <v>1164</v>
      </c>
      <c r="D961" s="383" t="s">
        <v>193</v>
      </c>
      <c r="E961" s="389">
        <v>7109.5</v>
      </c>
      <c r="F961" s="388">
        <v>6</v>
      </c>
      <c r="G961" s="391">
        <f t="shared" si="50"/>
        <v>42657</v>
      </c>
      <c r="H961" s="409"/>
      <c r="I961" s="409"/>
      <c r="J961" s="410"/>
      <c r="K961" s="410"/>
      <c r="L961" s="410"/>
      <c r="M961" s="410"/>
      <c r="N961" s="410"/>
      <c r="O961" s="410"/>
    </row>
    <row r="962" spans="1:15" ht="150">
      <c r="A962" s="34"/>
      <c r="B962" s="34"/>
      <c r="C962" s="404" t="s">
        <v>1165</v>
      </c>
      <c r="D962" s="383" t="s">
        <v>193</v>
      </c>
      <c r="E962" s="389">
        <v>5076.25</v>
      </c>
      <c r="F962" s="388">
        <v>6</v>
      </c>
      <c r="G962" s="391">
        <f t="shared" si="50"/>
        <v>30457.5</v>
      </c>
      <c r="H962" s="409"/>
      <c r="I962" s="409"/>
      <c r="J962" s="410"/>
      <c r="K962" s="410"/>
      <c r="L962" s="410"/>
      <c r="M962" s="410"/>
      <c r="N962" s="410"/>
      <c r="O962" s="410"/>
    </row>
    <row r="963" spans="1:15" ht="120">
      <c r="A963" s="34"/>
      <c r="B963" s="34"/>
      <c r="C963" s="404" t="s">
        <v>1166</v>
      </c>
      <c r="D963" s="383" t="s">
        <v>193</v>
      </c>
      <c r="E963" s="389">
        <v>92021.36</v>
      </c>
      <c r="F963" s="388">
        <v>4</v>
      </c>
      <c r="G963" s="391">
        <f t="shared" si="50"/>
        <v>368085.44</v>
      </c>
      <c r="H963" s="409"/>
      <c r="I963" s="409"/>
      <c r="J963" s="410"/>
      <c r="K963" s="410"/>
      <c r="L963" s="410"/>
      <c r="M963" s="410"/>
      <c r="N963" s="410"/>
      <c r="O963" s="410"/>
    </row>
    <row r="964" spans="1:15" ht="105">
      <c r="A964" s="34"/>
      <c r="B964" s="34"/>
      <c r="C964" s="404" t="s">
        <v>1167</v>
      </c>
      <c r="D964" s="383" t="s">
        <v>193</v>
      </c>
      <c r="E964" s="389">
        <v>92021.36</v>
      </c>
      <c r="F964" s="388">
        <v>3</v>
      </c>
      <c r="G964" s="391">
        <f t="shared" si="50"/>
        <v>276064.08</v>
      </c>
      <c r="H964" s="409"/>
      <c r="I964" s="409"/>
      <c r="J964" s="410"/>
      <c r="K964" s="410"/>
      <c r="L964" s="410"/>
      <c r="M964" s="410"/>
      <c r="N964" s="410"/>
      <c r="O964" s="410"/>
    </row>
    <row r="965" spans="1:15" ht="60">
      <c r="A965" s="34"/>
      <c r="B965" s="34"/>
      <c r="C965" s="412" t="s">
        <v>1168</v>
      </c>
      <c r="D965" s="383" t="s">
        <v>193</v>
      </c>
      <c r="E965" s="389">
        <v>3402.17</v>
      </c>
      <c r="F965" s="388">
        <v>22</v>
      </c>
      <c r="G965" s="391">
        <f t="shared" si="50"/>
        <v>74847.740000000005</v>
      </c>
      <c r="H965" s="409"/>
      <c r="I965" s="409"/>
      <c r="J965" s="410"/>
      <c r="K965" s="410"/>
      <c r="L965" s="410"/>
      <c r="M965" s="410"/>
      <c r="N965" s="410"/>
      <c r="O965" s="410"/>
    </row>
    <row r="966" spans="1:15">
      <c r="A966" s="34"/>
      <c r="B966" s="34"/>
      <c r="C966" s="413"/>
      <c r="D966" s="383"/>
      <c r="E966" s="389"/>
      <c r="F966" s="388"/>
      <c r="G966" s="391"/>
      <c r="H966" s="409"/>
      <c r="I966" s="409"/>
      <c r="J966" s="410"/>
      <c r="K966" s="410"/>
      <c r="L966" s="410"/>
      <c r="M966" s="410"/>
      <c r="N966" s="410"/>
      <c r="O966" s="410"/>
    </row>
    <row r="967" spans="1:15">
      <c r="A967" s="34"/>
      <c r="B967" s="34"/>
      <c r="C967" s="392"/>
      <c r="D967" s="386"/>
      <c r="E967" s="34"/>
      <c r="F967" s="349"/>
      <c r="G967" s="393"/>
      <c r="H967" s="409"/>
      <c r="I967" s="410"/>
      <c r="J967" s="410"/>
      <c r="K967" s="410"/>
      <c r="L967" s="410"/>
      <c r="M967" s="410"/>
      <c r="N967" s="410"/>
      <c r="O967" s="410"/>
    </row>
    <row r="968" spans="1:15">
      <c r="A968" s="34"/>
      <c r="B968" s="34"/>
      <c r="C968" s="34"/>
      <c r="D968" s="34"/>
      <c r="E968" s="34"/>
      <c r="F968" s="34"/>
      <c r="G968" s="414">
        <f>SUM(G562:G967)</f>
        <v>21463990.381229989</v>
      </c>
    </row>
    <row r="969" spans="1:15" ht="30">
      <c r="A969" s="34">
        <v>384</v>
      </c>
      <c r="B969" s="34"/>
      <c r="C969" s="415" t="s">
        <v>1169</v>
      </c>
      <c r="D969" s="379" t="s">
        <v>195</v>
      </c>
      <c r="E969" s="416">
        <v>99.9</v>
      </c>
      <c r="F969" s="34"/>
      <c r="G969" s="34"/>
      <c r="H969" s="34"/>
      <c r="I969" s="34"/>
      <c r="J969" s="34"/>
      <c r="K969" s="34"/>
      <c r="L969" s="34"/>
      <c r="M969" s="34"/>
      <c r="N969" s="417">
        <v>1904.2</v>
      </c>
      <c r="O969" s="416">
        <f>E969*N969</f>
        <v>190229.58000000002</v>
      </c>
    </row>
    <row r="970" spans="1:15" ht="30">
      <c r="A970" s="34">
        <v>385</v>
      </c>
      <c r="B970" s="34"/>
      <c r="C970" s="415" t="s">
        <v>1170</v>
      </c>
      <c r="D970" s="379" t="s">
        <v>195</v>
      </c>
      <c r="E970" s="416">
        <v>76.599999999999994</v>
      </c>
      <c r="F970" s="34"/>
      <c r="G970" s="34"/>
      <c r="H970" s="34"/>
      <c r="I970" s="34"/>
      <c r="J970" s="34"/>
      <c r="K970" s="34"/>
      <c r="L970" s="34"/>
      <c r="M970" s="34"/>
      <c r="N970" s="417">
        <v>0</v>
      </c>
      <c r="O970" s="416">
        <f t="shared" ref="O970:O997" si="51">E970*N970</f>
        <v>0</v>
      </c>
    </row>
    <row r="971" spans="1:15" ht="30">
      <c r="A971" s="34">
        <v>386</v>
      </c>
      <c r="B971" s="34"/>
      <c r="C971" s="418" t="s">
        <v>1171</v>
      </c>
      <c r="D971" s="379" t="s">
        <v>195</v>
      </c>
      <c r="E971" s="416">
        <v>40</v>
      </c>
      <c r="F971" s="34"/>
      <c r="G971" s="34"/>
      <c r="H971" s="34"/>
      <c r="I971" s="34"/>
      <c r="J971" s="34"/>
      <c r="K971" s="34"/>
      <c r="L971" s="34"/>
      <c r="M971" s="34"/>
      <c r="N971" s="417">
        <v>0</v>
      </c>
      <c r="O971" s="416">
        <f t="shared" si="51"/>
        <v>0</v>
      </c>
    </row>
    <row r="972" spans="1:15" ht="30">
      <c r="A972" s="34">
        <v>387</v>
      </c>
      <c r="B972" s="34"/>
      <c r="C972" s="419" t="s">
        <v>1172</v>
      </c>
      <c r="D972" s="381" t="s">
        <v>195</v>
      </c>
      <c r="E972" s="420">
        <v>20</v>
      </c>
      <c r="F972" s="34"/>
      <c r="G972" s="34"/>
      <c r="H972" s="34"/>
      <c r="I972" s="34"/>
      <c r="J972" s="34"/>
      <c r="K972" s="34"/>
      <c r="L972" s="34"/>
      <c r="M972" s="34"/>
      <c r="N972" s="421">
        <v>0</v>
      </c>
      <c r="O972" s="416">
        <f t="shared" si="51"/>
        <v>0</v>
      </c>
    </row>
    <row r="973" spans="1:15" ht="60">
      <c r="A973" s="34">
        <v>388</v>
      </c>
      <c r="B973" s="34"/>
      <c r="C973" s="415" t="s">
        <v>1173</v>
      </c>
      <c r="D973" s="379" t="s">
        <v>40</v>
      </c>
      <c r="E973" s="422">
        <v>2500</v>
      </c>
      <c r="F973" s="34"/>
      <c r="G973" s="34"/>
      <c r="H973" s="34"/>
      <c r="I973" s="34"/>
      <c r="J973" s="34"/>
      <c r="K973" s="34"/>
      <c r="L973" s="34"/>
      <c r="M973" s="34"/>
      <c r="N973" s="417">
        <v>0</v>
      </c>
      <c r="O973" s="416">
        <f t="shared" si="51"/>
        <v>0</v>
      </c>
    </row>
    <row r="974" spans="1:15" ht="45">
      <c r="A974" s="34">
        <v>389</v>
      </c>
      <c r="B974" s="34"/>
      <c r="C974" s="423" t="s">
        <v>1174</v>
      </c>
      <c r="D974" s="424" t="s">
        <v>40</v>
      </c>
      <c r="E974" s="422">
        <v>1500</v>
      </c>
      <c r="F974" s="34"/>
      <c r="G974" s="34"/>
      <c r="H974" s="34"/>
      <c r="I974" s="34"/>
      <c r="J974" s="34"/>
      <c r="K974" s="34"/>
      <c r="L974" s="34"/>
      <c r="M974" s="34"/>
      <c r="N974" s="417">
        <v>0</v>
      </c>
      <c r="O974" s="416">
        <f t="shared" si="51"/>
        <v>0</v>
      </c>
    </row>
    <row r="975" spans="1:15" ht="30">
      <c r="A975" s="34">
        <v>390</v>
      </c>
      <c r="B975" s="34"/>
      <c r="C975" s="425" t="s">
        <v>1175</v>
      </c>
      <c r="D975" s="381" t="s">
        <v>40</v>
      </c>
      <c r="E975" s="420">
        <v>100</v>
      </c>
      <c r="F975" s="34"/>
      <c r="G975" s="34"/>
      <c r="H975" s="34"/>
      <c r="I975" s="34"/>
      <c r="J975" s="34"/>
      <c r="K975" s="34"/>
      <c r="L975" s="34"/>
      <c r="M975" s="34"/>
      <c r="N975" s="421">
        <v>2</v>
      </c>
      <c r="O975" s="416">
        <f t="shared" si="51"/>
        <v>200</v>
      </c>
    </row>
    <row r="976" spans="1:15" ht="30">
      <c r="A976" s="34">
        <v>391</v>
      </c>
      <c r="B976" s="34"/>
      <c r="C976" s="415" t="s">
        <v>1176</v>
      </c>
      <c r="D976" s="379" t="s">
        <v>40</v>
      </c>
      <c r="E976" s="416">
        <v>2500</v>
      </c>
      <c r="F976" s="34"/>
      <c r="G976" s="34"/>
      <c r="H976" s="34"/>
      <c r="I976" s="34"/>
      <c r="J976" s="34"/>
      <c r="K976" s="34"/>
      <c r="L976" s="34"/>
      <c r="M976" s="34"/>
      <c r="N976" s="417">
        <v>0</v>
      </c>
      <c r="O976" s="416">
        <f t="shared" si="51"/>
        <v>0</v>
      </c>
    </row>
    <row r="977" spans="1:15" ht="45">
      <c r="A977" s="34">
        <v>392</v>
      </c>
      <c r="B977" s="34"/>
      <c r="C977" s="418" t="s">
        <v>1177</v>
      </c>
      <c r="D977" s="424" t="s">
        <v>266</v>
      </c>
      <c r="E977" s="416">
        <v>500</v>
      </c>
      <c r="F977" s="34"/>
      <c r="G977" s="34"/>
      <c r="H977" s="34"/>
      <c r="I977" s="34"/>
      <c r="J977" s="34"/>
      <c r="K977" s="34"/>
      <c r="L977" s="34"/>
      <c r="M977" s="34"/>
      <c r="N977" s="417">
        <v>0</v>
      </c>
      <c r="O977" s="416">
        <f t="shared" si="51"/>
        <v>0</v>
      </c>
    </row>
    <row r="978" spans="1:15" ht="30">
      <c r="A978" s="34">
        <v>393</v>
      </c>
      <c r="B978" s="34"/>
      <c r="C978" s="423" t="s">
        <v>1178</v>
      </c>
      <c r="D978" s="424" t="s">
        <v>40</v>
      </c>
      <c r="E978" s="416">
        <v>100</v>
      </c>
      <c r="F978" s="34"/>
      <c r="G978" s="34"/>
      <c r="H978" s="34"/>
      <c r="I978" s="34"/>
      <c r="J978" s="34"/>
      <c r="K978" s="34"/>
      <c r="L978" s="34"/>
      <c r="M978" s="34"/>
      <c r="N978" s="426">
        <v>107</v>
      </c>
      <c r="O978" s="416">
        <f t="shared" si="51"/>
        <v>10700</v>
      </c>
    </row>
    <row r="979" spans="1:15" ht="30">
      <c r="A979" s="34">
        <v>394</v>
      </c>
      <c r="B979" s="34"/>
      <c r="C979" s="419" t="s">
        <v>1179</v>
      </c>
      <c r="D979" s="427" t="s">
        <v>40</v>
      </c>
      <c r="E979" s="416">
        <v>2500</v>
      </c>
      <c r="F979" s="34"/>
      <c r="G979" s="34"/>
      <c r="H979" s="34"/>
      <c r="I979" s="34"/>
      <c r="J979" s="34"/>
      <c r="K979" s="34"/>
      <c r="L979" s="34"/>
      <c r="M979" s="34"/>
      <c r="N979" s="417">
        <v>0</v>
      </c>
      <c r="O979" s="416">
        <f t="shared" si="51"/>
        <v>0</v>
      </c>
    </row>
    <row r="980" spans="1:15" ht="30">
      <c r="A980" s="34">
        <v>395</v>
      </c>
      <c r="B980" s="34"/>
      <c r="C980" s="419" t="s">
        <v>1180</v>
      </c>
      <c r="D980" s="427" t="s">
        <v>40</v>
      </c>
      <c r="E980" s="416">
        <v>100</v>
      </c>
      <c r="F980" s="34"/>
      <c r="G980" s="34"/>
      <c r="H980" s="34"/>
      <c r="I980" s="34"/>
      <c r="J980" s="34"/>
      <c r="K980" s="34"/>
      <c r="L980" s="34"/>
      <c r="M980" s="34"/>
      <c r="N980" s="417">
        <v>0</v>
      </c>
      <c r="O980" s="416">
        <f t="shared" si="51"/>
        <v>0</v>
      </c>
    </row>
    <row r="981" spans="1:15">
      <c r="A981" s="34">
        <v>396</v>
      </c>
      <c r="B981" s="34"/>
      <c r="C981" s="419" t="s">
        <v>1181</v>
      </c>
      <c r="D981" s="427" t="s">
        <v>40</v>
      </c>
      <c r="E981" s="416">
        <v>100</v>
      </c>
      <c r="F981" s="34"/>
      <c r="G981" s="34"/>
      <c r="H981" s="34"/>
      <c r="I981" s="34"/>
      <c r="J981" s="34"/>
      <c r="K981" s="34"/>
      <c r="L981" s="34"/>
      <c r="M981" s="34"/>
      <c r="N981" s="417">
        <v>1</v>
      </c>
      <c r="O981" s="416">
        <f t="shared" si="51"/>
        <v>100</v>
      </c>
    </row>
    <row r="982" spans="1:15" ht="60">
      <c r="A982" s="34">
        <v>397</v>
      </c>
      <c r="B982" s="34"/>
      <c r="C982" s="10" t="s">
        <v>1182</v>
      </c>
      <c r="D982" s="34" t="s">
        <v>195</v>
      </c>
      <c r="E982" s="60">
        <v>20</v>
      </c>
      <c r="F982" s="34"/>
      <c r="G982" s="34">
        <f>SUM(E982:F982)</f>
        <v>20</v>
      </c>
      <c r="H982" s="60">
        <v>0</v>
      </c>
      <c r="I982" s="60">
        <f>E982*H982</f>
        <v>0</v>
      </c>
      <c r="J982" s="34"/>
      <c r="K982" s="34"/>
      <c r="L982" s="34"/>
      <c r="M982" s="34"/>
      <c r="N982" s="34"/>
      <c r="O982" s="416"/>
    </row>
    <row r="983" spans="1:15" ht="60">
      <c r="A983" s="34">
        <v>398</v>
      </c>
      <c r="B983" s="34"/>
      <c r="C983" s="10" t="s">
        <v>1183</v>
      </c>
      <c r="D983" s="60" t="s">
        <v>40</v>
      </c>
      <c r="E983" s="416">
        <v>25000</v>
      </c>
      <c r="F983" s="60">
        <v>1</v>
      </c>
      <c r="G983" s="60">
        <f>E983*F983</f>
        <v>25000</v>
      </c>
      <c r="H983" s="34"/>
      <c r="I983" s="34"/>
      <c r="J983" s="34"/>
      <c r="K983" s="34"/>
      <c r="L983" s="34"/>
      <c r="M983" s="34"/>
      <c r="N983" s="34"/>
      <c r="O983" s="416"/>
    </row>
    <row r="984" spans="1:15" ht="45">
      <c r="A984" s="34">
        <v>399</v>
      </c>
      <c r="B984" s="34"/>
      <c r="C984" s="418" t="s">
        <v>1184</v>
      </c>
      <c r="D984" s="60" t="s">
        <v>40</v>
      </c>
      <c r="E984" s="416">
        <v>2500</v>
      </c>
      <c r="F984" s="60">
        <v>1</v>
      </c>
      <c r="G984" s="60">
        <f>E984*F984</f>
        <v>2500</v>
      </c>
      <c r="H984" s="34"/>
      <c r="I984" s="34"/>
      <c r="J984" s="34"/>
      <c r="K984" s="34"/>
      <c r="L984" s="34"/>
      <c r="M984" s="34"/>
      <c r="N984" s="34"/>
      <c r="O984" s="416"/>
    </row>
    <row r="985" spans="1:15" ht="45">
      <c r="A985" s="34">
        <v>400</v>
      </c>
      <c r="B985" s="34"/>
      <c r="C985" s="419" t="s">
        <v>1185</v>
      </c>
      <c r="D985" s="60" t="s">
        <v>40</v>
      </c>
      <c r="E985" s="60">
        <v>20</v>
      </c>
      <c r="F985" s="34"/>
      <c r="G985" s="34"/>
      <c r="H985" s="34"/>
      <c r="I985" s="34"/>
      <c r="J985" s="34"/>
      <c r="K985" s="34"/>
      <c r="L985" s="34"/>
      <c r="M985" s="34"/>
      <c r="N985" s="34">
        <v>15</v>
      </c>
      <c r="O985" s="416">
        <f t="shared" si="51"/>
        <v>300</v>
      </c>
    </row>
    <row r="986" spans="1:15" ht="30">
      <c r="A986" s="34">
        <v>401</v>
      </c>
      <c r="B986" s="34"/>
      <c r="C986" s="10" t="s">
        <v>1081</v>
      </c>
      <c r="D986" s="386" t="s">
        <v>195</v>
      </c>
      <c r="E986" s="60">
        <v>8.26</v>
      </c>
      <c r="F986" s="34"/>
      <c r="G986" s="34"/>
      <c r="H986" s="34"/>
      <c r="I986" s="34"/>
      <c r="J986" s="34"/>
      <c r="K986" s="34"/>
      <c r="L986" s="34"/>
      <c r="M986" s="34"/>
      <c r="N986" s="34">
        <v>0</v>
      </c>
      <c r="O986" s="416">
        <f t="shared" si="51"/>
        <v>0</v>
      </c>
    </row>
    <row r="987" spans="1:15" ht="30">
      <c r="A987" s="34">
        <v>402</v>
      </c>
      <c r="B987" s="34"/>
      <c r="C987" s="10" t="s">
        <v>1087</v>
      </c>
      <c r="D987" s="386" t="s">
        <v>195</v>
      </c>
      <c r="E987" s="60">
        <v>8.26</v>
      </c>
      <c r="F987" s="34"/>
      <c r="G987" s="34"/>
      <c r="H987" s="34"/>
      <c r="I987" s="34"/>
      <c r="J987" s="34"/>
      <c r="K987" s="34"/>
      <c r="L987" s="34"/>
      <c r="M987" s="34"/>
      <c r="N987" s="34">
        <v>0</v>
      </c>
      <c r="O987" s="416">
        <f t="shared" si="51"/>
        <v>0</v>
      </c>
    </row>
    <row r="988" spans="1:15" ht="45">
      <c r="A988" s="34">
        <v>403</v>
      </c>
      <c r="B988" s="34"/>
      <c r="C988" s="10" t="s">
        <v>1186</v>
      </c>
      <c r="D988" s="386" t="s">
        <v>195</v>
      </c>
      <c r="E988" s="60">
        <v>20</v>
      </c>
      <c r="F988" s="34"/>
      <c r="G988" s="34"/>
      <c r="H988" s="34"/>
      <c r="I988" s="34"/>
      <c r="J988" s="34"/>
      <c r="K988" s="34"/>
      <c r="L988" s="34"/>
      <c r="M988" s="34"/>
      <c r="N988" s="72">
        <v>0</v>
      </c>
      <c r="O988" s="416">
        <f t="shared" si="51"/>
        <v>0</v>
      </c>
    </row>
    <row r="989" spans="1:15" ht="30">
      <c r="A989" s="34">
        <v>404</v>
      </c>
      <c r="B989" s="34"/>
      <c r="C989" s="10" t="s">
        <v>1187</v>
      </c>
      <c r="D989" s="386" t="s">
        <v>195</v>
      </c>
      <c r="E989" s="60">
        <v>20</v>
      </c>
      <c r="F989" s="34"/>
      <c r="G989" s="34"/>
      <c r="H989" s="34"/>
      <c r="I989" s="34"/>
      <c r="J989" s="34"/>
      <c r="K989" s="34"/>
      <c r="L989" s="34"/>
      <c r="M989" s="34"/>
      <c r="N989" s="72">
        <v>0</v>
      </c>
      <c r="O989" s="416">
        <f t="shared" si="51"/>
        <v>0</v>
      </c>
    </row>
    <row r="990" spans="1:15" ht="45">
      <c r="A990" s="34">
        <v>405</v>
      </c>
      <c r="B990" s="34"/>
      <c r="C990" s="10" t="s">
        <v>1188</v>
      </c>
      <c r="D990" s="386" t="s">
        <v>266</v>
      </c>
      <c r="E990" s="427">
        <v>17565</v>
      </c>
      <c r="F990" s="34"/>
      <c r="G990" s="34"/>
      <c r="H990" s="34"/>
      <c r="I990" s="34"/>
      <c r="J990" s="34"/>
      <c r="K990" s="34"/>
      <c r="L990" s="34"/>
      <c r="M990" s="34"/>
      <c r="N990" s="72">
        <v>1</v>
      </c>
      <c r="O990" s="428">
        <f t="shared" si="51"/>
        <v>17565</v>
      </c>
    </row>
    <row r="991" spans="1:15" ht="45">
      <c r="A991" s="34">
        <v>406</v>
      </c>
      <c r="B991" s="34"/>
      <c r="C991" s="10" t="s">
        <v>1189</v>
      </c>
      <c r="D991" s="60" t="s">
        <v>40</v>
      </c>
      <c r="E991" s="60">
        <v>10000</v>
      </c>
      <c r="F991" s="34"/>
      <c r="G991" s="34"/>
      <c r="H991" s="34"/>
      <c r="I991" s="34"/>
      <c r="J991" s="34"/>
      <c r="K991" s="34"/>
      <c r="L991" s="34"/>
      <c r="M991" s="34"/>
      <c r="N991" s="72">
        <v>1</v>
      </c>
      <c r="O991" s="416">
        <f t="shared" si="51"/>
        <v>10000</v>
      </c>
    </row>
    <row r="992" spans="1:15" ht="45">
      <c r="A992" s="34">
        <v>407</v>
      </c>
      <c r="B992" s="34"/>
      <c r="C992" s="10" t="s">
        <v>1189</v>
      </c>
      <c r="D992" s="60" t="s">
        <v>40</v>
      </c>
      <c r="E992" s="60">
        <v>2500</v>
      </c>
      <c r="F992" s="34"/>
      <c r="G992" s="34"/>
      <c r="H992" s="34"/>
      <c r="I992" s="34"/>
      <c r="J992" s="34"/>
      <c r="K992" s="34"/>
      <c r="L992" s="34"/>
      <c r="M992" s="34"/>
      <c r="N992" s="72">
        <v>1</v>
      </c>
      <c r="O992" s="416">
        <f t="shared" si="51"/>
        <v>2500</v>
      </c>
    </row>
    <row r="993" spans="1:15" ht="60">
      <c r="A993" s="34">
        <v>408</v>
      </c>
      <c r="B993" s="34"/>
      <c r="C993" s="392" t="s">
        <v>1190</v>
      </c>
      <c r="D993" s="383" t="s">
        <v>7</v>
      </c>
      <c r="E993" s="60">
        <v>20</v>
      </c>
      <c r="F993" s="34"/>
      <c r="G993" s="34"/>
      <c r="H993" s="34"/>
      <c r="I993" s="34"/>
      <c r="J993" s="34"/>
      <c r="K993" s="34"/>
      <c r="L993" s="34"/>
      <c r="M993" s="34"/>
      <c r="N993" s="60">
        <v>40</v>
      </c>
      <c r="O993" s="416">
        <f t="shared" si="51"/>
        <v>800</v>
      </c>
    </row>
    <row r="994" spans="1:15" ht="45">
      <c r="A994" s="34">
        <v>409</v>
      </c>
      <c r="B994" s="34"/>
      <c r="C994" s="10" t="s">
        <v>1191</v>
      </c>
      <c r="D994" s="396" t="s">
        <v>40</v>
      </c>
      <c r="E994" s="60">
        <v>2000</v>
      </c>
      <c r="F994" s="34"/>
      <c r="G994" s="34"/>
      <c r="H994" s="34"/>
      <c r="I994" s="34"/>
      <c r="J994" s="34"/>
      <c r="K994" s="34"/>
      <c r="L994" s="34"/>
      <c r="M994" s="34"/>
      <c r="N994" s="72">
        <v>1</v>
      </c>
      <c r="O994" s="416">
        <f t="shared" si="51"/>
        <v>2000</v>
      </c>
    </row>
    <row r="995" spans="1:15" ht="45">
      <c r="A995" s="34">
        <v>410</v>
      </c>
      <c r="B995" s="34"/>
      <c r="C995" s="10" t="s">
        <v>1189</v>
      </c>
      <c r="D995" s="396" t="s">
        <v>40</v>
      </c>
      <c r="E995" s="60">
        <v>2500</v>
      </c>
      <c r="F995" s="34"/>
      <c r="G995" s="34"/>
      <c r="H995" s="34"/>
      <c r="I995" s="34"/>
      <c r="J995" s="34"/>
      <c r="K995" s="34"/>
      <c r="L995" s="34"/>
      <c r="M995" s="34"/>
      <c r="N995" s="72">
        <v>1</v>
      </c>
      <c r="O995" s="416">
        <f t="shared" si="51"/>
        <v>2500</v>
      </c>
    </row>
    <row r="996" spans="1:15" ht="45">
      <c r="A996" s="34"/>
      <c r="B996" s="34"/>
      <c r="C996" s="429" t="s">
        <v>1192</v>
      </c>
      <c r="D996" s="386" t="s">
        <v>195</v>
      </c>
      <c r="E996" s="60">
        <v>20</v>
      </c>
      <c r="F996" s="34"/>
      <c r="G996" s="34"/>
      <c r="H996" s="34"/>
      <c r="I996" s="34"/>
      <c r="J996" s="34"/>
      <c r="K996" s="34"/>
      <c r="L996" s="34"/>
      <c r="M996" s="34"/>
      <c r="N996" s="34">
        <v>10</v>
      </c>
      <c r="O996" s="416">
        <f t="shared" si="51"/>
        <v>200</v>
      </c>
    </row>
    <row r="997" spans="1:15" ht="45">
      <c r="A997" s="34"/>
      <c r="B997" s="34"/>
      <c r="C997" s="429" t="s">
        <v>1193</v>
      </c>
      <c r="D997" s="386" t="s">
        <v>195</v>
      </c>
      <c r="E997" s="60">
        <v>20</v>
      </c>
      <c r="F997" s="34"/>
      <c r="G997" s="34"/>
      <c r="H997" s="34"/>
      <c r="I997" s="34"/>
      <c r="J997" s="34"/>
      <c r="K997" s="34"/>
      <c r="L997" s="34"/>
      <c r="M997" s="34"/>
      <c r="N997" s="34">
        <v>50</v>
      </c>
      <c r="O997" s="416">
        <f t="shared" si="51"/>
        <v>1000</v>
      </c>
    </row>
    <row r="998" spans="1:15" ht="45">
      <c r="A998" s="34"/>
      <c r="B998" s="34"/>
      <c r="C998" s="429" t="s">
        <v>1194</v>
      </c>
      <c r="D998" s="386" t="s">
        <v>37</v>
      </c>
      <c r="E998" s="60">
        <v>33660</v>
      </c>
      <c r="F998" s="341">
        <v>0</v>
      </c>
      <c r="G998" s="34">
        <f>E998*F998</f>
        <v>0</v>
      </c>
      <c r="H998" s="341"/>
      <c r="I998" s="34"/>
      <c r="J998" s="34"/>
      <c r="K998" s="34"/>
      <c r="L998" s="34"/>
      <c r="M998" s="34"/>
      <c r="N998" s="34"/>
      <c r="O998" s="416"/>
    </row>
    <row r="999" spans="1:15" ht="45">
      <c r="A999" s="34"/>
      <c r="B999" s="34"/>
      <c r="C999" s="429" t="s">
        <v>1195</v>
      </c>
      <c r="D999" s="386" t="s">
        <v>37</v>
      </c>
      <c r="E999" s="60">
        <v>45900</v>
      </c>
      <c r="F999" s="34">
        <v>4</v>
      </c>
      <c r="G999" s="34">
        <f t="shared" ref="G999:G1000" si="52">E999*F999</f>
        <v>183600</v>
      </c>
      <c r="H999" s="34"/>
      <c r="I999" s="34"/>
      <c r="J999" s="34"/>
      <c r="K999" s="34"/>
      <c r="L999" s="34"/>
      <c r="M999" s="34"/>
      <c r="N999" s="34"/>
      <c r="O999" s="416"/>
    </row>
    <row r="1000" spans="1:15" ht="45">
      <c r="A1000" s="34"/>
      <c r="B1000" s="34"/>
      <c r="C1000" s="429" t="s">
        <v>1195</v>
      </c>
      <c r="D1000" s="386" t="s">
        <v>37</v>
      </c>
      <c r="E1000" s="60">
        <v>45900</v>
      </c>
      <c r="F1000" s="34">
        <v>0</v>
      </c>
      <c r="G1000" s="34">
        <f t="shared" si="52"/>
        <v>0</v>
      </c>
      <c r="H1000" s="34"/>
      <c r="I1000" s="34"/>
      <c r="J1000" s="34"/>
      <c r="K1000" s="34"/>
      <c r="L1000" s="34"/>
      <c r="M1000" s="34"/>
      <c r="N1000" s="34"/>
      <c r="O1000" s="416"/>
    </row>
    <row r="1001" spans="1:15" ht="60">
      <c r="A1001" s="34"/>
      <c r="B1001" s="34"/>
      <c r="C1001" s="429" t="s">
        <v>1196</v>
      </c>
      <c r="D1001" s="386" t="s">
        <v>37</v>
      </c>
      <c r="E1001" s="60">
        <v>2500</v>
      </c>
      <c r="F1001" s="34"/>
      <c r="G1001" s="34"/>
      <c r="H1001" s="34"/>
      <c r="I1001" s="34"/>
      <c r="J1001" s="34"/>
      <c r="K1001" s="34"/>
      <c r="L1001" s="34"/>
      <c r="M1001" s="34"/>
      <c r="N1001" s="34">
        <v>1</v>
      </c>
      <c r="O1001" s="416">
        <f>E1001*N1001</f>
        <v>2500</v>
      </c>
    </row>
    <row r="1002" spans="1:15" ht="45">
      <c r="A1002" s="34"/>
      <c r="B1002" s="34"/>
      <c r="C1002" s="429" t="s">
        <v>1197</v>
      </c>
      <c r="D1002" s="386" t="s">
        <v>37</v>
      </c>
      <c r="E1002" s="60">
        <v>1000</v>
      </c>
      <c r="F1002" s="34"/>
      <c r="G1002" s="34"/>
      <c r="H1002" s="34"/>
      <c r="I1002" s="34"/>
      <c r="J1002" s="34"/>
      <c r="K1002" s="34"/>
      <c r="L1002" s="34"/>
      <c r="M1002" s="34"/>
      <c r="N1002" s="34">
        <v>1</v>
      </c>
      <c r="O1002" s="416">
        <f t="shared" ref="O1002:O1012" si="53">E1002*N1002</f>
        <v>1000</v>
      </c>
    </row>
    <row r="1003" spans="1:15" ht="45">
      <c r="A1003" s="34"/>
      <c r="B1003" s="34"/>
      <c r="C1003" s="429" t="s">
        <v>1197</v>
      </c>
      <c r="D1003" s="386" t="s">
        <v>37</v>
      </c>
      <c r="E1003" s="60">
        <v>500</v>
      </c>
      <c r="F1003" s="34"/>
      <c r="G1003" s="34"/>
      <c r="H1003" s="34"/>
      <c r="I1003" s="34"/>
      <c r="J1003" s="34"/>
      <c r="K1003" s="34"/>
      <c r="L1003" s="34"/>
      <c r="M1003" s="34"/>
      <c r="N1003" s="34">
        <v>2</v>
      </c>
      <c r="O1003" s="416">
        <f t="shared" si="53"/>
        <v>1000</v>
      </c>
    </row>
    <row r="1004" spans="1:15" ht="60">
      <c r="A1004" s="34"/>
      <c r="B1004" s="34"/>
      <c r="C1004" s="429" t="s">
        <v>1196</v>
      </c>
      <c r="D1004" s="383" t="s">
        <v>40</v>
      </c>
      <c r="E1004" s="389">
        <v>2500</v>
      </c>
      <c r="F1004" s="34"/>
      <c r="G1004" s="34"/>
      <c r="H1004" s="34"/>
      <c r="I1004" s="34"/>
      <c r="J1004" s="34"/>
      <c r="K1004" s="34"/>
      <c r="L1004" s="34"/>
      <c r="M1004" s="34"/>
      <c r="N1004" s="34">
        <v>1</v>
      </c>
      <c r="O1004" s="416">
        <f t="shared" si="53"/>
        <v>2500</v>
      </c>
    </row>
    <row r="1005" spans="1:15" ht="45">
      <c r="A1005" s="34"/>
      <c r="B1005" s="34"/>
      <c r="C1005" s="429" t="s">
        <v>1197</v>
      </c>
      <c r="D1005" s="383" t="s">
        <v>40</v>
      </c>
      <c r="E1005" s="389">
        <v>1000</v>
      </c>
      <c r="F1005" s="34"/>
      <c r="G1005" s="34"/>
      <c r="H1005" s="34"/>
      <c r="I1005" s="34"/>
      <c r="J1005" s="34"/>
      <c r="K1005" s="34"/>
      <c r="L1005" s="34"/>
      <c r="M1005" s="34"/>
      <c r="N1005" s="34">
        <v>1</v>
      </c>
      <c r="O1005" s="416">
        <f t="shared" si="53"/>
        <v>1000</v>
      </c>
    </row>
    <row r="1006" spans="1:15" ht="45">
      <c r="A1006" s="34"/>
      <c r="B1006" s="34"/>
      <c r="C1006" s="429" t="s">
        <v>1197</v>
      </c>
      <c r="D1006" s="383" t="s">
        <v>40</v>
      </c>
      <c r="E1006" s="389">
        <v>500</v>
      </c>
      <c r="F1006" s="34"/>
      <c r="G1006" s="34"/>
      <c r="H1006" s="34"/>
      <c r="I1006" s="34"/>
      <c r="J1006" s="34"/>
      <c r="K1006" s="34"/>
      <c r="L1006" s="34"/>
      <c r="M1006" s="34"/>
      <c r="N1006" s="34">
        <v>2</v>
      </c>
      <c r="O1006" s="416">
        <f t="shared" si="53"/>
        <v>1000</v>
      </c>
    </row>
    <row r="1007" spans="1:15" ht="45">
      <c r="A1007" s="34"/>
      <c r="B1007" s="34"/>
      <c r="C1007" s="430" t="s">
        <v>1198</v>
      </c>
      <c r="D1007" s="431" t="s">
        <v>40</v>
      </c>
      <c r="E1007" s="432">
        <v>22139</v>
      </c>
      <c r="F1007" s="34"/>
      <c r="G1007" s="34"/>
      <c r="H1007" s="34"/>
      <c r="I1007" s="34"/>
      <c r="J1007" s="34"/>
      <c r="K1007" s="34"/>
      <c r="L1007" s="34"/>
      <c r="M1007" s="34"/>
      <c r="N1007" s="34">
        <v>1</v>
      </c>
      <c r="O1007" s="416">
        <f t="shared" si="53"/>
        <v>22139</v>
      </c>
    </row>
    <row r="1008" spans="1:15" ht="45">
      <c r="A1008" s="34"/>
      <c r="B1008" s="34"/>
      <c r="C1008" s="413" t="s">
        <v>1199</v>
      </c>
      <c r="D1008" s="386" t="s">
        <v>40</v>
      </c>
      <c r="E1008" s="60">
        <v>1</v>
      </c>
      <c r="F1008" s="34"/>
      <c r="G1008" s="34"/>
      <c r="H1008" s="34"/>
      <c r="I1008" s="34"/>
      <c r="J1008" s="34"/>
      <c r="K1008" s="34"/>
      <c r="L1008" s="34"/>
      <c r="M1008" s="34"/>
      <c r="N1008" s="34">
        <v>1</v>
      </c>
      <c r="O1008" s="416">
        <f t="shared" si="53"/>
        <v>1</v>
      </c>
    </row>
    <row r="1009" spans="1:15" ht="30">
      <c r="A1009" s="34"/>
      <c r="B1009" s="34"/>
      <c r="C1009" s="392" t="s">
        <v>1200</v>
      </c>
      <c r="D1009" s="386" t="s">
        <v>37</v>
      </c>
      <c r="E1009" s="60">
        <v>2500</v>
      </c>
      <c r="F1009" s="34"/>
      <c r="G1009" s="34"/>
      <c r="H1009" s="34"/>
      <c r="I1009" s="34"/>
      <c r="J1009" s="34"/>
      <c r="K1009" s="34"/>
      <c r="L1009" s="34"/>
      <c r="M1009" s="34"/>
      <c r="N1009" s="34">
        <v>1</v>
      </c>
      <c r="O1009" s="416">
        <f t="shared" si="53"/>
        <v>2500</v>
      </c>
    </row>
    <row r="1010" spans="1:15" ht="30">
      <c r="A1010" s="34"/>
      <c r="B1010" s="34"/>
      <c r="C1010" s="392" t="s">
        <v>1201</v>
      </c>
      <c r="D1010" s="386" t="s">
        <v>195</v>
      </c>
      <c r="E1010" s="60">
        <v>350</v>
      </c>
      <c r="F1010" s="34"/>
      <c r="G1010" s="34"/>
      <c r="H1010" s="34"/>
      <c r="I1010" s="34"/>
      <c r="J1010" s="34"/>
      <c r="K1010" s="34"/>
      <c r="L1010" s="34"/>
      <c r="M1010" s="34"/>
      <c r="N1010" s="34">
        <v>0.5</v>
      </c>
      <c r="O1010" s="433">
        <f t="shared" si="53"/>
        <v>175</v>
      </c>
    </row>
    <row r="1011" spans="1:15" ht="30">
      <c r="A1011" s="34"/>
      <c r="B1011" s="34"/>
      <c r="C1011" s="392" t="s">
        <v>1201</v>
      </c>
      <c r="D1011" s="386" t="s">
        <v>195</v>
      </c>
      <c r="E1011" s="60">
        <v>20</v>
      </c>
      <c r="F1011" s="34"/>
      <c r="G1011" s="34"/>
      <c r="H1011" s="34"/>
      <c r="I1011" s="34"/>
      <c r="J1011" s="34"/>
      <c r="K1011" s="34"/>
      <c r="L1011" s="34"/>
      <c r="M1011" s="34"/>
      <c r="N1011" s="34">
        <v>1.5</v>
      </c>
      <c r="O1011" s="433">
        <f t="shared" si="53"/>
        <v>30</v>
      </c>
    </row>
    <row r="1012" spans="1:15" ht="30">
      <c r="A1012" s="34"/>
      <c r="B1012" s="34"/>
      <c r="C1012" s="392" t="s">
        <v>1202</v>
      </c>
      <c r="D1012" s="386" t="s">
        <v>195</v>
      </c>
      <c r="E1012" s="60">
        <v>30</v>
      </c>
      <c r="F1012" s="34"/>
      <c r="G1012" s="34"/>
      <c r="H1012" s="34"/>
      <c r="I1012" s="34"/>
      <c r="J1012" s="34"/>
      <c r="K1012" s="34"/>
      <c r="L1012" s="34"/>
      <c r="M1012" s="34"/>
      <c r="N1012" s="34">
        <v>20</v>
      </c>
      <c r="O1012" s="433">
        <f t="shared" si="53"/>
        <v>600</v>
      </c>
    </row>
    <row r="1013" spans="1:15">
      <c r="A1013" s="34"/>
      <c r="B1013" s="34"/>
      <c r="C1013" s="413"/>
      <c r="D1013" s="386"/>
      <c r="E1013" s="389"/>
      <c r="F1013" s="434"/>
      <c r="G1013" s="34"/>
      <c r="H1013" s="34"/>
      <c r="I1013" s="34"/>
      <c r="J1013" s="34"/>
      <c r="K1013" s="34"/>
      <c r="L1013" s="34"/>
      <c r="M1013" s="34"/>
      <c r="N1013" s="34"/>
      <c r="O1013" s="433"/>
    </row>
    <row r="1014" spans="1:15">
      <c r="A1014"/>
      <c r="C1014" s="435"/>
      <c r="D1014" s="393" t="s">
        <v>80</v>
      </c>
      <c r="G1014" s="393">
        <f>G983+G984+G998+G999+G1000</f>
        <v>211100</v>
      </c>
      <c r="I1014" s="393">
        <f>I982</f>
        <v>0</v>
      </c>
      <c r="O1014" s="436">
        <f>SUM(O969:O1013)</f>
        <v>272539.58</v>
      </c>
    </row>
    <row r="1015" spans="1:15">
      <c r="A1015"/>
      <c r="G1015" s="34">
        <f>G968+G1014</f>
        <v>21675090.381229989</v>
      </c>
    </row>
    <row r="1016" spans="1:15">
      <c r="A1016"/>
      <c r="D1016" s="437" t="s">
        <v>1203</v>
      </c>
      <c r="G1016" s="438">
        <f>G1015+I1014+O1014</f>
        <v>21947629.961229987</v>
      </c>
    </row>
    <row r="1017" spans="1:15">
      <c r="A1017"/>
      <c r="D1017" s="437"/>
      <c r="G1017" s="439"/>
      <c r="K1017" t="s">
        <v>1204</v>
      </c>
      <c r="N1017" t="s">
        <v>1205</v>
      </c>
    </row>
    <row r="1018" spans="1:15">
      <c r="A1018"/>
      <c r="C1018" s="440"/>
      <c r="D1018" s="437"/>
      <c r="G1018" s="439"/>
      <c r="K1018" t="s">
        <v>1206</v>
      </c>
      <c r="N1018" t="s">
        <v>1205</v>
      </c>
    </row>
    <row r="1019" spans="1:15">
      <c r="A1019"/>
      <c r="D1019" s="437"/>
      <c r="G1019" s="439"/>
      <c r="K1019" t="s">
        <v>1207</v>
      </c>
      <c r="N1019" t="s">
        <v>1205</v>
      </c>
    </row>
    <row r="1020" spans="1:15" ht="21">
      <c r="A1020"/>
      <c r="C1020" s="441" t="s">
        <v>1208</v>
      </c>
    </row>
    <row r="1021" spans="1:15">
      <c r="A1021" s="1317" t="s">
        <v>109</v>
      </c>
      <c r="B1021" s="1319" t="s">
        <v>110</v>
      </c>
      <c r="C1021" s="1320" t="s">
        <v>111</v>
      </c>
      <c r="D1021" s="1320" t="s">
        <v>112</v>
      </c>
      <c r="E1021" s="1319" t="s">
        <v>113</v>
      </c>
      <c r="F1021" s="1316" t="s">
        <v>114</v>
      </c>
      <c r="G1021" s="1316"/>
      <c r="H1021" s="1316" t="s">
        <v>115</v>
      </c>
      <c r="I1021" s="1316"/>
      <c r="J1021" s="1316" t="s">
        <v>116</v>
      </c>
      <c r="K1021" s="1316"/>
      <c r="L1021" s="1316" t="s">
        <v>1</v>
      </c>
      <c r="M1021" s="1316"/>
      <c r="N1021" s="1316" t="s">
        <v>0</v>
      </c>
      <c r="O1021" s="1316"/>
    </row>
    <row r="1022" spans="1:15" ht="45">
      <c r="A1022" s="1318"/>
      <c r="B1022" s="1319"/>
      <c r="C1022" s="1320"/>
      <c r="D1022" s="1320"/>
      <c r="E1022" s="1319"/>
      <c r="F1022" s="60" t="s">
        <v>118</v>
      </c>
      <c r="G1022" s="10" t="s">
        <v>119</v>
      </c>
      <c r="H1022" s="60" t="s">
        <v>118</v>
      </c>
      <c r="I1022" s="10" t="s">
        <v>119</v>
      </c>
      <c r="J1022" s="60" t="s">
        <v>118</v>
      </c>
      <c r="K1022" s="10" t="s">
        <v>119</v>
      </c>
      <c r="L1022" s="60" t="s">
        <v>118</v>
      </c>
      <c r="M1022" s="10" t="s">
        <v>119</v>
      </c>
      <c r="N1022" s="60" t="s">
        <v>118</v>
      </c>
      <c r="O1022" s="10" t="s">
        <v>119</v>
      </c>
    </row>
    <row r="1023" spans="1:15" ht="16.5">
      <c r="A1023" s="34">
        <v>1</v>
      </c>
      <c r="B1023" s="34"/>
      <c r="C1023" s="442" t="s">
        <v>1209</v>
      </c>
      <c r="D1023" s="345" t="s">
        <v>40</v>
      </c>
      <c r="E1023" s="60">
        <v>10083.6</v>
      </c>
      <c r="F1023" s="340">
        <v>6</v>
      </c>
      <c r="G1023" s="34">
        <v>60501.600000000006</v>
      </c>
      <c r="H1023" s="34"/>
      <c r="I1023" s="34"/>
      <c r="J1023" s="34"/>
      <c r="K1023" s="34"/>
      <c r="L1023" s="34"/>
      <c r="M1023" s="34"/>
      <c r="N1023" s="34"/>
      <c r="O1023" s="34"/>
    </row>
    <row r="1024" spans="1:15" ht="16.5">
      <c r="A1024" s="34">
        <v>2</v>
      </c>
      <c r="B1024" s="34"/>
      <c r="C1024" s="442" t="s">
        <v>1210</v>
      </c>
      <c r="D1024" s="345" t="s">
        <v>40</v>
      </c>
      <c r="E1024" s="60">
        <v>8365.7199999999993</v>
      </c>
      <c r="F1024" s="340">
        <v>8</v>
      </c>
      <c r="G1024" s="34">
        <v>66925.759999999995</v>
      </c>
      <c r="H1024" s="34"/>
      <c r="I1024" s="34"/>
      <c r="J1024" s="34"/>
      <c r="K1024" s="34"/>
      <c r="L1024" s="34"/>
      <c r="M1024" s="34"/>
      <c r="N1024" s="34"/>
      <c r="O1024" s="34"/>
    </row>
    <row r="1025" spans="1:15" ht="16.5">
      <c r="A1025" s="34">
        <v>3</v>
      </c>
      <c r="B1025" s="34"/>
      <c r="C1025" s="442" t="s">
        <v>1211</v>
      </c>
      <c r="D1025" s="345" t="s">
        <v>40</v>
      </c>
      <c r="E1025" s="60">
        <v>12752.83</v>
      </c>
      <c r="F1025" s="340">
        <v>2</v>
      </c>
      <c r="G1025" s="34">
        <v>25505.66</v>
      </c>
      <c r="H1025" s="34"/>
      <c r="I1025" s="34"/>
      <c r="J1025" s="34"/>
      <c r="K1025" s="34"/>
      <c r="L1025" s="34"/>
      <c r="M1025" s="34"/>
      <c r="N1025" s="34"/>
      <c r="O1025" s="34"/>
    </row>
    <row r="1026" spans="1:15" ht="16.5">
      <c r="A1026" s="34">
        <v>4</v>
      </c>
      <c r="B1026" s="34"/>
      <c r="C1026" s="442" t="s">
        <v>1212</v>
      </c>
      <c r="D1026" s="345" t="s">
        <v>40</v>
      </c>
      <c r="E1026" s="60">
        <v>8263.73</v>
      </c>
      <c r="F1026" s="340">
        <v>6</v>
      </c>
      <c r="G1026" s="34">
        <v>49582.38</v>
      </c>
      <c r="H1026" s="34"/>
      <c r="I1026" s="34"/>
      <c r="J1026" s="34"/>
      <c r="K1026" s="34"/>
      <c r="L1026" s="34"/>
      <c r="M1026" s="34"/>
      <c r="N1026" s="34"/>
      <c r="O1026" s="34"/>
    </row>
    <row r="1027" spans="1:15" ht="33">
      <c r="A1027" s="34">
        <v>5</v>
      </c>
      <c r="B1027" s="34"/>
      <c r="C1027" s="442" t="s">
        <v>1213</v>
      </c>
      <c r="D1027" s="345" t="s">
        <v>40</v>
      </c>
      <c r="E1027" s="60">
        <v>2826.2</v>
      </c>
      <c r="F1027" s="340">
        <v>1</v>
      </c>
      <c r="G1027" s="34">
        <v>2826.2</v>
      </c>
      <c r="H1027" s="34"/>
      <c r="I1027" s="34"/>
      <c r="J1027" s="34"/>
      <c r="K1027" s="34"/>
      <c r="L1027" s="34"/>
      <c r="M1027" s="34"/>
      <c r="N1027" s="34"/>
      <c r="O1027" s="34"/>
    </row>
    <row r="1028" spans="1:15" ht="16.5">
      <c r="A1028" s="34">
        <v>6</v>
      </c>
      <c r="B1028" s="34"/>
      <c r="C1028" s="442" t="s">
        <v>1214</v>
      </c>
      <c r="D1028" s="345" t="s">
        <v>40</v>
      </c>
      <c r="E1028" s="60">
        <v>1010.2</v>
      </c>
      <c r="F1028" s="340">
        <v>5</v>
      </c>
      <c r="G1028" s="34">
        <v>5051</v>
      </c>
      <c r="H1028" s="34"/>
      <c r="I1028" s="34"/>
      <c r="J1028" s="34"/>
      <c r="K1028" s="34"/>
      <c r="L1028" s="34"/>
      <c r="M1028" s="34"/>
      <c r="N1028" s="34"/>
      <c r="O1028" s="34"/>
    </row>
    <row r="1029" spans="1:15" ht="16.5">
      <c r="A1029" s="34">
        <v>7</v>
      </c>
      <c r="B1029" s="34"/>
      <c r="C1029" s="442" t="s">
        <v>1215</v>
      </c>
      <c r="D1029" s="345" t="s">
        <v>40</v>
      </c>
      <c r="E1029" s="60">
        <v>1055.5999999999999</v>
      </c>
      <c r="F1029" s="340">
        <v>5</v>
      </c>
      <c r="G1029" s="34">
        <v>5278</v>
      </c>
      <c r="H1029" s="34"/>
      <c r="I1029" s="34"/>
      <c r="J1029" s="34"/>
      <c r="K1029" s="34"/>
      <c r="L1029" s="34"/>
      <c r="M1029" s="34"/>
      <c r="N1029" s="34"/>
      <c r="O1029" s="34"/>
    </row>
    <row r="1030" spans="1:15" ht="16.5">
      <c r="A1030" s="34">
        <v>8</v>
      </c>
      <c r="B1030" s="34"/>
      <c r="C1030" s="442" t="s">
        <v>1216</v>
      </c>
      <c r="D1030" s="345" t="s">
        <v>539</v>
      </c>
      <c r="E1030" s="60">
        <v>1021.5</v>
      </c>
      <c r="F1030" s="340">
        <v>5</v>
      </c>
      <c r="G1030" s="34">
        <v>5107.5</v>
      </c>
      <c r="H1030" s="34"/>
      <c r="I1030" s="34"/>
      <c r="J1030" s="34"/>
      <c r="K1030" s="34"/>
      <c r="L1030" s="34"/>
      <c r="M1030" s="34"/>
      <c r="N1030" s="34"/>
      <c r="O1030" s="34"/>
    </row>
    <row r="1031" spans="1:15" ht="16.5">
      <c r="A1031" s="34">
        <v>9</v>
      </c>
      <c r="B1031" s="34"/>
      <c r="C1031" s="442" t="s">
        <v>1217</v>
      </c>
      <c r="D1031" s="345" t="s">
        <v>40</v>
      </c>
      <c r="E1031" s="60">
        <v>499.4</v>
      </c>
      <c r="F1031" s="345">
        <v>1</v>
      </c>
      <c r="G1031" s="34">
        <v>499.4</v>
      </c>
      <c r="H1031" s="34"/>
      <c r="I1031" s="34"/>
      <c r="J1031" s="34"/>
      <c r="K1031" s="34"/>
      <c r="L1031" s="34"/>
      <c r="M1031" s="34"/>
      <c r="N1031" s="34"/>
      <c r="O1031" s="34"/>
    </row>
    <row r="1032" spans="1:15" ht="49.5">
      <c r="A1032" s="34">
        <v>10</v>
      </c>
      <c r="B1032" s="34"/>
      <c r="C1032" s="351" t="s">
        <v>1218</v>
      </c>
      <c r="D1032" s="443" t="s">
        <v>37</v>
      </c>
      <c r="E1032" s="60">
        <v>325.66000000000003</v>
      </c>
      <c r="F1032" s="340">
        <v>18</v>
      </c>
      <c r="G1032" s="34">
        <v>5861.88</v>
      </c>
      <c r="H1032" s="34"/>
      <c r="I1032" s="34"/>
      <c r="J1032" s="34"/>
      <c r="K1032" s="34"/>
      <c r="L1032" s="34"/>
      <c r="M1032" s="34"/>
      <c r="N1032" s="34"/>
      <c r="O1032" s="34"/>
    </row>
    <row r="1033" spans="1:15" ht="37.5">
      <c r="A1033" s="34">
        <v>11</v>
      </c>
      <c r="B1033" s="34"/>
      <c r="C1033" s="356" t="s">
        <v>1219</v>
      </c>
      <c r="D1033" s="444" t="s">
        <v>40</v>
      </c>
      <c r="E1033" s="444">
        <v>16893</v>
      </c>
      <c r="F1033" s="445">
        <v>1</v>
      </c>
      <c r="G1033" s="34">
        <v>16893</v>
      </c>
      <c r="H1033" s="34"/>
      <c r="I1033" s="34"/>
      <c r="J1033" s="34"/>
      <c r="K1033" s="34"/>
      <c r="L1033" s="34"/>
      <c r="M1033" s="34"/>
      <c r="N1033" s="34"/>
      <c r="O1033" s="34"/>
    </row>
    <row r="1034" spans="1:15" ht="37.5">
      <c r="A1034" s="34">
        <v>12</v>
      </c>
      <c r="B1034" s="34"/>
      <c r="C1034" s="356" t="s">
        <v>1220</v>
      </c>
      <c r="D1034" s="444" t="s">
        <v>40</v>
      </c>
      <c r="E1034" s="444">
        <v>13571.84</v>
      </c>
      <c r="F1034" s="445">
        <v>2</v>
      </c>
      <c r="G1034" s="34">
        <v>27143.68</v>
      </c>
      <c r="H1034" s="34"/>
      <c r="I1034" s="34"/>
      <c r="J1034" s="34"/>
      <c r="K1034" s="34"/>
      <c r="L1034" s="34"/>
      <c r="M1034" s="34"/>
      <c r="N1034" s="34"/>
      <c r="O1034" s="34"/>
    </row>
    <row r="1035" spans="1:15" ht="18.75">
      <c r="A1035" s="34">
        <v>13</v>
      </c>
      <c r="B1035" s="34"/>
      <c r="C1035" s="356" t="s">
        <v>1221</v>
      </c>
      <c r="D1035" s="444" t="s">
        <v>40</v>
      </c>
      <c r="E1035" s="444">
        <v>5781.09</v>
      </c>
      <c r="F1035" s="445">
        <v>2</v>
      </c>
      <c r="G1035" s="34">
        <v>11562.18</v>
      </c>
      <c r="H1035" s="34"/>
      <c r="I1035" s="34"/>
      <c r="J1035" s="34"/>
      <c r="K1035" s="34"/>
      <c r="L1035" s="34"/>
      <c r="M1035" s="34"/>
      <c r="N1035" s="34"/>
      <c r="O1035" s="34"/>
    </row>
    <row r="1036" spans="1:15" ht="37.5">
      <c r="A1036" s="34">
        <v>14</v>
      </c>
      <c r="B1036" s="34"/>
      <c r="C1036" s="356" t="s">
        <v>1222</v>
      </c>
      <c r="D1036" s="444" t="s">
        <v>40</v>
      </c>
      <c r="E1036" s="444">
        <v>40955.339999999997</v>
      </c>
      <c r="F1036" s="445">
        <v>1</v>
      </c>
      <c r="G1036" s="34">
        <v>40955.339999999997</v>
      </c>
      <c r="H1036" s="34"/>
      <c r="I1036" s="34"/>
      <c r="J1036" s="34"/>
      <c r="K1036" s="34"/>
      <c r="L1036" s="34"/>
      <c r="M1036" s="34"/>
      <c r="N1036" s="34"/>
      <c r="O1036" s="34"/>
    </row>
    <row r="1037" spans="1:15" ht="37.5">
      <c r="A1037" s="34">
        <v>15</v>
      </c>
      <c r="B1037" s="34"/>
      <c r="C1037" s="359" t="s">
        <v>1223</v>
      </c>
      <c r="D1037" s="444" t="s">
        <v>40</v>
      </c>
      <c r="E1037" s="444">
        <v>6420.74</v>
      </c>
      <c r="F1037" s="445">
        <v>10</v>
      </c>
      <c r="G1037" s="34">
        <v>64207.399999999994</v>
      </c>
      <c r="H1037" s="34"/>
      <c r="I1037" s="34"/>
      <c r="J1037" s="34"/>
      <c r="K1037" s="34"/>
      <c r="L1037" s="34"/>
      <c r="M1037" s="34"/>
      <c r="N1037" s="34"/>
      <c r="O1037" s="34"/>
    </row>
    <row r="1038" spans="1:15" ht="37.5">
      <c r="A1038" s="34">
        <v>16</v>
      </c>
      <c r="B1038" s="34"/>
      <c r="C1038" s="359" t="s">
        <v>1224</v>
      </c>
      <c r="D1038" s="444" t="s">
        <v>40</v>
      </c>
      <c r="E1038" s="444">
        <v>13524.07</v>
      </c>
      <c r="F1038" s="445">
        <v>1</v>
      </c>
      <c r="G1038" s="34">
        <v>13524.07</v>
      </c>
      <c r="H1038" s="34"/>
      <c r="I1038" s="34"/>
      <c r="J1038" s="34"/>
      <c r="K1038" s="34"/>
      <c r="L1038" s="34"/>
      <c r="M1038" s="34"/>
      <c r="N1038" s="34"/>
      <c r="O1038" s="34"/>
    </row>
    <row r="1039" spans="1:15" ht="37.5">
      <c r="A1039" s="34">
        <v>17</v>
      </c>
      <c r="B1039" s="34"/>
      <c r="C1039" s="359" t="s">
        <v>1225</v>
      </c>
      <c r="D1039" s="444" t="s">
        <v>40</v>
      </c>
      <c r="E1039" s="444">
        <v>12685.15</v>
      </c>
      <c r="F1039" s="445">
        <v>3</v>
      </c>
      <c r="G1039" s="34">
        <v>38055.449999999997</v>
      </c>
      <c r="H1039" s="34"/>
      <c r="I1039" s="34"/>
      <c r="J1039" s="34"/>
      <c r="K1039" s="34"/>
      <c r="L1039" s="34"/>
      <c r="M1039" s="34"/>
      <c r="N1039" s="34"/>
      <c r="O1039" s="34"/>
    </row>
    <row r="1040" spans="1:15" ht="37.5">
      <c r="A1040" s="34">
        <v>18</v>
      </c>
      <c r="B1040" s="34"/>
      <c r="C1040" s="359" t="s">
        <v>1226</v>
      </c>
      <c r="D1040" s="444" t="s">
        <v>40</v>
      </c>
      <c r="E1040" s="444">
        <v>6495.61</v>
      </c>
      <c r="F1040" s="445">
        <v>8</v>
      </c>
      <c r="G1040" s="34">
        <v>51964.88</v>
      </c>
      <c r="H1040" s="34"/>
      <c r="I1040" s="34"/>
      <c r="J1040" s="34"/>
      <c r="K1040" s="34"/>
      <c r="L1040" s="34"/>
      <c r="M1040" s="34"/>
      <c r="N1040" s="34"/>
      <c r="O1040" s="34"/>
    </row>
    <row r="1041" spans="1:15" ht="18.75">
      <c r="A1041" s="34">
        <v>19</v>
      </c>
      <c r="B1041" s="34"/>
      <c r="C1041" s="364" t="s">
        <v>1227</v>
      </c>
      <c r="D1041" s="444" t="s">
        <v>40</v>
      </c>
      <c r="E1041" s="444">
        <v>3171.76</v>
      </c>
      <c r="F1041" s="445">
        <v>27</v>
      </c>
      <c r="G1041" s="34">
        <v>85637.52</v>
      </c>
      <c r="H1041" s="34"/>
      <c r="I1041" s="34"/>
      <c r="J1041" s="34"/>
      <c r="K1041" s="34"/>
      <c r="L1041" s="34"/>
      <c r="M1041" s="34"/>
      <c r="N1041" s="34"/>
      <c r="O1041" s="34"/>
    </row>
    <row r="1042" spans="1:15" ht="18.75">
      <c r="A1042" s="34">
        <v>20</v>
      </c>
      <c r="B1042" s="34"/>
      <c r="C1042" s="359" t="s">
        <v>1228</v>
      </c>
      <c r="D1042" s="444" t="s">
        <v>40</v>
      </c>
      <c r="E1042" s="444">
        <v>985.35</v>
      </c>
      <c r="F1042" s="445">
        <v>6</v>
      </c>
      <c r="G1042" s="34">
        <v>5912.1</v>
      </c>
      <c r="H1042" s="34"/>
      <c r="I1042" s="34"/>
      <c r="J1042" s="34"/>
      <c r="K1042" s="34"/>
      <c r="L1042" s="34"/>
      <c r="M1042" s="34"/>
      <c r="N1042" s="34"/>
      <c r="O1042" s="34"/>
    </row>
    <row r="1043" spans="1:15" ht="56.25">
      <c r="A1043" s="34">
        <v>21</v>
      </c>
      <c r="B1043" s="34"/>
      <c r="C1043" s="359" t="s">
        <v>1229</v>
      </c>
      <c r="D1043" s="444" t="s">
        <v>40</v>
      </c>
      <c r="E1043" s="444">
        <v>5831.73</v>
      </c>
      <c r="F1043" s="445">
        <v>4</v>
      </c>
      <c r="G1043" s="34">
        <v>23326.92</v>
      </c>
      <c r="H1043" s="34"/>
      <c r="I1043" s="34"/>
      <c r="J1043" s="34"/>
      <c r="K1043" s="34"/>
      <c r="L1043" s="34"/>
      <c r="M1043" s="34"/>
      <c r="N1043" s="34"/>
      <c r="O1043" s="34"/>
    </row>
    <row r="1044" spans="1:15" ht="56.25">
      <c r="A1044" s="34">
        <v>22</v>
      </c>
      <c r="B1044" s="34"/>
      <c r="C1044" s="360" t="s">
        <v>1230</v>
      </c>
      <c r="D1044" s="444" t="s">
        <v>40</v>
      </c>
      <c r="E1044" s="446">
        <v>11602.91</v>
      </c>
      <c r="F1044" s="445">
        <v>4</v>
      </c>
      <c r="G1044" s="34">
        <v>46411.64</v>
      </c>
      <c r="H1044" s="34"/>
      <c r="I1044" s="34"/>
      <c r="J1044" s="34"/>
      <c r="K1044" s="34"/>
      <c r="L1044" s="34"/>
      <c r="M1044" s="34"/>
      <c r="N1044" s="34"/>
      <c r="O1044" s="34"/>
    </row>
    <row r="1045" spans="1:15" ht="56.25">
      <c r="A1045" s="34">
        <v>23</v>
      </c>
      <c r="B1045" s="34"/>
      <c r="C1045" s="360" t="s">
        <v>1231</v>
      </c>
      <c r="D1045" s="444" t="s">
        <v>40</v>
      </c>
      <c r="E1045" s="444">
        <v>12183.54</v>
      </c>
      <c r="F1045" s="445">
        <v>11</v>
      </c>
      <c r="G1045" s="34">
        <v>134018.94</v>
      </c>
      <c r="H1045" s="34"/>
      <c r="I1045" s="34"/>
      <c r="J1045" s="34"/>
      <c r="K1045" s="34"/>
      <c r="L1045" s="34"/>
      <c r="M1045" s="34"/>
      <c r="N1045" s="34"/>
      <c r="O1045" s="34"/>
    </row>
    <row r="1046" spans="1:15" ht="75">
      <c r="A1046" s="34">
        <v>24</v>
      </c>
      <c r="B1046" s="34"/>
      <c r="C1046" s="359" t="s">
        <v>1232</v>
      </c>
      <c r="D1046" s="444" t="s">
        <v>40</v>
      </c>
      <c r="E1046" s="444">
        <v>16318.53</v>
      </c>
      <c r="F1046" s="445">
        <v>8</v>
      </c>
      <c r="G1046" s="434">
        <v>130548.24</v>
      </c>
      <c r="H1046" s="34"/>
      <c r="I1046" s="34"/>
      <c r="J1046" s="34"/>
      <c r="K1046" s="34"/>
      <c r="L1046" s="34"/>
      <c r="M1046" s="34"/>
      <c r="N1046" s="34"/>
      <c r="O1046" s="34"/>
    </row>
    <row r="1047" spans="1:15" ht="56.25">
      <c r="A1047" s="34">
        <v>25</v>
      </c>
      <c r="B1047" s="34"/>
      <c r="C1047" s="359" t="s">
        <v>1233</v>
      </c>
      <c r="D1047" s="444" t="s">
        <v>40</v>
      </c>
      <c r="E1047" s="444">
        <v>17946.2</v>
      </c>
      <c r="F1047" s="445">
        <v>8</v>
      </c>
      <c r="G1047" s="434">
        <v>143569.60000000001</v>
      </c>
      <c r="H1047" s="34"/>
      <c r="I1047" s="34"/>
      <c r="J1047" s="34"/>
      <c r="K1047" s="34"/>
      <c r="L1047" s="34"/>
      <c r="M1047" s="34"/>
      <c r="N1047" s="34"/>
      <c r="O1047" s="34"/>
    </row>
    <row r="1048" spans="1:15" ht="37.5">
      <c r="A1048" s="34">
        <v>26</v>
      </c>
      <c r="B1048" s="34"/>
      <c r="C1048" s="359" t="s">
        <v>1234</v>
      </c>
      <c r="D1048" s="444" t="s">
        <v>40</v>
      </c>
      <c r="E1048" s="444">
        <v>13908.7</v>
      </c>
      <c r="F1048" s="445">
        <v>2</v>
      </c>
      <c r="G1048" s="34">
        <v>27817.4</v>
      </c>
      <c r="H1048" s="34"/>
      <c r="I1048" s="34"/>
      <c r="J1048" s="34"/>
      <c r="K1048" s="34"/>
      <c r="L1048" s="34"/>
      <c r="M1048" s="34"/>
      <c r="N1048" s="34"/>
      <c r="O1048" s="34"/>
    </row>
    <row r="1049" spans="1:15" ht="37.5">
      <c r="A1049" s="34">
        <v>27</v>
      </c>
      <c r="B1049" s="34"/>
      <c r="C1049" s="359" t="s">
        <v>1235</v>
      </c>
      <c r="D1049" s="444" t="s">
        <v>40</v>
      </c>
      <c r="E1049" s="444">
        <v>16163.05</v>
      </c>
      <c r="F1049" s="445">
        <v>2</v>
      </c>
      <c r="G1049" s="34">
        <v>32326.1</v>
      </c>
      <c r="H1049" s="34"/>
      <c r="I1049" s="34"/>
      <c r="J1049" s="34"/>
      <c r="K1049" s="34"/>
      <c r="L1049" s="34"/>
      <c r="M1049" s="34"/>
      <c r="N1049" s="34"/>
      <c r="O1049" s="34"/>
    </row>
    <row r="1050" spans="1:15" ht="75">
      <c r="A1050" s="34">
        <v>28</v>
      </c>
      <c r="B1050" s="34"/>
      <c r="C1050" s="359" t="s">
        <v>1236</v>
      </c>
      <c r="D1050" s="444" t="s">
        <v>40</v>
      </c>
      <c r="E1050" s="60">
        <v>3594.12</v>
      </c>
      <c r="F1050" s="445">
        <v>1</v>
      </c>
      <c r="G1050" s="34">
        <v>3594.12</v>
      </c>
      <c r="H1050" s="34"/>
      <c r="I1050" s="34"/>
      <c r="J1050" s="34"/>
      <c r="K1050" s="34"/>
      <c r="L1050" s="34"/>
      <c r="M1050" s="34"/>
      <c r="N1050" s="34"/>
      <c r="O1050" s="34"/>
    </row>
    <row r="1051" spans="1:15" ht="112.5">
      <c r="A1051" s="34">
        <v>29</v>
      </c>
      <c r="B1051" s="34"/>
      <c r="C1051" s="359" t="s">
        <v>1237</v>
      </c>
      <c r="D1051" s="444" t="s">
        <v>40</v>
      </c>
      <c r="E1051" s="60">
        <v>12062</v>
      </c>
      <c r="F1051" s="445">
        <v>1</v>
      </c>
      <c r="G1051" s="34">
        <v>12062</v>
      </c>
      <c r="H1051" s="34"/>
      <c r="I1051" s="34"/>
      <c r="J1051" s="34"/>
      <c r="K1051" s="34"/>
      <c r="L1051" s="34"/>
      <c r="M1051" s="34"/>
      <c r="N1051" s="34"/>
      <c r="O1051" s="34"/>
    </row>
    <row r="1052" spans="1:15" ht="187.5">
      <c r="A1052" s="34">
        <v>30</v>
      </c>
      <c r="B1052" s="34"/>
      <c r="C1052" s="364" t="s">
        <v>1238</v>
      </c>
      <c r="D1052" s="444" t="s">
        <v>40</v>
      </c>
      <c r="E1052" s="60">
        <v>1004265</v>
      </c>
      <c r="F1052" s="445">
        <v>1</v>
      </c>
      <c r="G1052" s="34">
        <v>1004265</v>
      </c>
      <c r="H1052" s="34"/>
      <c r="I1052" s="34"/>
      <c r="J1052" s="34"/>
      <c r="K1052" s="34"/>
      <c r="L1052" s="34"/>
      <c r="M1052" s="34"/>
      <c r="N1052" s="34"/>
      <c r="O1052" s="34"/>
    </row>
    <row r="1053" spans="1:15" ht="18.75">
      <c r="A1053" s="34"/>
      <c r="B1053" s="34"/>
      <c r="C1053" s="356" t="s">
        <v>1239</v>
      </c>
      <c r="D1053" s="444" t="s">
        <v>503</v>
      </c>
      <c r="E1053" s="60"/>
      <c r="F1053" s="445">
        <v>500</v>
      </c>
      <c r="G1053" s="34">
        <v>0</v>
      </c>
      <c r="H1053" s="34"/>
      <c r="I1053" s="34"/>
      <c r="J1053" s="34"/>
      <c r="K1053" s="34"/>
      <c r="L1053" s="34"/>
      <c r="M1053" s="34"/>
      <c r="N1053" s="34"/>
      <c r="O1053" s="34"/>
    </row>
    <row r="1054" spans="1:15" ht="37.5">
      <c r="A1054" s="34"/>
      <c r="B1054" s="34"/>
      <c r="C1054" s="359" t="s">
        <v>1240</v>
      </c>
      <c r="D1054" s="444" t="s">
        <v>503</v>
      </c>
      <c r="E1054" s="60"/>
      <c r="F1054" s="445">
        <v>20</v>
      </c>
      <c r="G1054" s="34">
        <v>0</v>
      </c>
      <c r="H1054" s="34"/>
      <c r="I1054" s="34"/>
      <c r="J1054" s="34"/>
      <c r="K1054" s="34"/>
      <c r="L1054" s="34"/>
      <c r="M1054" s="34"/>
      <c r="N1054" s="34"/>
      <c r="O1054" s="34"/>
    </row>
    <row r="1055" spans="1:15" ht="37.5">
      <c r="A1055" s="34"/>
      <c r="B1055" s="34"/>
      <c r="C1055" s="356" t="s">
        <v>1241</v>
      </c>
      <c r="D1055" s="444" t="s">
        <v>40</v>
      </c>
      <c r="E1055" s="60"/>
      <c r="F1055" s="445">
        <v>2</v>
      </c>
      <c r="G1055" s="34">
        <v>0</v>
      </c>
      <c r="H1055" s="34"/>
      <c r="I1055" s="34"/>
      <c r="J1055" s="34"/>
      <c r="K1055" s="34"/>
      <c r="L1055" s="34"/>
      <c r="M1055" s="34"/>
      <c r="N1055" s="34"/>
      <c r="O1055" s="34"/>
    </row>
    <row r="1056" spans="1:15" ht="56.25">
      <c r="A1056" s="34"/>
      <c r="B1056" s="34"/>
      <c r="C1056" s="356" t="s">
        <v>1242</v>
      </c>
      <c r="D1056" s="444" t="s">
        <v>40</v>
      </c>
      <c r="E1056" s="60"/>
      <c r="F1056" s="445">
        <v>6</v>
      </c>
      <c r="G1056" s="34">
        <v>0</v>
      </c>
      <c r="H1056" s="34"/>
      <c r="I1056" s="34"/>
      <c r="J1056" s="34"/>
      <c r="K1056" s="34"/>
      <c r="L1056" s="34"/>
      <c r="M1056" s="34"/>
      <c r="N1056" s="34"/>
      <c r="O1056" s="34"/>
    </row>
    <row r="1057" spans="1:15" ht="37.5">
      <c r="A1057" s="34"/>
      <c r="B1057" s="34"/>
      <c r="C1057" s="356" t="s">
        <v>1243</v>
      </c>
      <c r="D1057" s="444" t="s">
        <v>503</v>
      </c>
      <c r="E1057" s="60"/>
      <c r="F1057" s="445">
        <v>500</v>
      </c>
      <c r="G1057" s="34">
        <v>0</v>
      </c>
      <c r="H1057" s="34"/>
      <c r="I1057" s="34"/>
      <c r="J1057" s="34"/>
      <c r="K1057" s="34"/>
      <c r="L1057" s="34"/>
      <c r="M1057" s="34"/>
      <c r="N1057" s="34"/>
      <c r="O1057" s="34"/>
    </row>
    <row r="1058" spans="1:15" ht="168.75">
      <c r="A1058" s="34">
        <v>31</v>
      </c>
      <c r="B1058" s="34"/>
      <c r="C1058" s="356" t="s">
        <v>1244</v>
      </c>
      <c r="D1058" s="444" t="s">
        <v>1245</v>
      </c>
      <c r="E1058" s="60">
        <v>198088</v>
      </c>
      <c r="F1058" s="445">
        <v>1</v>
      </c>
      <c r="G1058" s="34">
        <v>198088</v>
      </c>
      <c r="H1058" s="34"/>
      <c r="I1058" s="34"/>
      <c r="J1058" s="34"/>
      <c r="K1058" s="34"/>
      <c r="L1058" s="34"/>
      <c r="M1058" s="34"/>
      <c r="N1058" s="34"/>
      <c r="O1058" s="34"/>
    </row>
    <row r="1059" spans="1:15" ht="93.75">
      <c r="A1059" s="34">
        <v>32</v>
      </c>
      <c r="B1059" s="34"/>
      <c r="C1059" s="356" t="s">
        <v>1246</v>
      </c>
      <c r="D1059" s="444" t="s">
        <v>1245</v>
      </c>
      <c r="E1059" s="60">
        <v>39641.440000000002</v>
      </c>
      <c r="F1059" s="445">
        <v>2</v>
      </c>
      <c r="G1059" s="34">
        <v>79282.880000000005</v>
      </c>
      <c r="H1059" s="34"/>
      <c r="I1059" s="34"/>
      <c r="J1059" s="34"/>
      <c r="K1059" s="34"/>
      <c r="L1059" s="34"/>
      <c r="M1059" s="34"/>
      <c r="N1059" s="34"/>
      <c r="O1059" s="34"/>
    </row>
    <row r="1060" spans="1:15" ht="112.5">
      <c r="A1060" s="34">
        <v>33</v>
      </c>
      <c r="B1060" s="34"/>
      <c r="C1060" s="364" t="s">
        <v>1247</v>
      </c>
      <c r="D1060" s="444" t="s">
        <v>40</v>
      </c>
      <c r="E1060" s="60">
        <v>194402.4</v>
      </c>
      <c r="F1060" s="445">
        <v>1</v>
      </c>
      <c r="G1060" s="34">
        <v>194402.4</v>
      </c>
      <c r="H1060" s="34"/>
      <c r="I1060" s="34"/>
      <c r="J1060" s="34"/>
      <c r="K1060" s="34"/>
      <c r="L1060" s="34"/>
      <c r="M1060" s="34"/>
      <c r="N1060" s="34"/>
      <c r="O1060" s="34"/>
    </row>
    <row r="1061" spans="1:15" ht="112.5">
      <c r="A1061" s="34">
        <v>34</v>
      </c>
      <c r="B1061" s="34"/>
      <c r="C1061" s="364" t="s">
        <v>1248</v>
      </c>
      <c r="D1061" s="444" t="s">
        <v>40</v>
      </c>
      <c r="E1061" s="60">
        <v>4479</v>
      </c>
      <c r="F1061" s="445">
        <v>1</v>
      </c>
      <c r="G1061" s="34">
        <v>4479</v>
      </c>
      <c r="H1061" s="34"/>
      <c r="I1061" s="34"/>
      <c r="J1061" s="34"/>
      <c r="K1061" s="34"/>
      <c r="L1061" s="34"/>
      <c r="M1061" s="34"/>
      <c r="N1061" s="34"/>
      <c r="O1061" s="34"/>
    </row>
    <row r="1062" spans="1:15" ht="112.5">
      <c r="A1062" s="34">
        <v>35</v>
      </c>
      <c r="B1062" s="34"/>
      <c r="C1062" s="364" t="s">
        <v>1249</v>
      </c>
      <c r="D1062" s="444" t="s">
        <v>40</v>
      </c>
      <c r="E1062" s="60">
        <v>3359.2</v>
      </c>
      <c r="F1062" s="445">
        <v>1</v>
      </c>
      <c r="G1062" s="34">
        <v>3359.2</v>
      </c>
      <c r="H1062" s="34"/>
      <c r="I1062" s="34"/>
      <c r="J1062" s="34"/>
      <c r="K1062" s="34"/>
      <c r="L1062" s="34"/>
      <c r="M1062" s="34"/>
      <c r="N1062" s="34"/>
      <c r="O1062" s="34"/>
    </row>
    <row r="1063" spans="1:15" ht="18.75">
      <c r="A1063" s="34">
        <v>36</v>
      </c>
      <c r="B1063" s="34"/>
      <c r="C1063" s="364" t="s">
        <v>1250</v>
      </c>
      <c r="D1063" s="444" t="s">
        <v>40</v>
      </c>
      <c r="E1063" s="60">
        <v>1169.8</v>
      </c>
      <c r="F1063" s="445">
        <v>2</v>
      </c>
      <c r="G1063" s="34">
        <v>2339.6</v>
      </c>
      <c r="H1063" s="34"/>
      <c r="I1063" s="34"/>
      <c r="J1063" s="34"/>
      <c r="K1063" s="34"/>
      <c r="L1063" s="34"/>
      <c r="M1063" s="34"/>
      <c r="N1063" s="34"/>
      <c r="O1063" s="34"/>
    </row>
    <row r="1064" spans="1:15" ht="18.75">
      <c r="A1064" s="34">
        <v>37</v>
      </c>
      <c r="B1064" s="34"/>
      <c r="C1064" s="364" t="s">
        <v>1251</v>
      </c>
      <c r="D1064" s="444" t="s">
        <v>40</v>
      </c>
      <c r="E1064" s="60">
        <v>1837.3</v>
      </c>
      <c r="F1064" s="445">
        <v>2</v>
      </c>
      <c r="G1064" s="34">
        <v>3674.6</v>
      </c>
      <c r="H1064" s="34"/>
      <c r="I1064" s="34"/>
      <c r="J1064" s="34"/>
      <c r="K1064" s="34"/>
      <c r="L1064" s="34"/>
      <c r="M1064" s="34"/>
      <c r="N1064" s="34"/>
      <c r="O1064" s="34"/>
    </row>
    <row r="1065" spans="1:15" ht="18.75">
      <c r="A1065" s="34">
        <v>38</v>
      </c>
      <c r="B1065" s="34"/>
      <c r="C1065" s="364" t="s">
        <v>1252</v>
      </c>
      <c r="D1065" s="444" t="s">
        <v>40</v>
      </c>
      <c r="E1065" s="60">
        <v>13998.4</v>
      </c>
      <c r="F1065" s="445">
        <v>2</v>
      </c>
      <c r="G1065" s="34">
        <v>27996.799999999999</v>
      </c>
      <c r="H1065" s="34"/>
      <c r="I1065" s="34"/>
      <c r="J1065" s="34"/>
      <c r="K1065" s="34"/>
      <c r="L1065" s="34"/>
      <c r="M1065" s="34"/>
      <c r="N1065" s="34"/>
      <c r="O1065" s="34"/>
    </row>
    <row r="1066" spans="1:15" ht="18.75">
      <c r="A1066" s="34">
        <v>39</v>
      </c>
      <c r="B1066" s="34"/>
      <c r="C1066" s="364" t="s">
        <v>570</v>
      </c>
      <c r="D1066" s="444" t="s">
        <v>40</v>
      </c>
      <c r="E1066" s="60">
        <v>179.57</v>
      </c>
      <c r="F1066" s="445">
        <v>5</v>
      </c>
      <c r="G1066" s="34">
        <v>897.84999999999991</v>
      </c>
      <c r="H1066" s="34"/>
      <c r="I1066" s="34"/>
      <c r="J1066" s="34"/>
      <c r="K1066" s="34"/>
      <c r="L1066" s="34"/>
      <c r="M1066" s="34"/>
      <c r="N1066" s="34"/>
      <c r="O1066" s="34"/>
    </row>
    <row r="1067" spans="1:15" ht="18.75">
      <c r="A1067" s="34">
        <v>40</v>
      </c>
      <c r="B1067" s="34"/>
      <c r="C1067" s="364" t="s">
        <v>1253</v>
      </c>
      <c r="D1067" s="444" t="s">
        <v>40</v>
      </c>
      <c r="E1067" s="60">
        <v>111.24</v>
      </c>
      <c r="F1067" s="445">
        <v>5</v>
      </c>
      <c r="G1067" s="34">
        <v>556.19999999999993</v>
      </c>
      <c r="H1067" s="34"/>
      <c r="I1067" s="34"/>
      <c r="J1067" s="34"/>
      <c r="K1067" s="34"/>
      <c r="L1067" s="34"/>
      <c r="M1067" s="34"/>
      <c r="N1067" s="34"/>
      <c r="O1067" s="34"/>
    </row>
    <row r="1068" spans="1:15" ht="168.75">
      <c r="A1068" s="34">
        <v>41</v>
      </c>
      <c r="B1068" s="34"/>
      <c r="C1068" s="364" t="s">
        <v>1254</v>
      </c>
      <c r="D1068" s="444" t="s">
        <v>40</v>
      </c>
      <c r="E1068" s="60"/>
      <c r="F1068" s="445"/>
      <c r="G1068" s="34">
        <v>0</v>
      </c>
      <c r="H1068" s="34"/>
      <c r="I1068" s="34"/>
      <c r="J1068" s="34"/>
      <c r="K1068" s="34"/>
      <c r="L1068" s="34"/>
      <c r="M1068" s="34"/>
      <c r="N1068" s="34"/>
      <c r="O1068" s="34"/>
    </row>
    <row r="1069" spans="1:15" ht="18.75">
      <c r="A1069" s="34"/>
      <c r="B1069" s="34"/>
      <c r="C1069" s="356" t="s">
        <v>1255</v>
      </c>
      <c r="D1069" s="444"/>
      <c r="E1069" s="60">
        <v>1232.98</v>
      </c>
      <c r="F1069" s="445">
        <v>1</v>
      </c>
      <c r="G1069" s="34">
        <v>1232.98</v>
      </c>
      <c r="H1069" s="34"/>
      <c r="I1069" s="34"/>
      <c r="J1069" s="34"/>
      <c r="K1069" s="34"/>
      <c r="L1069" s="34"/>
      <c r="M1069" s="34"/>
      <c r="N1069" s="34"/>
      <c r="O1069" s="34"/>
    </row>
    <row r="1070" spans="1:15" ht="18.75">
      <c r="A1070" s="34"/>
      <c r="B1070" s="34"/>
      <c r="C1070" s="356" t="s">
        <v>1256</v>
      </c>
      <c r="D1070" s="444"/>
      <c r="E1070" s="60">
        <v>2230</v>
      </c>
      <c r="F1070" s="445">
        <v>1</v>
      </c>
      <c r="G1070" s="34">
        <v>2230</v>
      </c>
      <c r="H1070" s="34"/>
      <c r="I1070" s="34"/>
      <c r="J1070" s="34"/>
      <c r="K1070" s="34"/>
      <c r="L1070" s="34"/>
      <c r="M1070" s="34"/>
      <c r="N1070" s="34"/>
      <c r="O1070" s="34"/>
    </row>
    <row r="1071" spans="1:15" ht="18.75">
      <c r="A1071" s="34"/>
      <c r="B1071" s="34"/>
      <c r="C1071" s="356" t="s">
        <v>1257</v>
      </c>
      <c r="D1071" s="444"/>
      <c r="E1071" s="60">
        <v>6416.55</v>
      </c>
      <c r="F1071" s="445">
        <v>2</v>
      </c>
      <c r="G1071" s="34">
        <v>12833.1</v>
      </c>
      <c r="H1071" s="34"/>
      <c r="I1071" s="34"/>
      <c r="J1071" s="34"/>
      <c r="K1071" s="34"/>
      <c r="L1071" s="34"/>
      <c r="M1071" s="34"/>
      <c r="N1071" s="34"/>
      <c r="O1071" s="34"/>
    </row>
    <row r="1072" spans="1:15" ht="75">
      <c r="A1072" s="34">
        <v>42</v>
      </c>
      <c r="B1072" s="34"/>
      <c r="C1072" s="356" t="s">
        <v>1258</v>
      </c>
      <c r="D1072" s="444" t="s">
        <v>40</v>
      </c>
      <c r="E1072" s="60"/>
      <c r="F1072" s="445"/>
      <c r="G1072" s="34">
        <v>0</v>
      </c>
      <c r="H1072" s="34"/>
      <c r="I1072" s="34"/>
      <c r="J1072" s="34"/>
      <c r="K1072" s="34"/>
      <c r="L1072" s="34"/>
      <c r="M1072" s="34"/>
      <c r="N1072" s="34"/>
      <c r="O1072" s="34"/>
    </row>
    <row r="1073" spans="1:15" ht="18.75">
      <c r="A1073" s="34"/>
      <c r="B1073" s="34"/>
      <c r="C1073" s="356" t="s">
        <v>1259</v>
      </c>
      <c r="D1073" s="444" t="s">
        <v>503</v>
      </c>
      <c r="E1073" s="60">
        <v>36.14</v>
      </c>
      <c r="F1073" s="445">
        <v>100</v>
      </c>
      <c r="G1073" s="34">
        <v>3614</v>
      </c>
      <c r="H1073" s="34"/>
      <c r="I1073" s="34"/>
      <c r="J1073" s="34"/>
      <c r="K1073" s="34"/>
      <c r="L1073" s="34"/>
      <c r="M1073" s="34"/>
      <c r="N1073" s="34"/>
      <c r="O1073" s="34"/>
    </row>
    <row r="1074" spans="1:15" ht="18.75">
      <c r="A1074" s="34"/>
      <c r="B1074" s="34"/>
      <c r="C1074" s="356" t="s">
        <v>1260</v>
      </c>
      <c r="D1074" s="444" t="s">
        <v>503</v>
      </c>
      <c r="E1074" s="60">
        <v>30.12</v>
      </c>
      <c r="F1074" s="445">
        <v>100</v>
      </c>
      <c r="G1074" s="34">
        <v>3012</v>
      </c>
      <c r="H1074" s="34"/>
      <c r="I1074" s="34"/>
      <c r="J1074" s="34"/>
      <c r="K1074" s="34"/>
      <c r="L1074" s="34"/>
      <c r="M1074" s="34"/>
      <c r="N1074" s="34"/>
      <c r="O1074" s="34"/>
    </row>
    <row r="1075" spans="1:15" ht="18.75">
      <c r="A1075" s="34"/>
      <c r="B1075" s="34"/>
      <c r="C1075" s="356" t="s">
        <v>1261</v>
      </c>
      <c r="D1075" s="444" t="s">
        <v>503</v>
      </c>
      <c r="E1075" s="60">
        <v>57</v>
      </c>
      <c r="F1075" s="445">
        <v>100</v>
      </c>
      <c r="G1075" s="34">
        <v>5700</v>
      </c>
      <c r="H1075" s="34"/>
      <c r="I1075" s="34"/>
      <c r="J1075" s="34"/>
      <c r="K1075" s="34"/>
      <c r="L1075" s="34"/>
      <c r="M1075" s="34"/>
      <c r="N1075" s="34"/>
      <c r="O1075" s="34"/>
    </row>
    <row r="1076" spans="1:15" ht="37.5">
      <c r="A1076" s="34">
        <v>43</v>
      </c>
      <c r="B1076" s="34"/>
      <c r="C1076" s="356" t="s">
        <v>1262</v>
      </c>
      <c r="D1076" s="444" t="s">
        <v>40</v>
      </c>
      <c r="E1076" s="60">
        <v>2800</v>
      </c>
      <c r="F1076" s="445">
        <v>2</v>
      </c>
      <c r="G1076" s="34">
        <v>5600</v>
      </c>
      <c r="H1076" s="34"/>
      <c r="I1076" s="34"/>
      <c r="J1076" s="34"/>
      <c r="K1076" s="34"/>
      <c r="L1076" s="34"/>
      <c r="M1076" s="34"/>
      <c r="N1076" s="34"/>
      <c r="O1076" s="34"/>
    </row>
    <row r="1077" spans="1:15" ht="37.5">
      <c r="A1077" s="34">
        <v>44</v>
      </c>
      <c r="B1077" s="34"/>
      <c r="C1077" s="356" t="s">
        <v>1263</v>
      </c>
      <c r="D1077" s="444" t="s">
        <v>40</v>
      </c>
      <c r="E1077" s="60">
        <v>5250</v>
      </c>
      <c r="F1077" s="445">
        <v>2</v>
      </c>
      <c r="G1077" s="34">
        <v>10500</v>
      </c>
      <c r="H1077" s="34"/>
      <c r="I1077" s="34"/>
      <c r="J1077" s="34"/>
      <c r="K1077" s="34"/>
      <c r="L1077" s="34"/>
      <c r="M1077" s="34"/>
      <c r="N1077" s="34"/>
      <c r="O1077" s="34"/>
    </row>
    <row r="1078" spans="1:15" ht="75">
      <c r="A1078" s="34">
        <v>45</v>
      </c>
      <c r="B1078" s="34"/>
      <c r="C1078" s="356" t="s">
        <v>1264</v>
      </c>
      <c r="D1078" s="444" t="s">
        <v>40</v>
      </c>
      <c r="E1078" s="60">
        <v>3784.2</v>
      </c>
      <c r="F1078" s="445">
        <v>2</v>
      </c>
      <c r="G1078" s="34">
        <v>7568.4</v>
      </c>
      <c r="H1078" s="34"/>
      <c r="I1078" s="34"/>
      <c r="J1078" s="34"/>
      <c r="K1078" s="34"/>
      <c r="L1078" s="34"/>
      <c r="M1078" s="34"/>
      <c r="N1078" s="34"/>
      <c r="O1078" s="34"/>
    </row>
    <row r="1079" spans="1:15" ht="37.5">
      <c r="A1079" s="34">
        <v>46</v>
      </c>
      <c r="B1079" s="34"/>
      <c r="C1079" s="356" t="s">
        <v>1265</v>
      </c>
      <c r="D1079" s="444" t="s">
        <v>40</v>
      </c>
      <c r="E1079" s="60">
        <v>49770</v>
      </c>
      <c r="F1079" s="445">
        <v>2</v>
      </c>
      <c r="G1079" s="434">
        <v>99540</v>
      </c>
      <c r="H1079" s="34"/>
      <c r="I1079" s="34"/>
      <c r="J1079" s="34"/>
      <c r="K1079" s="34"/>
      <c r="L1079" s="34"/>
      <c r="M1079" s="34"/>
      <c r="N1079" s="34"/>
      <c r="O1079" s="34"/>
    </row>
    <row r="1080" spans="1:15" ht="56.25">
      <c r="A1080" s="34">
        <v>47</v>
      </c>
      <c r="B1080" s="34"/>
      <c r="C1080" s="356" t="s">
        <v>1266</v>
      </c>
      <c r="D1080" s="444" t="s">
        <v>40</v>
      </c>
      <c r="E1080" s="60">
        <v>5618.25</v>
      </c>
      <c r="F1080" s="445">
        <v>6</v>
      </c>
      <c r="G1080" s="34">
        <v>33709.5</v>
      </c>
      <c r="H1080" s="34"/>
      <c r="I1080" s="34"/>
      <c r="J1080" s="34"/>
      <c r="K1080" s="34"/>
      <c r="L1080" s="34"/>
      <c r="M1080" s="34"/>
      <c r="N1080" s="34"/>
      <c r="O1080" s="34"/>
    </row>
    <row r="1081" spans="1:15" ht="18.75">
      <c r="A1081" s="34">
        <v>48</v>
      </c>
      <c r="B1081" s="34"/>
      <c r="C1081" s="356" t="s">
        <v>1267</v>
      </c>
      <c r="D1081" s="444" t="s">
        <v>40</v>
      </c>
      <c r="E1081" s="60">
        <v>1112.3</v>
      </c>
      <c r="F1081" s="445">
        <v>1</v>
      </c>
      <c r="G1081" s="34">
        <v>1112.3</v>
      </c>
      <c r="H1081" s="34"/>
      <c r="I1081" s="34"/>
      <c r="J1081" s="34"/>
      <c r="K1081" s="34"/>
      <c r="L1081" s="34"/>
      <c r="M1081" s="34"/>
      <c r="N1081" s="34"/>
      <c r="O1081" s="34"/>
    </row>
    <row r="1082" spans="1:15" ht="18.75">
      <c r="A1082" s="34">
        <v>49</v>
      </c>
      <c r="B1082" s="34"/>
      <c r="C1082" s="356" t="s">
        <v>1268</v>
      </c>
      <c r="D1082" s="444" t="s">
        <v>40</v>
      </c>
      <c r="E1082" s="60">
        <v>1396.05</v>
      </c>
      <c r="F1082" s="445">
        <v>1</v>
      </c>
      <c r="G1082" s="34">
        <v>1396.05</v>
      </c>
      <c r="H1082" s="34"/>
      <c r="I1082" s="34"/>
      <c r="J1082" s="34"/>
      <c r="K1082" s="34"/>
      <c r="L1082" s="34"/>
      <c r="M1082" s="34"/>
      <c r="N1082" s="34"/>
      <c r="O1082" s="34"/>
    </row>
    <row r="1083" spans="1:15" ht="37.5">
      <c r="A1083" s="34">
        <v>50</v>
      </c>
      <c r="B1083" s="34"/>
      <c r="C1083" s="356" t="s">
        <v>1269</v>
      </c>
      <c r="D1083" s="444" t="s">
        <v>40</v>
      </c>
      <c r="E1083" s="60">
        <v>7888.3</v>
      </c>
      <c r="F1083" s="445">
        <v>2</v>
      </c>
      <c r="G1083" s="34">
        <v>15776.6</v>
      </c>
      <c r="H1083" s="34"/>
      <c r="I1083" s="34"/>
      <c r="J1083" s="34"/>
      <c r="K1083" s="34"/>
      <c r="L1083" s="34"/>
      <c r="M1083" s="34"/>
      <c r="N1083" s="34"/>
      <c r="O1083" s="34"/>
    </row>
    <row r="1084" spans="1:15" ht="56.25">
      <c r="A1084" s="34">
        <v>51</v>
      </c>
      <c r="B1084" s="34"/>
      <c r="C1084" s="356" t="s">
        <v>1270</v>
      </c>
      <c r="D1084" s="444" t="s">
        <v>40</v>
      </c>
      <c r="E1084" s="60">
        <v>22110</v>
      </c>
      <c r="F1084" s="445">
        <v>1</v>
      </c>
      <c r="G1084" s="34">
        <v>22110</v>
      </c>
      <c r="H1084" s="34"/>
      <c r="I1084" s="34"/>
      <c r="J1084" s="34"/>
      <c r="K1084" s="34"/>
      <c r="L1084" s="34"/>
      <c r="M1084" s="34"/>
      <c r="N1084" s="34"/>
      <c r="O1084" s="34"/>
    </row>
    <row r="1085" spans="1:15" ht="37.5">
      <c r="A1085" s="34">
        <v>52</v>
      </c>
      <c r="B1085" s="34"/>
      <c r="C1085" s="356" t="s">
        <v>1271</v>
      </c>
      <c r="D1085" s="444" t="s">
        <v>40</v>
      </c>
      <c r="E1085" s="60">
        <v>6583</v>
      </c>
      <c r="F1085" s="445">
        <v>1</v>
      </c>
      <c r="G1085" s="34">
        <v>6583</v>
      </c>
      <c r="H1085" s="34"/>
      <c r="I1085" s="34"/>
      <c r="J1085" s="34"/>
      <c r="K1085" s="34"/>
      <c r="L1085" s="34"/>
      <c r="M1085" s="34"/>
      <c r="N1085" s="34"/>
      <c r="O1085" s="34"/>
    </row>
    <row r="1086" spans="1:15" ht="37.5">
      <c r="A1086" s="34">
        <v>53</v>
      </c>
      <c r="B1086" s="34"/>
      <c r="C1086" s="356" t="s">
        <v>1272</v>
      </c>
      <c r="D1086" s="444" t="s">
        <v>40</v>
      </c>
      <c r="E1086" s="60">
        <v>5084.8</v>
      </c>
      <c r="F1086" s="445">
        <v>1</v>
      </c>
      <c r="G1086" s="34">
        <v>5084.8</v>
      </c>
      <c r="H1086" s="34"/>
      <c r="I1086" s="34"/>
      <c r="J1086" s="34"/>
      <c r="K1086" s="34"/>
      <c r="L1086" s="34"/>
      <c r="M1086" s="34"/>
      <c r="N1086" s="34"/>
      <c r="O1086" s="34"/>
    </row>
    <row r="1087" spans="1:15" ht="56.25">
      <c r="A1087" s="34">
        <v>54</v>
      </c>
      <c r="B1087" s="34"/>
      <c r="C1087" s="356" t="s">
        <v>1273</v>
      </c>
      <c r="D1087" s="444" t="s">
        <v>40</v>
      </c>
      <c r="E1087" s="60">
        <v>2247.3000000000002</v>
      </c>
      <c r="F1087" s="445">
        <v>1</v>
      </c>
      <c r="G1087" s="34">
        <v>2247.3000000000002</v>
      </c>
      <c r="H1087" s="34"/>
      <c r="I1087" s="34"/>
      <c r="J1087" s="34"/>
      <c r="K1087" s="34"/>
      <c r="L1087" s="34"/>
      <c r="M1087" s="34"/>
      <c r="N1087" s="34"/>
      <c r="O1087" s="34"/>
    </row>
    <row r="1088" spans="1:15" ht="18.75">
      <c r="A1088" s="34">
        <v>55</v>
      </c>
      <c r="B1088" s="34"/>
      <c r="C1088" s="364" t="s">
        <v>1274</v>
      </c>
      <c r="D1088" s="444" t="s">
        <v>40</v>
      </c>
      <c r="E1088" s="60">
        <v>488.05</v>
      </c>
      <c r="F1088" s="445">
        <v>1</v>
      </c>
      <c r="G1088" s="34">
        <v>488.05</v>
      </c>
      <c r="H1088" s="34"/>
      <c r="I1088" s="34"/>
      <c r="J1088" s="34"/>
      <c r="K1088" s="34"/>
      <c r="L1088" s="34"/>
      <c r="M1088" s="34"/>
      <c r="N1088" s="34"/>
      <c r="O1088" s="34"/>
    </row>
    <row r="1089" spans="1:15" ht="37.5">
      <c r="A1089" s="34">
        <v>56</v>
      </c>
      <c r="B1089" s="34"/>
      <c r="C1089" s="356" t="s">
        <v>1275</v>
      </c>
      <c r="D1089" s="444" t="s">
        <v>40</v>
      </c>
      <c r="E1089" s="60">
        <v>567.5</v>
      </c>
      <c r="F1089" s="445">
        <v>2</v>
      </c>
      <c r="G1089" s="34">
        <v>1135</v>
      </c>
      <c r="H1089" s="34"/>
      <c r="I1089" s="34"/>
      <c r="J1089" s="34"/>
      <c r="K1089" s="34"/>
      <c r="L1089" s="34"/>
      <c r="M1089" s="34"/>
      <c r="N1089" s="34"/>
      <c r="O1089" s="34"/>
    </row>
    <row r="1090" spans="1:15" ht="37.5">
      <c r="A1090" s="34">
        <v>57</v>
      </c>
      <c r="B1090" s="34"/>
      <c r="C1090" s="364" t="s">
        <v>1276</v>
      </c>
      <c r="D1090" s="447" t="s">
        <v>40</v>
      </c>
      <c r="E1090" s="60">
        <v>476.7</v>
      </c>
      <c r="F1090" s="445">
        <v>2</v>
      </c>
      <c r="G1090" s="34">
        <v>953.4</v>
      </c>
      <c r="H1090" s="34"/>
      <c r="I1090" s="34"/>
      <c r="J1090" s="34"/>
      <c r="K1090" s="34"/>
      <c r="L1090" s="34"/>
      <c r="M1090" s="34"/>
      <c r="N1090" s="34"/>
      <c r="O1090" s="34"/>
    </row>
    <row r="1091" spans="1:15" ht="37.5">
      <c r="A1091" s="34">
        <v>58</v>
      </c>
      <c r="B1091" s="34"/>
      <c r="C1091" s="364" t="s">
        <v>1277</v>
      </c>
      <c r="D1091" s="447" t="s">
        <v>40</v>
      </c>
      <c r="E1091" s="60">
        <v>624.25</v>
      </c>
      <c r="F1091" s="445">
        <v>2</v>
      </c>
      <c r="G1091" s="34">
        <v>1248.5</v>
      </c>
      <c r="H1091" s="34"/>
      <c r="I1091" s="34"/>
      <c r="J1091" s="34"/>
      <c r="K1091" s="34"/>
      <c r="L1091" s="34"/>
      <c r="M1091" s="34"/>
      <c r="N1091" s="34"/>
      <c r="O1091" s="34"/>
    </row>
    <row r="1092" spans="1:15" ht="37.5">
      <c r="A1092" s="34">
        <v>59</v>
      </c>
      <c r="B1092" s="34"/>
      <c r="C1092" s="356" t="s">
        <v>1278</v>
      </c>
      <c r="D1092" s="448" t="s">
        <v>40</v>
      </c>
      <c r="E1092" s="60">
        <v>851.25</v>
      </c>
      <c r="F1092" s="445">
        <v>2</v>
      </c>
      <c r="G1092" s="34">
        <v>1702.5</v>
      </c>
      <c r="H1092" s="34"/>
      <c r="I1092" s="34"/>
      <c r="J1092" s="34"/>
      <c r="K1092" s="34"/>
      <c r="L1092" s="34"/>
      <c r="M1092" s="34"/>
      <c r="N1092" s="34"/>
      <c r="O1092" s="34"/>
    </row>
    <row r="1093" spans="1:15" ht="93.75">
      <c r="A1093" s="34">
        <v>60</v>
      </c>
      <c r="B1093" s="34"/>
      <c r="C1093" s="364" t="s">
        <v>1279</v>
      </c>
      <c r="D1093" s="448" t="s">
        <v>40</v>
      </c>
      <c r="E1093" s="60">
        <v>11764.2</v>
      </c>
      <c r="F1093" s="445">
        <v>1</v>
      </c>
      <c r="G1093" s="34">
        <v>11764.2</v>
      </c>
      <c r="H1093" s="34"/>
      <c r="I1093" s="34"/>
      <c r="J1093" s="34"/>
      <c r="K1093" s="34"/>
      <c r="L1093" s="34"/>
      <c r="M1093" s="34"/>
      <c r="N1093" s="34"/>
      <c r="O1093" s="34"/>
    </row>
    <row r="1094" spans="1:15">
      <c r="A1094" s="34">
        <v>61</v>
      </c>
      <c r="B1094" s="34"/>
      <c r="C1094" s="434" t="s">
        <v>1280</v>
      </c>
      <c r="D1094" s="449" t="s">
        <v>40</v>
      </c>
      <c r="E1094" s="60">
        <v>5874</v>
      </c>
      <c r="F1094" s="450">
        <v>1</v>
      </c>
      <c r="G1094" s="34">
        <v>5874</v>
      </c>
      <c r="H1094" s="34"/>
      <c r="I1094" s="34"/>
      <c r="J1094" s="34"/>
      <c r="K1094" s="34"/>
      <c r="L1094" s="34"/>
      <c r="M1094" s="34"/>
      <c r="N1094" s="34"/>
      <c r="O1094" s="34"/>
    </row>
    <row r="1095" spans="1:15">
      <c r="A1095" s="34">
        <v>62</v>
      </c>
      <c r="B1095" s="34"/>
      <c r="C1095" s="434" t="s">
        <v>1281</v>
      </c>
      <c r="D1095" s="449" t="s">
        <v>40</v>
      </c>
      <c r="E1095" s="60">
        <v>115687.2</v>
      </c>
      <c r="F1095" s="450">
        <v>1</v>
      </c>
      <c r="G1095" s="34">
        <v>115687.2</v>
      </c>
      <c r="H1095" s="34"/>
      <c r="I1095" s="34"/>
      <c r="J1095" s="34"/>
      <c r="K1095" s="34"/>
      <c r="L1095" s="34"/>
      <c r="M1095" s="34"/>
      <c r="N1095" s="34"/>
      <c r="O1095" s="34"/>
    </row>
    <row r="1096" spans="1:15">
      <c r="A1096" s="34">
        <v>63</v>
      </c>
      <c r="B1096" s="34"/>
      <c r="C1096" s="434" t="s">
        <v>1282</v>
      </c>
      <c r="D1096" s="449" t="s">
        <v>40</v>
      </c>
      <c r="E1096" s="60">
        <v>81184</v>
      </c>
      <c r="F1096" s="451">
        <v>1</v>
      </c>
      <c r="G1096" s="34">
        <v>81184</v>
      </c>
      <c r="H1096" s="34"/>
      <c r="I1096" s="34"/>
      <c r="J1096" s="34"/>
      <c r="K1096" s="34"/>
      <c r="L1096" s="34"/>
      <c r="M1096" s="34"/>
      <c r="N1096" s="34"/>
      <c r="O1096" s="34"/>
    </row>
    <row r="1097" spans="1:15" ht="33">
      <c r="A1097" s="34">
        <v>64</v>
      </c>
      <c r="B1097" s="34"/>
      <c r="C1097" s="442" t="s">
        <v>1283</v>
      </c>
      <c r="D1097" s="449" t="s">
        <v>40</v>
      </c>
      <c r="E1097" s="60">
        <v>38627.4</v>
      </c>
      <c r="F1097" s="451">
        <v>2</v>
      </c>
      <c r="G1097" s="34">
        <f>E1097*F1097</f>
        <v>77254.8</v>
      </c>
      <c r="H1097" s="34"/>
      <c r="I1097" s="34"/>
      <c r="J1097" s="34"/>
      <c r="K1097" s="34"/>
      <c r="L1097" s="34"/>
      <c r="M1097" s="34"/>
      <c r="N1097" s="34"/>
      <c r="O1097" s="34"/>
    </row>
    <row r="1098" spans="1:15" ht="30">
      <c r="A1098" s="34">
        <v>65</v>
      </c>
      <c r="B1098" s="34"/>
      <c r="C1098" s="10" t="s">
        <v>1284</v>
      </c>
      <c r="D1098" s="383" t="s">
        <v>37</v>
      </c>
      <c r="E1098" s="60">
        <v>58982.3</v>
      </c>
      <c r="F1098" s="452">
        <v>1</v>
      </c>
      <c r="G1098" s="34">
        <f t="shared" ref="G1098:G1115" si="54">E1098*F1098</f>
        <v>58982.3</v>
      </c>
      <c r="H1098" s="410"/>
      <c r="I1098" s="410"/>
      <c r="J1098" s="410"/>
      <c r="K1098" s="410"/>
      <c r="L1098" s="410"/>
      <c r="M1098" s="410"/>
      <c r="N1098" s="410"/>
      <c r="O1098" s="410"/>
    </row>
    <row r="1099" spans="1:15" ht="30">
      <c r="A1099" s="34">
        <v>66</v>
      </c>
      <c r="B1099" s="34"/>
      <c r="C1099" s="10" t="s">
        <v>1285</v>
      </c>
      <c r="D1099" s="383" t="s">
        <v>37</v>
      </c>
      <c r="E1099" s="60">
        <v>3168.3</v>
      </c>
      <c r="F1099" s="453">
        <v>4</v>
      </c>
      <c r="G1099" s="34">
        <f t="shared" si="54"/>
        <v>12673.2</v>
      </c>
    </row>
    <row r="1100" spans="1:15" ht="30">
      <c r="A1100" s="34">
        <v>67</v>
      </c>
      <c r="B1100" s="34"/>
      <c r="C1100" s="10" t="s">
        <v>1286</v>
      </c>
      <c r="D1100" s="383" t="s">
        <v>37</v>
      </c>
      <c r="E1100" s="60">
        <v>4112.3</v>
      </c>
      <c r="F1100" s="453">
        <v>2</v>
      </c>
      <c r="G1100" s="34">
        <f t="shared" si="54"/>
        <v>8224.6</v>
      </c>
    </row>
    <row r="1101" spans="1:15" ht="30">
      <c r="A1101" s="34">
        <v>68</v>
      </c>
      <c r="B1101" s="34"/>
      <c r="C1101" s="10" t="s">
        <v>1287</v>
      </c>
      <c r="D1101" s="383" t="s">
        <v>37</v>
      </c>
      <c r="E1101" s="60">
        <v>32007.5</v>
      </c>
      <c r="F1101" s="453">
        <v>1</v>
      </c>
      <c r="G1101" s="34">
        <f t="shared" si="54"/>
        <v>32007.5</v>
      </c>
    </row>
    <row r="1102" spans="1:15" ht="45">
      <c r="A1102" s="34">
        <v>69</v>
      </c>
      <c r="B1102" s="34"/>
      <c r="C1102" s="10" t="s">
        <v>1288</v>
      </c>
      <c r="D1102" s="383" t="s">
        <v>37</v>
      </c>
      <c r="E1102" s="60">
        <v>4672.8</v>
      </c>
      <c r="F1102" s="453">
        <v>4</v>
      </c>
      <c r="G1102" s="34">
        <f t="shared" si="54"/>
        <v>18691.2</v>
      </c>
    </row>
    <row r="1103" spans="1:15" ht="45">
      <c r="A1103" s="34">
        <v>70</v>
      </c>
      <c r="B1103" s="34"/>
      <c r="C1103" s="10" t="s">
        <v>292</v>
      </c>
      <c r="D1103" s="383" t="s">
        <v>37</v>
      </c>
      <c r="E1103" s="60">
        <v>4672.8</v>
      </c>
      <c r="F1103" s="453">
        <v>2</v>
      </c>
      <c r="G1103" s="34">
        <f t="shared" si="54"/>
        <v>9345.6</v>
      </c>
    </row>
    <row r="1104" spans="1:15" ht="45">
      <c r="A1104" s="34">
        <v>71</v>
      </c>
      <c r="B1104" s="34"/>
      <c r="C1104" s="10" t="s">
        <v>1289</v>
      </c>
      <c r="D1104" s="383" t="s">
        <v>37</v>
      </c>
      <c r="E1104" s="60">
        <v>2259.6999999999998</v>
      </c>
      <c r="F1104" s="453">
        <v>1</v>
      </c>
      <c r="G1104" s="34">
        <f t="shared" si="54"/>
        <v>2259.6999999999998</v>
      </c>
    </row>
    <row r="1105" spans="1:11" ht="30">
      <c r="A1105" s="34">
        <v>72</v>
      </c>
      <c r="B1105" s="34"/>
      <c r="C1105" s="10" t="s">
        <v>1290</v>
      </c>
      <c r="D1105" s="383" t="s">
        <v>37</v>
      </c>
      <c r="E1105" s="60">
        <v>7599.2</v>
      </c>
      <c r="F1105" s="453">
        <v>2</v>
      </c>
      <c r="G1105" s="34">
        <f t="shared" si="54"/>
        <v>15198.4</v>
      </c>
    </row>
    <row r="1106" spans="1:11">
      <c r="A1106" s="34">
        <v>73</v>
      </c>
      <c r="B1106" s="34"/>
      <c r="C1106" s="10" t="s">
        <v>1291</v>
      </c>
      <c r="D1106" s="383" t="s">
        <v>37</v>
      </c>
      <c r="E1106" s="60">
        <v>4088.7</v>
      </c>
      <c r="F1106" s="453">
        <v>2</v>
      </c>
      <c r="G1106" s="34">
        <f t="shared" si="54"/>
        <v>8177.4</v>
      </c>
    </row>
    <row r="1107" spans="1:11">
      <c r="A1107" s="34">
        <v>74</v>
      </c>
      <c r="B1107" s="34"/>
      <c r="C1107" s="10" t="s">
        <v>1292</v>
      </c>
      <c r="D1107" s="383" t="s">
        <v>37</v>
      </c>
      <c r="E1107" s="60">
        <v>2625.5</v>
      </c>
      <c r="F1107" s="453">
        <v>3</v>
      </c>
      <c r="G1107" s="34">
        <f t="shared" si="54"/>
        <v>7876.5</v>
      </c>
    </row>
    <row r="1108" spans="1:11">
      <c r="A1108" s="34">
        <v>75</v>
      </c>
      <c r="B1108" s="34"/>
      <c r="C1108" s="10" t="s">
        <v>300</v>
      </c>
      <c r="D1108" s="383" t="s">
        <v>37</v>
      </c>
      <c r="E1108" s="60">
        <v>371.7</v>
      </c>
      <c r="F1108" s="453">
        <v>3</v>
      </c>
      <c r="G1108" s="34">
        <f t="shared" si="54"/>
        <v>1115.0999999999999</v>
      </c>
    </row>
    <row r="1109" spans="1:11" ht="60">
      <c r="A1109" s="34">
        <v>76</v>
      </c>
      <c r="B1109" s="34"/>
      <c r="C1109" s="10" t="s">
        <v>1293</v>
      </c>
      <c r="D1109" s="383" t="s">
        <v>37</v>
      </c>
      <c r="E1109" s="60">
        <v>4472.2</v>
      </c>
      <c r="F1109" s="453">
        <v>4</v>
      </c>
      <c r="G1109" s="34">
        <f t="shared" si="54"/>
        <v>17888.8</v>
      </c>
    </row>
    <row r="1110" spans="1:11">
      <c r="A1110" s="34">
        <v>77</v>
      </c>
      <c r="B1110" s="34"/>
      <c r="C1110" s="10" t="s">
        <v>1294</v>
      </c>
      <c r="D1110" s="383" t="s">
        <v>37</v>
      </c>
      <c r="E1110" s="60">
        <v>5196.8</v>
      </c>
      <c r="F1110" s="453">
        <v>1</v>
      </c>
      <c r="G1110" s="34">
        <f t="shared" si="54"/>
        <v>5196.8</v>
      </c>
    </row>
    <row r="1111" spans="1:11">
      <c r="A1111" s="34">
        <v>78</v>
      </c>
      <c r="B1111" s="34"/>
      <c r="C1111" s="10" t="s">
        <v>1295</v>
      </c>
      <c r="D1111" s="383" t="s">
        <v>37</v>
      </c>
      <c r="E1111" s="60">
        <v>14543.2</v>
      </c>
      <c r="F1111" s="453">
        <v>1</v>
      </c>
      <c r="G1111" s="34">
        <f t="shared" si="54"/>
        <v>14543.2</v>
      </c>
    </row>
    <row r="1112" spans="1:11">
      <c r="A1112" s="34">
        <v>79</v>
      </c>
      <c r="B1112" s="34"/>
      <c r="C1112" s="10" t="s">
        <v>1296</v>
      </c>
      <c r="D1112" s="383" t="s">
        <v>37</v>
      </c>
      <c r="E1112" s="60">
        <v>19588.8</v>
      </c>
      <c r="F1112" s="453">
        <v>1</v>
      </c>
      <c r="G1112" s="34">
        <f t="shared" si="54"/>
        <v>19588.8</v>
      </c>
    </row>
    <row r="1113" spans="1:11" ht="30">
      <c r="A1113" s="34">
        <v>80</v>
      </c>
      <c r="B1113" s="34"/>
      <c r="C1113" s="10" t="s">
        <v>1297</v>
      </c>
      <c r="D1113" s="383" t="s">
        <v>37</v>
      </c>
      <c r="E1113" s="60">
        <v>38765.360000000001</v>
      </c>
      <c r="F1113" s="453">
        <v>1</v>
      </c>
      <c r="G1113" s="34">
        <f t="shared" si="54"/>
        <v>38765.360000000001</v>
      </c>
    </row>
    <row r="1114" spans="1:11" ht="30">
      <c r="A1114" s="34">
        <v>81</v>
      </c>
      <c r="B1114" s="34"/>
      <c r="C1114" s="10" t="s">
        <v>307</v>
      </c>
      <c r="D1114" s="383" t="s">
        <v>37</v>
      </c>
      <c r="E1114" s="60">
        <v>12059.6</v>
      </c>
      <c r="F1114" s="453">
        <v>1</v>
      </c>
      <c r="G1114" s="34">
        <f t="shared" si="54"/>
        <v>12059.6</v>
      </c>
    </row>
    <row r="1115" spans="1:11" ht="45">
      <c r="A1115" s="34">
        <v>82</v>
      </c>
      <c r="B1115" s="34"/>
      <c r="C1115" s="10" t="s">
        <v>1298</v>
      </c>
      <c r="D1115" s="383" t="s">
        <v>37</v>
      </c>
      <c r="E1115" s="60">
        <v>53085.84</v>
      </c>
      <c r="F1115" s="453">
        <v>1</v>
      </c>
      <c r="G1115" s="34">
        <f t="shared" si="54"/>
        <v>53085.84</v>
      </c>
    </row>
    <row r="1116" spans="1:11">
      <c r="A1116"/>
      <c r="G1116">
        <f>SUM(G1023:G1115)</f>
        <v>3528833.0699999994</v>
      </c>
    </row>
    <row r="1117" spans="1:11">
      <c r="A1117"/>
    </row>
    <row r="1118" spans="1:11" ht="23.25">
      <c r="A1118" s="1321" t="s">
        <v>200</v>
      </c>
      <c r="B1118" s="1322"/>
      <c r="C1118" s="1322"/>
      <c r="D1118" s="1322"/>
      <c r="E1118" s="1322"/>
      <c r="F1118" s="1322"/>
      <c r="G1118" s="1322"/>
      <c r="H1118" s="1322"/>
      <c r="I1118" s="1322"/>
      <c r="J1118" s="454"/>
      <c r="K1118" s="455"/>
    </row>
    <row r="1119" spans="1:11" ht="15.75">
      <c r="A1119" s="456" t="s">
        <v>1299</v>
      </c>
      <c r="B1119" s="456"/>
      <c r="C1119" s="457"/>
      <c r="D1119" s="456"/>
      <c r="E1119" s="456"/>
      <c r="F1119" s="456"/>
      <c r="G1119" s="456"/>
      <c r="H1119" s="456"/>
      <c r="I1119" s="456"/>
      <c r="J1119" s="458"/>
      <c r="K1119" s="459"/>
    </row>
    <row r="1120" spans="1:11" ht="15.75">
      <c r="A1120" s="456" t="s">
        <v>1300</v>
      </c>
      <c r="B1120" s="456"/>
      <c r="C1120" s="457"/>
      <c r="D1120" s="456"/>
      <c r="E1120" s="456"/>
      <c r="F1120" s="456"/>
      <c r="G1120" s="456"/>
      <c r="H1120" s="456"/>
      <c r="I1120" s="456"/>
      <c r="J1120" s="458"/>
      <c r="K1120" s="459"/>
    </row>
    <row r="1121" spans="1:11" ht="15.75">
      <c r="A1121" s="1323" t="s">
        <v>1301</v>
      </c>
      <c r="B1121" s="1323"/>
      <c r="C1121" s="1323"/>
      <c r="D1121" s="1323"/>
      <c r="E1121" s="1323"/>
      <c r="F1121" s="1323"/>
      <c r="G1121" s="1323"/>
      <c r="H1121" s="1323"/>
      <c r="I1121" s="1323"/>
      <c r="J1121" s="458"/>
      <c r="K1121" s="459"/>
    </row>
    <row r="1122" spans="1:11" ht="15.75">
      <c r="A1122" s="460"/>
      <c r="B1122" s="461"/>
      <c r="C1122" s="462"/>
      <c r="D1122" s="461"/>
      <c r="E1122" s="460"/>
      <c r="F1122" s="460"/>
      <c r="G1122" s="460"/>
      <c r="H1122" s="460"/>
      <c r="I1122" s="460"/>
      <c r="J1122" s="458"/>
      <c r="K1122" s="463"/>
    </row>
    <row r="1123" spans="1:11" ht="38.25">
      <c r="A1123" s="464" t="s">
        <v>1302</v>
      </c>
      <c r="B1123" s="465" t="s">
        <v>210</v>
      </c>
      <c r="C1123" s="465" t="s">
        <v>1303</v>
      </c>
      <c r="D1123" s="465" t="s">
        <v>112</v>
      </c>
      <c r="E1123" s="465" t="s">
        <v>1304</v>
      </c>
      <c r="F1123" s="466" t="s">
        <v>1305</v>
      </c>
      <c r="G1123" s="467" t="s">
        <v>1</v>
      </c>
      <c r="H1123" s="467" t="s">
        <v>1306</v>
      </c>
      <c r="I1123" s="465" t="s">
        <v>0</v>
      </c>
      <c r="J1123" s="467" t="s">
        <v>1307</v>
      </c>
      <c r="K1123" s="468" t="s">
        <v>80</v>
      </c>
    </row>
    <row r="1124" spans="1:11" ht="18.75">
      <c r="A1124" s="469">
        <v>2</v>
      </c>
      <c r="B1124" s="470" t="s">
        <v>411</v>
      </c>
      <c r="C1124" s="471" t="s">
        <v>780</v>
      </c>
      <c r="D1124" s="470" t="s">
        <v>324</v>
      </c>
      <c r="E1124" s="470">
        <v>920</v>
      </c>
      <c r="F1124" s="472"/>
      <c r="G1124" s="472"/>
      <c r="H1124" s="472"/>
      <c r="I1124" s="470"/>
      <c r="J1124" s="470">
        <v>111.54300000000001</v>
      </c>
      <c r="K1124" s="473">
        <f t="shared" ref="K1124:K1136" si="55">J1124*E1124</f>
        <v>102619.56000000001</v>
      </c>
    </row>
    <row r="1125" spans="1:11" ht="56.25">
      <c r="A1125" s="469">
        <v>4</v>
      </c>
      <c r="B1125" s="474" t="s">
        <v>1308</v>
      </c>
      <c r="C1125" s="475" t="s">
        <v>1309</v>
      </c>
      <c r="D1125" s="470" t="s">
        <v>46</v>
      </c>
      <c r="E1125" s="470">
        <v>240</v>
      </c>
      <c r="F1125" s="476"/>
      <c r="G1125" s="476"/>
      <c r="H1125" s="476"/>
      <c r="I1125" s="476"/>
      <c r="J1125" s="477">
        <v>963.37300000000005</v>
      </c>
      <c r="K1125" s="473">
        <f t="shared" si="55"/>
        <v>231209.52000000002</v>
      </c>
    </row>
    <row r="1126" spans="1:11" ht="37.5">
      <c r="A1126" s="469">
        <v>9</v>
      </c>
      <c r="B1126" s="468" t="s">
        <v>1310</v>
      </c>
      <c r="C1126" s="475" t="s">
        <v>1311</v>
      </c>
      <c r="D1126" s="470" t="s">
        <v>46</v>
      </c>
      <c r="E1126" s="470">
        <v>242.17</v>
      </c>
      <c r="F1126" s="476"/>
      <c r="G1126" s="476"/>
      <c r="H1126" s="476"/>
      <c r="I1126" s="476"/>
      <c r="J1126" s="477">
        <v>71</v>
      </c>
      <c r="K1126" s="473">
        <f t="shared" si="55"/>
        <v>17194.07</v>
      </c>
    </row>
    <row r="1127" spans="1:11" ht="18.75">
      <c r="A1127" s="478">
        <v>10</v>
      </c>
      <c r="B1127" s="468" t="s">
        <v>1312</v>
      </c>
      <c r="C1127" s="471" t="s">
        <v>1313</v>
      </c>
      <c r="D1127" s="470" t="s">
        <v>4</v>
      </c>
      <c r="E1127" s="470">
        <v>8.9999999999999993E-3</v>
      </c>
      <c r="F1127" s="479"/>
      <c r="G1127" s="479"/>
      <c r="H1127" s="479"/>
      <c r="I1127" s="479"/>
      <c r="J1127" s="470">
        <v>28220</v>
      </c>
      <c r="K1127" s="473">
        <f t="shared" si="55"/>
        <v>253.98</v>
      </c>
    </row>
    <row r="1128" spans="1:11" ht="37.5">
      <c r="A1128" s="464">
        <v>11</v>
      </c>
      <c r="B1128" s="474" t="s">
        <v>1314</v>
      </c>
      <c r="C1128" s="475" t="s">
        <v>796</v>
      </c>
      <c r="D1128" s="470" t="s">
        <v>37</v>
      </c>
      <c r="E1128" s="470">
        <v>52</v>
      </c>
      <c r="F1128" s="476"/>
      <c r="G1128" s="476"/>
      <c r="H1128" s="476"/>
      <c r="I1128" s="476"/>
      <c r="J1128" s="477">
        <v>464</v>
      </c>
      <c r="K1128" s="473">
        <f t="shared" si="55"/>
        <v>24128</v>
      </c>
    </row>
    <row r="1129" spans="1:11" ht="37.5">
      <c r="A1129" s="469">
        <v>12</v>
      </c>
      <c r="B1129" s="474" t="s">
        <v>1315</v>
      </c>
      <c r="C1129" s="475" t="s">
        <v>1316</v>
      </c>
      <c r="D1129" s="470" t="s">
        <v>37</v>
      </c>
      <c r="E1129" s="470">
        <v>32</v>
      </c>
      <c r="F1129" s="476"/>
      <c r="G1129" s="476"/>
      <c r="H1129" s="476"/>
      <c r="I1129" s="476"/>
      <c r="J1129" s="477">
        <v>965.24</v>
      </c>
      <c r="K1129" s="473">
        <f t="shared" si="55"/>
        <v>30887.68</v>
      </c>
    </row>
    <row r="1130" spans="1:11" ht="37.5">
      <c r="A1130" s="478">
        <v>15</v>
      </c>
      <c r="B1130" s="474" t="s">
        <v>1317</v>
      </c>
      <c r="C1130" s="475" t="s">
        <v>802</v>
      </c>
      <c r="D1130" s="470" t="s">
        <v>40</v>
      </c>
      <c r="E1130" s="470">
        <v>12</v>
      </c>
      <c r="F1130" s="476"/>
      <c r="G1130" s="476"/>
      <c r="H1130" s="476"/>
      <c r="I1130" s="476"/>
      <c r="J1130" s="477">
        <v>948.86</v>
      </c>
      <c r="K1130" s="473">
        <f t="shared" si="55"/>
        <v>11386.32</v>
      </c>
    </row>
    <row r="1131" spans="1:11" ht="37.5">
      <c r="A1131" s="464">
        <v>16</v>
      </c>
      <c r="B1131" s="480" t="s">
        <v>376</v>
      </c>
      <c r="C1131" s="481" t="s">
        <v>804</v>
      </c>
      <c r="D1131" s="470" t="s">
        <v>40</v>
      </c>
      <c r="E1131" s="470">
        <v>2</v>
      </c>
      <c r="F1131" s="476"/>
      <c r="G1131" s="476"/>
      <c r="H1131" s="476"/>
      <c r="I1131" s="476"/>
      <c r="J1131" s="482">
        <v>2175.5</v>
      </c>
      <c r="K1131" s="473">
        <f t="shared" si="55"/>
        <v>4351</v>
      </c>
    </row>
    <row r="1132" spans="1:11" ht="37.5">
      <c r="A1132" s="469">
        <v>17</v>
      </c>
      <c r="B1132" s="470">
        <v>1111105001</v>
      </c>
      <c r="C1132" s="475" t="s">
        <v>805</v>
      </c>
      <c r="D1132" s="470" t="s">
        <v>40</v>
      </c>
      <c r="E1132" s="470">
        <v>13</v>
      </c>
      <c r="F1132" s="476"/>
      <c r="G1132" s="476"/>
      <c r="H1132" s="476"/>
      <c r="I1132" s="476"/>
      <c r="J1132" s="477">
        <v>3864.5</v>
      </c>
      <c r="K1132" s="473">
        <f t="shared" si="55"/>
        <v>50238.5</v>
      </c>
    </row>
    <row r="1133" spans="1:11" ht="37.5">
      <c r="A1133" s="469">
        <v>18</v>
      </c>
      <c r="B1133" s="470">
        <v>1131301004</v>
      </c>
      <c r="C1133" s="475" t="s">
        <v>808</v>
      </c>
      <c r="D1133" s="470" t="s">
        <v>37</v>
      </c>
      <c r="E1133" s="483">
        <v>18</v>
      </c>
      <c r="F1133" s="465"/>
      <c r="G1133" s="484"/>
      <c r="H1133" s="484"/>
      <c r="I1133" s="484"/>
      <c r="J1133" s="477">
        <v>1345.2</v>
      </c>
      <c r="K1133" s="473">
        <f t="shared" si="55"/>
        <v>24213.600000000002</v>
      </c>
    </row>
    <row r="1134" spans="1:11" ht="37.5">
      <c r="A1134" s="469">
        <v>19</v>
      </c>
      <c r="B1134" s="468" t="s">
        <v>1318</v>
      </c>
      <c r="C1134" s="475" t="s">
        <v>811</v>
      </c>
      <c r="D1134" s="477" t="s">
        <v>37</v>
      </c>
      <c r="E1134" s="477">
        <v>18</v>
      </c>
      <c r="F1134" s="485"/>
      <c r="G1134" s="485"/>
      <c r="H1134" s="485"/>
      <c r="I1134" s="485"/>
      <c r="J1134" s="477">
        <v>1418.75</v>
      </c>
      <c r="K1134" s="473">
        <f t="shared" si="55"/>
        <v>25537.5</v>
      </c>
    </row>
    <row r="1135" spans="1:11" ht="37.5">
      <c r="A1135" s="478">
        <v>20</v>
      </c>
      <c r="B1135" s="470" t="s">
        <v>1319</v>
      </c>
      <c r="C1135" s="475" t="s">
        <v>1320</v>
      </c>
      <c r="D1135" s="486" t="s">
        <v>37</v>
      </c>
      <c r="E1135" s="470">
        <v>1</v>
      </c>
      <c r="F1135" s="487"/>
      <c r="G1135" s="487"/>
      <c r="H1135" s="487"/>
      <c r="I1135" s="487"/>
      <c r="J1135" s="477">
        <v>2604</v>
      </c>
      <c r="K1135" s="473">
        <f t="shared" si="55"/>
        <v>2604</v>
      </c>
    </row>
    <row r="1136" spans="1:11" ht="56.25">
      <c r="A1136" s="464">
        <v>21</v>
      </c>
      <c r="B1136" s="488" t="s">
        <v>405</v>
      </c>
      <c r="C1136" s="475" t="s">
        <v>1321</v>
      </c>
      <c r="D1136" s="477" t="s">
        <v>37</v>
      </c>
      <c r="E1136" s="470">
        <v>1</v>
      </c>
      <c r="F1136" s="479"/>
      <c r="G1136" s="479"/>
      <c r="H1136" s="479"/>
      <c r="I1136" s="479"/>
      <c r="J1136" s="477">
        <v>3348.25</v>
      </c>
      <c r="K1136" s="473">
        <f t="shared" si="55"/>
        <v>3348.25</v>
      </c>
    </row>
    <row r="1137" spans="1:11" ht="37.5">
      <c r="A1137" s="478">
        <v>25</v>
      </c>
      <c r="B1137" s="474" t="s">
        <v>42</v>
      </c>
      <c r="C1137" s="489" t="s">
        <v>1322</v>
      </c>
      <c r="D1137" s="490" t="s">
        <v>40</v>
      </c>
      <c r="E1137" s="465">
        <v>2</v>
      </c>
      <c r="F1137" s="470"/>
      <c r="G1137" s="491"/>
      <c r="H1137" s="491"/>
      <c r="I1137" s="465"/>
      <c r="J1137" s="492">
        <v>7930</v>
      </c>
      <c r="K1137" s="473">
        <f>J1137*E1137</f>
        <v>15860</v>
      </c>
    </row>
    <row r="1138" spans="1:11" ht="37.5">
      <c r="A1138" s="464">
        <v>26</v>
      </c>
      <c r="B1138" s="474" t="s">
        <v>1323</v>
      </c>
      <c r="C1138" s="475" t="s">
        <v>1324</v>
      </c>
      <c r="D1138" s="470" t="s">
        <v>40</v>
      </c>
      <c r="E1138" s="477">
        <v>170</v>
      </c>
      <c r="F1138" s="479"/>
      <c r="G1138" s="479"/>
      <c r="H1138" s="479"/>
      <c r="I1138" s="479"/>
      <c r="J1138" s="477">
        <v>1764</v>
      </c>
      <c r="K1138" s="473">
        <f>J1138*E1138</f>
        <v>299880</v>
      </c>
    </row>
    <row r="1139" spans="1:11" ht="75">
      <c r="A1139" s="469">
        <v>28</v>
      </c>
      <c r="B1139" s="468" t="s">
        <v>722</v>
      </c>
      <c r="C1139" s="475" t="s">
        <v>1325</v>
      </c>
      <c r="D1139" s="470" t="s">
        <v>37</v>
      </c>
      <c r="E1139" s="470">
        <v>2</v>
      </c>
      <c r="F1139" s="479"/>
      <c r="G1139" s="479"/>
      <c r="H1139" s="479"/>
      <c r="I1139" s="479"/>
      <c r="J1139" s="477">
        <v>1873</v>
      </c>
      <c r="K1139" s="473">
        <f>J1139*E1139</f>
        <v>3746</v>
      </c>
    </row>
    <row r="1140" spans="1:11" ht="75">
      <c r="A1140" s="469">
        <v>29</v>
      </c>
      <c r="B1140" s="468" t="s">
        <v>1326</v>
      </c>
      <c r="C1140" s="475" t="s">
        <v>1325</v>
      </c>
      <c r="D1140" s="470" t="s">
        <v>37</v>
      </c>
      <c r="E1140" s="470">
        <v>3</v>
      </c>
      <c r="F1140" s="472"/>
      <c r="G1140" s="472"/>
      <c r="H1140" s="472"/>
      <c r="I1140" s="472"/>
      <c r="J1140" s="477">
        <v>1129.33</v>
      </c>
      <c r="K1140" s="493">
        <f>J1140*E1140</f>
        <v>3387.99</v>
      </c>
    </row>
    <row r="1141" spans="1:11" ht="75">
      <c r="A1141" s="464">
        <v>31</v>
      </c>
      <c r="B1141" s="468" t="s">
        <v>1327</v>
      </c>
      <c r="C1141" s="475" t="s">
        <v>1328</v>
      </c>
      <c r="D1141" s="470" t="s">
        <v>37</v>
      </c>
      <c r="E1141" s="470"/>
      <c r="F1141" s="494"/>
      <c r="G1141" s="470"/>
      <c r="H1141" s="470"/>
      <c r="I1141" s="470">
        <v>2</v>
      </c>
      <c r="J1141" s="477">
        <v>1500</v>
      </c>
      <c r="K1141" s="473">
        <f>J1141*I1141</f>
        <v>3000</v>
      </c>
    </row>
    <row r="1142" spans="1:11" ht="75">
      <c r="A1142" s="469">
        <v>33</v>
      </c>
      <c r="B1142" s="468" t="s">
        <v>1329</v>
      </c>
      <c r="C1142" s="475" t="s">
        <v>1330</v>
      </c>
      <c r="D1142" s="470" t="s">
        <v>37</v>
      </c>
      <c r="E1142" s="470"/>
      <c r="F1142" s="494"/>
      <c r="G1142" s="470"/>
      <c r="H1142" s="470"/>
      <c r="I1142" s="470">
        <v>1</v>
      </c>
      <c r="J1142" s="477">
        <v>1500</v>
      </c>
      <c r="K1142" s="473">
        <f>J1142*I1142</f>
        <v>1500</v>
      </c>
    </row>
    <row r="1143" spans="1:11" ht="56.25">
      <c r="A1143" s="469">
        <v>37</v>
      </c>
      <c r="B1143" s="468" t="s">
        <v>472</v>
      </c>
      <c r="C1143" s="475" t="s">
        <v>1331</v>
      </c>
      <c r="D1143" s="470" t="s">
        <v>37</v>
      </c>
      <c r="E1143" s="470">
        <v>2</v>
      </c>
      <c r="F1143" s="470"/>
      <c r="G1143" s="470"/>
      <c r="H1143" s="470"/>
      <c r="I1143" s="470"/>
      <c r="J1143" s="477">
        <v>288510</v>
      </c>
      <c r="K1143" s="473">
        <f>J1143*E1143</f>
        <v>577020</v>
      </c>
    </row>
    <row r="1144" spans="1:11" ht="37.5">
      <c r="A1144" s="478">
        <v>40</v>
      </c>
      <c r="B1144" s="468" t="s">
        <v>1332</v>
      </c>
      <c r="C1144" s="495" t="s">
        <v>1333</v>
      </c>
      <c r="D1144" s="470" t="s">
        <v>7</v>
      </c>
      <c r="E1144" s="479"/>
      <c r="F1144" s="479"/>
      <c r="G1144" s="479"/>
      <c r="H1144" s="479"/>
      <c r="I1144" s="470">
        <v>8</v>
      </c>
      <c r="J1144" s="496">
        <v>80</v>
      </c>
      <c r="K1144" s="473">
        <f>J1144*I1144</f>
        <v>640</v>
      </c>
    </row>
    <row r="1145" spans="1:11" ht="37.5">
      <c r="A1145" s="469">
        <v>42</v>
      </c>
      <c r="B1145" s="468" t="s">
        <v>1334</v>
      </c>
      <c r="C1145" s="495" t="s">
        <v>1335</v>
      </c>
      <c r="D1145" s="470" t="s">
        <v>1336</v>
      </c>
      <c r="E1145" s="470">
        <v>400</v>
      </c>
      <c r="F1145" s="479"/>
      <c r="G1145" s="479"/>
      <c r="H1145" s="479"/>
      <c r="I1145" s="479"/>
      <c r="J1145" s="496">
        <v>14</v>
      </c>
      <c r="K1145" s="473">
        <f>J1145*E1145</f>
        <v>5600</v>
      </c>
    </row>
    <row r="1146" spans="1:11" ht="18.75">
      <c r="A1146" s="469">
        <v>43</v>
      </c>
      <c r="B1146" s="470" t="s">
        <v>1337</v>
      </c>
      <c r="C1146" s="495" t="s">
        <v>1338</v>
      </c>
      <c r="D1146" s="470" t="s">
        <v>324</v>
      </c>
      <c r="E1146" s="497">
        <v>100</v>
      </c>
      <c r="F1146" s="479"/>
      <c r="G1146" s="479"/>
      <c r="H1146" s="479"/>
      <c r="I1146" s="479"/>
      <c r="J1146" s="496">
        <v>1502.29</v>
      </c>
      <c r="K1146" s="473">
        <f>J1146*E1146</f>
        <v>150229</v>
      </c>
    </row>
    <row r="1147" spans="1:11" ht="37.5">
      <c r="A1147" s="469">
        <v>44</v>
      </c>
      <c r="B1147" s="470" t="s">
        <v>1337</v>
      </c>
      <c r="C1147" s="495" t="s">
        <v>1339</v>
      </c>
      <c r="D1147" s="470" t="s">
        <v>7</v>
      </c>
      <c r="E1147" s="470"/>
      <c r="F1147" s="479"/>
      <c r="G1147" s="479"/>
      <c r="H1147" s="479"/>
      <c r="I1147" s="470">
        <v>200</v>
      </c>
      <c r="J1147" s="496">
        <v>20</v>
      </c>
      <c r="K1147" s="473">
        <f>J1147*I1147</f>
        <v>4000</v>
      </c>
    </row>
    <row r="1148" spans="1:11" ht="75">
      <c r="A1148" s="464">
        <v>46</v>
      </c>
      <c r="B1148" s="468" t="s">
        <v>1340</v>
      </c>
      <c r="C1148" s="475" t="s">
        <v>1341</v>
      </c>
      <c r="D1148" s="470" t="s">
        <v>40</v>
      </c>
      <c r="E1148" s="477">
        <v>16</v>
      </c>
      <c r="F1148" s="479"/>
      <c r="G1148" s="479"/>
      <c r="H1148" s="479"/>
      <c r="I1148" s="479"/>
      <c r="J1148" s="477">
        <v>1117.97</v>
      </c>
      <c r="K1148" s="473">
        <f t="shared" ref="K1148:K1153" si="56">J1148*E1148</f>
        <v>17887.52</v>
      </c>
    </row>
    <row r="1149" spans="1:11" ht="150">
      <c r="A1149" s="469">
        <v>47</v>
      </c>
      <c r="B1149" s="477" t="s">
        <v>293</v>
      </c>
      <c r="C1149" s="475" t="s">
        <v>1342</v>
      </c>
      <c r="D1149" s="470" t="s">
        <v>40</v>
      </c>
      <c r="E1149" s="477">
        <v>4</v>
      </c>
      <c r="F1149" s="479"/>
      <c r="G1149" s="479"/>
      <c r="H1149" s="479"/>
      <c r="I1149" s="479"/>
      <c r="J1149" s="477">
        <v>12933.325000000001</v>
      </c>
      <c r="K1149" s="473">
        <f t="shared" si="56"/>
        <v>51733.3</v>
      </c>
    </row>
    <row r="1150" spans="1:11" ht="168.75">
      <c r="A1150" s="469">
        <v>48</v>
      </c>
      <c r="B1150" s="477" t="s">
        <v>293</v>
      </c>
      <c r="C1150" s="475" t="s">
        <v>1343</v>
      </c>
      <c r="D1150" s="470" t="s">
        <v>40</v>
      </c>
      <c r="E1150" s="477">
        <v>4</v>
      </c>
      <c r="F1150" s="479"/>
      <c r="G1150" s="479"/>
      <c r="H1150" s="479"/>
      <c r="I1150" s="479"/>
      <c r="J1150" s="477">
        <v>13455.424999999999</v>
      </c>
      <c r="K1150" s="473">
        <f t="shared" si="56"/>
        <v>53821.7</v>
      </c>
    </row>
    <row r="1151" spans="1:11" ht="37.5">
      <c r="A1151" s="469">
        <v>49</v>
      </c>
      <c r="B1151" s="470">
        <v>1151501005</v>
      </c>
      <c r="C1151" s="475" t="s">
        <v>1344</v>
      </c>
      <c r="D1151" s="470" t="s">
        <v>40</v>
      </c>
      <c r="E1151" s="470">
        <v>12</v>
      </c>
      <c r="F1151" s="476"/>
      <c r="G1151" s="476"/>
      <c r="H1151" s="476"/>
      <c r="I1151" s="476"/>
      <c r="J1151" s="477">
        <v>1418.75</v>
      </c>
      <c r="K1151" s="473">
        <f t="shared" si="56"/>
        <v>17025</v>
      </c>
    </row>
    <row r="1152" spans="1:11" ht="37.5">
      <c r="A1152" s="478">
        <v>50</v>
      </c>
      <c r="B1152" s="470">
        <v>1151504005</v>
      </c>
      <c r="C1152" s="475" t="s">
        <v>1345</v>
      </c>
      <c r="D1152" s="470" t="s">
        <v>40</v>
      </c>
      <c r="E1152" s="470">
        <v>1</v>
      </c>
      <c r="F1152" s="476"/>
      <c r="G1152" s="476"/>
      <c r="H1152" s="476"/>
      <c r="I1152" s="476"/>
      <c r="J1152" s="477">
        <v>1259.8499999999999</v>
      </c>
      <c r="K1152" s="473">
        <f t="shared" si="56"/>
        <v>1259.8499999999999</v>
      </c>
    </row>
    <row r="1153" spans="1:11" ht="26.25">
      <c r="A1153" s="464">
        <v>51</v>
      </c>
      <c r="B1153" s="465"/>
      <c r="C1153" s="471" t="s">
        <v>1346</v>
      </c>
      <c r="D1153" s="470" t="s">
        <v>40</v>
      </c>
      <c r="E1153" s="470">
        <v>13</v>
      </c>
      <c r="F1153" s="498"/>
      <c r="G1153" s="499"/>
      <c r="H1153" s="499"/>
      <c r="I1153" s="499"/>
      <c r="J1153" s="470">
        <v>5852.8</v>
      </c>
      <c r="K1153" s="473">
        <f t="shared" si="56"/>
        <v>76086.400000000009</v>
      </c>
    </row>
    <row r="1154" spans="1:11" ht="75">
      <c r="A1154" s="469">
        <v>53</v>
      </c>
      <c r="B1154" s="488" t="s">
        <v>1347</v>
      </c>
      <c r="C1154" s="475" t="s">
        <v>1348</v>
      </c>
      <c r="D1154" s="470" t="s">
        <v>1056</v>
      </c>
      <c r="E1154" s="480"/>
      <c r="F1154" s="480"/>
      <c r="G1154" s="480"/>
      <c r="H1154" s="480"/>
      <c r="I1154" s="480">
        <v>1</v>
      </c>
      <c r="J1154" s="468">
        <v>500</v>
      </c>
      <c r="K1154" s="473">
        <f>J1154*I1154</f>
        <v>500</v>
      </c>
    </row>
    <row r="1155" spans="1:11" ht="75">
      <c r="A1155" s="469">
        <v>54</v>
      </c>
      <c r="B1155" s="470" t="s">
        <v>1329</v>
      </c>
      <c r="C1155" s="475" t="s">
        <v>1349</v>
      </c>
      <c r="D1155" s="490" t="s">
        <v>1056</v>
      </c>
      <c r="E1155" s="470">
        <v>3</v>
      </c>
      <c r="F1155" s="470"/>
      <c r="G1155" s="491"/>
      <c r="H1155" s="491"/>
      <c r="I1155" s="487"/>
      <c r="J1155" s="468">
        <v>41182</v>
      </c>
      <c r="K1155" s="473">
        <f>J1155*E1155</f>
        <v>123546</v>
      </c>
    </row>
    <row r="1156" spans="1:11" ht="31.5">
      <c r="A1156" s="478">
        <v>55</v>
      </c>
      <c r="B1156" s="470" t="s">
        <v>744</v>
      </c>
      <c r="C1156" s="500" t="s">
        <v>1350</v>
      </c>
      <c r="D1156" s="490" t="s">
        <v>1056</v>
      </c>
      <c r="E1156" s="470">
        <v>1</v>
      </c>
      <c r="F1156" s="470"/>
      <c r="G1156" s="491"/>
      <c r="H1156" s="491"/>
      <c r="I1156" s="487"/>
      <c r="J1156" s="468">
        <v>41913</v>
      </c>
      <c r="K1156" s="473">
        <f>J1156*E1156</f>
        <v>41913</v>
      </c>
    </row>
    <row r="1157" spans="1:11" ht="75">
      <c r="A1157" s="464">
        <v>56</v>
      </c>
      <c r="B1157" s="470" t="s">
        <v>484</v>
      </c>
      <c r="C1157" s="475" t="s">
        <v>1349</v>
      </c>
      <c r="D1157" s="490" t="s">
        <v>1056</v>
      </c>
      <c r="E1157" s="470">
        <v>1</v>
      </c>
      <c r="F1157" s="470"/>
      <c r="G1157" s="491"/>
      <c r="H1157" s="491"/>
      <c r="I1157" s="487"/>
      <c r="J1157" s="468">
        <v>57994.64</v>
      </c>
      <c r="K1157" s="473">
        <f>J1157*E1157</f>
        <v>57994.64</v>
      </c>
    </row>
    <row r="1158" spans="1:11" ht="56.25">
      <c r="A1158" s="469">
        <v>57</v>
      </c>
      <c r="B1158" s="468" t="s">
        <v>1334</v>
      </c>
      <c r="C1158" s="495" t="s">
        <v>1351</v>
      </c>
      <c r="D1158" s="490" t="s">
        <v>7</v>
      </c>
      <c r="E1158" s="470">
        <v>1100</v>
      </c>
      <c r="F1158" s="470"/>
      <c r="G1158" s="491"/>
      <c r="H1158" s="491"/>
      <c r="I1158" s="468"/>
      <c r="J1158" s="468">
        <v>8.26</v>
      </c>
      <c r="K1158" s="493">
        <f>(J1158*E1158)+(J1158*I1158)</f>
        <v>9086</v>
      </c>
    </row>
    <row r="1159" spans="1:11" ht="37.5">
      <c r="A1159" s="469">
        <v>58</v>
      </c>
      <c r="B1159" s="474" t="s">
        <v>1315</v>
      </c>
      <c r="C1159" s="475" t="s">
        <v>1352</v>
      </c>
      <c r="D1159" s="490" t="s">
        <v>40</v>
      </c>
      <c r="E1159" s="470">
        <v>15</v>
      </c>
      <c r="F1159" s="470"/>
      <c r="G1159" s="491"/>
      <c r="H1159" s="491"/>
      <c r="I1159" s="468"/>
      <c r="J1159" s="468">
        <v>66</v>
      </c>
      <c r="K1159" s="493">
        <f>(J1159*E1159)+(J1159*I1159)</f>
        <v>990</v>
      </c>
    </row>
    <row r="1160" spans="1:11" ht="47.25">
      <c r="A1160" s="469">
        <v>70</v>
      </c>
      <c r="B1160" s="470" t="s">
        <v>1353</v>
      </c>
      <c r="C1160" s="501" t="s">
        <v>1354</v>
      </c>
      <c r="D1160" s="490" t="s">
        <v>1056</v>
      </c>
      <c r="E1160" s="465">
        <v>1</v>
      </c>
      <c r="F1160" s="470"/>
      <c r="G1160" s="491"/>
      <c r="H1160" s="491"/>
      <c r="I1160" s="465"/>
      <c r="J1160" s="492">
        <v>170937.16</v>
      </c>
      <c r="K1160" s="493">
        <f t="shared" ref="K1160:K1205" si="57">(J1160*E1160)+(J1160*I1160)</f>
        <v>170937.16</v>
      </c>
    </row>
    <row r="1161" spans="1:11" ht="63">
      <c r="A1161" s="464">
        <v>71</v>
      </c>
      <c r="B1161" s="470" t="s">
        <v>1355</v>
      </c>
      <c r="C1161" s="501" t="s">
        <v>1356</v>
      </c>
      <c r="D1161" s="490" t="s">
        <v>1056</v>
      </c>
      <c r="E1161" s="465">
        <v>2</v>
      </c>
      <c r="F1161" s="470"/>
      <c r="G1161" s="491"/>
      <c r="H1161" s="491"/>
      <c r="I1161" s="465"/>
      <c r="J1161" s="492">
        <v>198441.78</v>
      </c>
      <c r="K1161" s="493">
        <f t="shared" si="57"/>
        <v>396883.56</v>
      </c>
    </row>
    <row r="1162" spans="1:11" ht="28.5">
      <c r="A1162" s="469">
        <v>73</v>
      </c>
      <c r="B1162" s="470" t="s">
        <v>1357</v>
      </c>
      <c r="C1162" s="502" t="s">
        <v>1358</v>
      </c>
      <c r="D1162" s="490" t="s">
        <v>40</v>
      </c>
      <c r="E1162" s="465">
        <v>12</v>
      </c>
      <c r="F1162" s="470"/>
      <c r="G1162" s="491"/>
      <c r="H1162" s="491"/>
      <c r="I1162" s="465"/>
      <c r="J1162" s="492">
        <v>1840.8</v>
      </c>
      <c r="K1162" s="493">
        <f t="shared" si="57"/>
        <v>22089.599999999999</v>
      </c>
    </row>
    <row r="1163" spans="1:11" ht="47.25">
      <c r="A1163" s="469">
        <v>74</v>
      </c>
      <c r="B1163" s="470" t="s">
        <v>417</v>
      </c>
      <c r="C1163" s="503" t="s">
        <v>1359</v>
      </c>
      <c r="D1163" s="490" t="s">
        <v>40</v>
      </c>
      <c r="E1163" s="465">
        <v>8</v>
      </c>
      <c r="F1163" s="470"/>
      <c r="G1163" s="491"/>
      <c r="H1163" s="491"/>
      <c r="I1163" s="465"/>
      <c r="J1163" s="492">
        <v>2749.8</v>
      </c>
      <c r="K1163" s="493">
        <f t="shared" si="57"/>
        <v>21998.400000000001</v>
      </c>
    </row>
    <row r="1164" spans="1:11" ht="47.25">
      <c r="A1164" s="478">
        <v>75</v>
      </c>
      <c r="B1164" s="470" t="s">
        <v>363</v>
      </c>
      <c r="C1164" s="504" t="s">
        <v>1360</v>
      </c>
      <c r="D1164" s="490" t="s">
        <v>1361</v>
      </c>
      <c r="E1164" s="465">
        <v>100</v>
      </c>
      <c r="F1164" s="470"/>
      <c r="G1164" s="491"/>
      <c r="H1164" s="491"/>
      <c r="I1164" s="465"/>
      <c r="J1164" s="492">
        <v>279.89999999999998</v>
      </c>
      <c r="K1164" s="493">
        <f t="shared" si="57"/>
        <v>27989.999999999996</v>
      </c>
    </row>
    <row r="1165" spans="1:11" ht="63">
      <c r="A1165" s="469">
        <v>77</v>
      </c>
      <c r="B1165" s="470" t="s">
        <v>1362</v>
      </c>
      <c r="C1165" s="505" t="s">
        <v>1363</v>
      </c>
      <c r="D1165" s="465" t="s">
        <v>1364</v>
      </c>
      <c r="E1165" s="465">
        <v>2</v>
      </c>
      <c r="F1165" s="470"/>
      <c r="G1165" s="491"/>
      <c r="H1165" s="491"/>
      <c r="I1165" s="465"/>
      <c r="J1165" s="492">
        <v>17486.273000000001</v>
      </c>
      <c r="K1165" s="493">
        <f t="shared" si="57"/>
        <v>34972.546000000002</v>
      </c>
    </row>
    <row r="1166" spans="1:11" ht="47.25">
      <c r="A1166" s="469">
        <v>78</v>
      </c>
      <c r="B1166" s="470" t="s">
        <v>1365</v>
      </c>
      <c r="C1166" s="506" t="s">
        <v>1366</v>
      </c>
      <c r="D1166" s="490" t="s">
        <v>1056</v>
      </c>
      <c r="E1166" s="465">
        <v>15</v>
      </c>
      <c r="F1166" s="470"/>
      <c r="G1166" s="491"/>
      <c r="H1166" s="491"/>
      <c r="I1166" s="465"/>
      <c r="J1166" s="492">
        <v>567.58000000000004</v>
      </c>
      <c r="K1166" s="493">
        <f t="shared" si="57"/>
        <v>8513.7000000000007</v>
      </c>
    </row>
    <row r="1167" spans="1:11" ht="63">
      <c r="A1167" s="469">
        <v>81</v>
      </c>
      <c r="B1167" s="470" t="s">
        <v>1367</v>
      </c>
      <c r="C1167" s="507" t="s">
        <v>1368</v>
      </c>
      <c r="D1167" s="465" t="s">
        <v>40</v>
      </c>
      <c r="E1167" s="465">
        <v>2</v>
      </c>
      <c r="F1167" s="470"/>
      <c r="G1167" s="491"/>
      <c r="H1167" s="491"/>
      <c r="I1167" s="465"/>
      <c r="J1167" s="492">
        <v>20388.7</v>
      </c>
      <c r="K1167" s="493">
        <f t="shared" si="57"/>
        <v>40777.4</v>
      </c>
    </row>
    <row r="1168" spans="1:11" ht="63">
      <c r="A1168" s="464">
        <v>82</v>
      </c>
      <c r="B1168" s="470" t="s">
        <v>1369</v>
      </c>
      <c r="C1168" s="507" t="s">
        <v>1370</v>
      </c>
      <c r="D1168" s="465" t="s">
        <v>40</v>
      </c>
      <c r="E1168" s="465">
        <v>2</v>
      </c>
      <c r="F1168" s="470"/>
      <c r="G1168" s="491"/>
      <c r="H1168" s="491"/>
      <c r="I1168" s="465"/>
      <c r="J1168" s="492">
        <v>20388.7</v>
      </c>
      <c r="K1168" s="493">
        <f t="shared" si="57"/>
        <v>40777.4</v>
      </c>
    </row>
    <row r="1169" spans="1:11" ht="31.5">
      <c r="A1169" s="469">
        <v>83</v>
      </c>
      <c r="B1169" s="470" t="s">
        <v>1371</v>
      </c>
      <c r="C1169" s="507" t="s">
        <v>1372</v>
      </c>
      <c r="D1169" s="465" t="s">
        <v>40</v>
      </c>
      <c r="E1169" s="465">
        <v>3</v>
      </c>
      <c r="F1169" s="470"/>
      <c r="G1169" s="491"/>
      <c r="H1169" s="491"/>
      <c r="I1169" s="465"/>
      <c r="J1169" s="492">
        <v>6844.94</v>
      </c>
      <c r="K1169" s="493">
        <f t="shared" si="57"/>
        <v>20534.82</v>
      </c>
    </row>
    <row r="1170" spans="1:11" ht="47.25">
      <c r="A1170" s="469">
        <v>84</v>
      </c>
      <c r="B1170" s="470" t="s">
        <v>475</v>
      </c>
      <c r="C1170" s="507" t="s">
        <v>1373</v>
      </c>
      <c r="D1170" s="465" t="s">
        <v>40</v>
      </c>
      <c r="E1170" s="465">
        <v>1</v>
      </c>
      <c r="F1170" s="470"/>
      <c r="G1170" s="491"/>
      <c r="H1170" s="491"/>
      <c r="I1170" s="465"/>
      <c r="J1170" s="492">
        <v>4887.62</v>
      </c>
      <c r="K1170" s="493">
        <f t="shared" si="57"/>
        <v>4887.62</v>
      </c>
    </row>
    <row r="1171" spans="1:11" ht="63">
      <c r="A1171" s="469">
        <v>93</v>
      </c>
      <c r="B1171" s="470" t="s">
        <v>421</v>
      </c>
      <c r="C1171" s="508" t="s">
        <v>1374</v>
      </c>
      <c r="D1171" s="465" t="s">
        <v>1056</v>
      </c>
      <c r="E1171" s="465">
        <v>2</v>
      </c>
      <c r="F1171" s="470"/>
      <c r="G1171" s="491"/>
      <c r="H1171" s="491"/>
      <c r="I1171" s="465"/>
      <c r="J1171" s="492">
        <v>58705</v>
      </c>
      <c r="K1171" s="493">
        <f t="shared" si="57"/>
        <v>117410</v>
      </c>
    </row>
    <row r="1172" spans="1:11" ht="47.25">
      <c r="A1172" s="469">
        <v>94</v>
      </c>
      <c r="B1172" s="470" t="s">
        <v>1375</v>
      </c>
      <c r="C1172" s="508" t="s">
        <v>1376</v>
      </c>
      <c r="D1172" s="465" t="s">
        <v>365</v>
      </c>
      <c r="E1172" s="465">
        <v>1</v>
      </c>
      <c r="F1172" s="470"/>
      <c r="G1172" s="491"/>
      <c r="H1172" s="491"/>
      <c r="I1172" s="465"/>
      <c r="J1172" s="492">
        <v>143552.9</v>
      </c>
      <c r="K1172" s="493">
        <f t="shared" si="57"/>
        <v>143552.9</v>
      </c>
    </row>
    <row r="1173" spans="1:11" ht="47.25">
      <c r="A1173" s="469">
        <v>95</v>
      </c>
      <c r="B1173" s="470" t="s">
        <v>1377</v>
      </c>
      <c r="C1173" s="508" t="s">
        <v>1378</v>
      </c>
      <c r="D1173" s="465" t="s">
        <v>365</v>
      </c>
      <c r="E1173" s="465">
        <v>1</v>
      </c>
      <c r="F1173" s="470"/>
      <c r="G1173" s="491"/>
      <c r="H1173" s="491"/>
      <c r="I1173" s="465"/>
      <c r="J1173" s="492">
        <v>230182.5</v>
      </c>
      <c r="K1173" s="493">
        <f t="shared" si="57"/>
        <v>230182.5</v>
      </c>
    </row>
    <row r="1174" spans="1:11" ht="47.25">
      <c r="A1174" s="469">
        <v>96</v>
      </c>
      <c r="B1174" s="470" t="s">
        <v>1379</v>
      </c>
      <c r="C1174" s="508" t="s">
        <v>1380</v>
      </c>
      <c r="D1174" s="465" t="s">
        <v>365</v>
      </c>
      <c r="E1174" s="492">
        <v>0.5</v>
      </c>
      <c r="F1174" s="470"/>
      <c r="G1174" s="491"/>
      <c r="H1174" s="491"/>
      <c r="I1174" s="465"/>
      <c r="J1174" s="492">
        <v>322995.5</v>
      </c>
      <c r="K1174" s="493">
        <f t="shared" si="57"/>
        <v>161497.75</v>
      </c>
    </row>
    <row r="1175" spans="1:11" ht="47.25">
      <c r="A1175" s="469">
        <v>97</v>
      </c>
      <c r="B1175" s="470" t="s">
        <v>378</v>
      </c>
      <c r="C1175" s="508" t="s">
        <v>1381</v>
      </c>
      <c r="D1175" s="465" t="s">
        <v>365</v>
      </c>
      <c r="E1175" s="492">
        <v>0.53</v>
      </c>
      <c r="F1175" s="470"/>
      <c r="G1175" s="491"/>
      <c r="H1175" s="491"/>
      <c r="I1175" s="465"/>
      <c r="J1175" s="492">
        <v>494726.8</v>
      </c>
      <c r="K1175" s="493">
        <f t="shared" si="57"/>
        <v>262205.20400000003</v>
      </c>
    </row>
    <row r="1176" spans="1:11" ht="47.25">
      <c r="A1176" s="469">
        <v>98</v>
      </c>
      <c r="B1176" s="470" t="s">
        <v>1382</v>
      </c>
      <c r="C1176" s="507" t="s">
        <v>1383</v>
      </c>
      <c r="D1176" s="465" t="s">
        <v>1056</v>
      </c>
      <c r="E1176" s="509">
        <v>3</v>
      </c>
      <c r="F1176" s="470"/>
      <c r="G1176" s="491"/>
      <c r="H1176" s="491"/>
      <c r="I1176" s="465"/>
      <c r="J1176" s="509">
        <v>7000</v>
      </c>
      <c r="K1176" s="493">
        <f t="shared" si="57"/>
        <v>21000</v>
      </c>
    </row>
    <row r="1177" spans="1:11" ht="47.25">
      <c r="A1177" s="469">
        <v>99</v>
      </c>
      <c r="B1177" s="470" t="s">
        <v>480</v>
      </c>
      <c r="C1177" s="507" t="s">
        <v>1384</v>
      </c>
      <c r="D1177" s="465" t="s">
        <v>1056</v>
      </c>
      <c r="E1177" s="509"/>
      <c r="F1177" s="470"/>
      <c r="G1177" s="491"/>
      <c r="H1177" s="491"/>
      <c r="I1177" s="465">
        <v>1</v>
      </c>
      <c r="J1177" s="509">
        <v>2500</v>
      </c>
      <c r="K1177" s="493">
        <f t="shared" si="57"/>
        <v>2500</v>
      </c>
    </row>
    <row r="1178" spans="1:11" ht="31.5">
      <c r="A1178" s="469">
        <v>100</v>
      </c>
      <c r="B1178" s="470" t="s">
        <v>1385</v>
      </c>
      <c r="C1178" s="507" t="s">
        <v>1386</v>
      </c>
      <c r="D1178" s="465" t="s">
        <v>1056</v>
      </c>
      <c r="E1178" s="509"/>
      <c r="F1178" s="470"/>
      <c r="G1178" s="491"/>
      <c r="H1178" s="491"/>
      <c r="I1178" s="465">
        <v>1</v>
      </c>
      <c r="J1178" s="509">
        <v>1500</v>
      </c>
      <c r="K1178" s="493">
        <f t="shared" si="57"/>
        <v>1500</v>
      </c>
    </row>
    <row r="1179" spans="1:11" ht="47.25">
      <c r="A1179" s="469">
        <v>101</v>
      </c>
      <c r="B1179" s="470" t="s">
        <v>1387</v>
      </c>
      <c r="C1179" s="506" t="s">
        <v>1388</v>
      </c>
      <c r="D1179" s="465" t="s">
        <v>1056</v>
      </c>
      <c r="E1179" s="509">
        <v>1</v>
      </c>
      <c r="F1179" s="470"/>
      <c r="G1179" s="491"/>
      <c r="H1179" s="491"/>
      <c r="I1179" s="465"/>
      <c r="J1179" s="492">
        <v>2849.7</v>
      </c>
      <c r="K1179" s="493">
        <f t="shared" si="57"/>
        <v>2849.7</v>
      </c>
    </row>
    <row r="1180" spans="1:11" ht="47.25">
      <c r="A1180" s="469">
        <v>102</v>
      </c>
      <c r="B1180" s="470" t="s">
        <v>417</v>
      </c>
      <c r="C1180" s="506" t="s">
        <v>1389</v>
      </c>
      <c r="D1180" s="465" t="s">
        <v>1056</v>
      </c>
      <c r="E1180" s="509">
        <v>3</v>
      </c>
      <c r="F1180" s="470"/>
      <c r="G1180" s="491"/>
      <c r="H1180" s="491"/>
      <c r="I1180" s="465"/>
      <c r="J1180" s="492">
        <v>2855.6</v>
      </c>
      <c r="K1180" s="493">
        <f t="shared" si="57"/>
        <v>8566.7999999999993</v>
      </c>
    </row>
    <row r="1181" spans="1:11" ht="28.5">
      <c r="A1181" s="469">
        <v>103</v>
      </c>
      <c r="B1181" s="470" t="s">
        <v>1390</v>
      </c>
      <c r="C1181" s="507" t="s">
        <v>1391</v>
      </c>
      <c r="D1181" s="465" t="s">
        <v>7</v>
      </c>
      <c r="E1181" s="465"/>
      <c r="F1181" s="470"/>
      <c r="G1181" s="491"/>
      <c r="H1181" s="491"/>
      <c r="I1181" s="465">
        <v>15</v>
      </c>
      <c r="J1181" s="509">
        <v>350</v>
      </c>
      <c r="K1181" s="493">
        <f t="shared" si="57"/>
        <v>5250</v>
      </c>
    </row>
    <row r="1182" spans="1:11" ht="28.5">
      <c r="A1182" s="469">
        <v>104</v>
      </c>
      <c r="B1182" s="470" t="s">
        <v>1392</v>
      </c>
      <c r="C1182" s="507" t="s">
        <v>1393</v>
      </c>
      <c r="D1182" s="465" t="s">
        <v>7</v>
      </c>
      <c r="E1182" s="465"/>
      <c r="F1182" s="470"/>
      <c r="G1182" s="491"/>
      <c r="H1182" s="491"/>
      <c r="I1182" s="465">
        <v>10</v>
      </c>
      <c r="J1182" s="509">
        <v>200</v>
      </c>
      <c r="K1182" s="493">
        <f t="shared" si="57"/>
        <v>2000</v>
      </c>
    </row>
    <row r="1183" spans="1:11" ht="31.5">
      <c r="A1183" s="469">
        <v>105</v>
      </c>
      <c r="B1183" s="510" t="s">
        <v>1394</v>
      </c>
      <c r="C1183" s="507" t="s">
        <v>1395</v>
      </c>
      <c r="D1183" s="465" t="s">
        <v>1056</v>
      </c>
      <c r="E1183" s="465"/>
      <c r="F1183" s="470"/>
      <c r="G1183" s="491"/>
      <c r="H1183" s="491"/>
      <c r="I1183" s="465">
        <v>7</v>
      </c>
      <c r="J1183" s="509">
        <v>200</v>
      </c>
      <c r="K1183" s="493">
        <f t="shared" si="57"/>
        <v>1400</v>
      </c>
    </row>
    <row r="1184" spans="1:11" ht="31.5">
      <c r="A1184" s="469">
        <v>106</v>
      </c>
      <c r="B1184" s="470" t="s">
        <v>1396</v>
      </c>
      <c r="C1184" s="503" t="s">
        <v>1397</v>
      </c>
      <c r="D1184" s="465" t="s">
        <v>1056</v>
      </c>
      <c r="E1184" s="465"/>
      <c r="F1184" s="470"/>
      <c r="G1184" s="491"/>
      <c r="H1184" s="491"/>
      <c r="I1184" s="465">
        <v>15</v>
      </c>
      <c r="J1184" s="509">
        <v>50</v>
      </c>
      <c r="K1184" s="493">
        <f t="shared" si="57"/>
        <v>750</v>
      </c>
    </row>
    <row r="1185" spans="1:11" ht="47.25">
      <c r="A1185" s="469">
        <v>107</v>
      </c>
      <c r="B1185" s="465" t="s">
        <v>472</v>
      </c>
      <c r="C1185" s="505" t="s">
        <v>1398</v>
      </c>
      <c r="D1185" s="465" t="s">
        <v>1056</v>
      </c>
      <c r="E1185" s="465"/>
      <c r="F1185" s="470"/>
      <c r="G1185" s="491"/>
      <c r="H1185" s="491"/>
      <c r="I1185" s="465">
        <v>3</v>
      </c>
      <c r="J1185" s="509">
        <v>5000</v>
      </c>
      <c r="K1185" s="493">
        <f t="shared" si="57"/>
        <v>15000</v>
      </c>
    </row>
    <row r="1186" spans="1:11" ht="94.5">
      <c r="A1186" s="469">
        <v>108</v>
      </c>
      <c r="B1186" s="468" t="s">
        <v>1327</v>
      </c>
      <c r="C1186" s="511" t="s">
        <v>1399</v>
      </c>
      <c r="D1186" s="465" t="s">
        <v>1056</v>
      </c>
      <c r="E1186" s="465">
        <v>3</v>
      </c>
      <c r="F1186" s="470"/>
      <c r="G1186" s="491"/>
      <c r="H1186" s="491"/>
      <c r="I1186" s="465"/>
      <c r="J1186" s="492">
        <v>92021.36</v>
      </c>
      <c r="K1186" s="493">
        <f t="shared" si="57"/>
        <v>276064.08</v>
      </c>
    </row>
    <row r="1187" spans="1:11" ht="141.75">
      <c r="A1187" s="469">
        <v>113</v>
      </c>
      <c r="B1187" s="512" t="s">
        <v>1400</v>
      </c>
      <c r="C1187" s="501" t="s">
        <v>1401</v>
      </c>
      <c r="D1187" s="465" t="s">
        <v>1056</v>
      </c>
      <c r="E1187" s="465">
        <v>1</v>
      </c>
      <c r="F1187" s="470"/>
      <c r="G1187" s="491"/>
      <c r="H1187" s="491"/>
      <c r="I1187" s="465"/>
      <c r="J1187" s="492">
        <v>315100.79999999999</v>
      </c>
      <c r="K1187" s="493">
        <f t="shared" si="57"/>
        <v>315100.79999999999</v>
      </c>
    </row>
    <row r="1188" spans="1:11" ht="31.5">
      <c r="A1188" s="469">
        <v>115</v>
      </c>
      <c r="B1188" s="470" t="s">
        <v>1353</v>
      </c>
      <c r="C1188" s="504" t="s">
        <v>1402</v>
      </c>
      <c r="D1188" s="465" t="s">
        <v>1056</v>
      </c>
      <c r="E1188" s="465"/>
      <c r="F1188" s="470"/>
      <c r="G1188" s="491"/>
      <c r="H1188" s="491"/>
      <c r="I1188" s="465">
        <v>1</v>
      </c>
      <c r="J1188" s="509">
        <v>3000</v>
      </c>
      <c r="K1188" s="493">
        <f t="shared" si="57"/>
        <v>3000</v>
      </c>
    </row>
    <row r="1189" spans="1:11" ht="47.25">
      <c r="A1189" s="469">
        <v>116</v>
      </c>
      <c r="B1189" s="470" t="s">
        <v>1403</v>
      </c>
      <c r="C1189" s="369" t="s">
        <v>1404</v>
      </c>
      <c r="D1189" s="465" t="s">
        <v>1056</v>
      </c>
      <c r="E1189" s="465">
        <v>5</v>
      </c>
      <c r="F1189" s="470"/>
      <c r="G1189" s="491"/>
      <c r="H1189" s="491"/>
      <c r="I1189" s="465"/>
      <c r="J1189" s="509">
        <v>23541</v>
      </c>
      <c r="K1189" s="493">
        <f t="shared" si="57"/>
        <v>117705</v>
      </c>
    </row>
    <row r="1190" spans="1:11" ht="31.5">
      <c r="A1190" s="469">
        <v>117</v>
      </c>
      <c r="B1190" s="470" t="s">
        <v>1405</v>
      </c>
      <c r="C1190" s="513" t="s">
        <v>1406</v>
      </c>
      <c r="D1190" s="465"/>
      <c r="E1190" s="465">
        <v>10</v>
      </c>
      <c r="F1190" s="470"/>
      <c r="G1190" s="491"/>
      <c r="H1190" s="491"/>
      <c r="I1190" s="465"/>
      <c r="J1190" s="492">
        <v>2846.16</v>
      </c>
      <c r="K1190" s="493">
        <f t="shared" si="57"/>
        <v>28461.599999999999</v>
      </c>
    </row>
    <row r="1191" spans="1:11" ht="31.5">
      <c r="A1191" s="469">
        <v>118</v>
      </c>
      <c r="B1191" s="470" t="s">
        <v>381</v>
      </c>
      <c r="C1191" s="513" t="s">
        <v>1407</v>
      </c>
      <c r="D1191" s="465"/>
      <c r="E1191" s="465">
        <v>10</v>
      </c>
      <c r="F1191" s="470"/>
      <c r="G1191" s="491"/>
      <c r="H1191" s="491"/>
      <c r="I1191" s="465"/>
      <c r="J1191" s="492">
        <v>2947.64</v>
      </c>
      <c r="K1191" s="493">
        <f t="shared" si="57"/>
        <v>29476.399999999998</v>
      </c>
    </row>
    <row r="1192" spans="1:11" ht="47.25">
      <c r="A1192" s="469">
        <v>119</v>
      </c>
      <c r="B1192" s="470" t="s">
        <v>1387</v>
      </c>
      <c r="C1192" s="500" t="s">
        <v>1408</v>
      </c>
      <c r="D1192" s="465"/>
      <c r="E1192" s="465">
        <v>8</v>
      </c>
      <c r="F1192" s="470"/>
      <c r="G1192" s="491"/>
      <c r="H1192" s="491"/>
      <c r="I1192" s="465"/>
      <c r="J1192" s="492">
        <v>2637.3</v>
      </c>
      <c r="K1192" s="493">
        <f t="shared" si="57"/>
        <v>21098.400000000001</v>
      </c>
    </row>
    <row r="1193" spans="1:11" ht="63">
      <c r="A1193" s="469">
        <v>120</v>
      </c>
      <c r="B1193" s="470" t="s">
        <v>1409</v>
      </c>
      <c r="C1193" s="500" t="s">
        <v>1410</v>
      </c>
      <c r="D1193" s="465"/>
      <c r="E1193" s="465">
        <v>8</v>
      </c>
      <c r="F1193" s="470"/>
      <c r="G1193" s="491"/>
      <c r="H1193" s="491"/>
      <c r="I1193" s="465"/>
      <c r="J1193" s="492">
        <v>2715.18</v>
      </c>
      <c r="K1193" s="493">
        <f t="shared" si="57"/>
        <v>21721.439999999999</v>
      </c>
    </row>
    <row r="1194" spans="1:11" ht="31.5">
      <c r="A1194" s="469">
        <v>121</v>
      </c>
      <c r="B1194" s="470" t="s">
        <v>1405</v>
      </c>
      <c r="C1194" s="513" t="s">
        <v>1411</v>
      </c>
      <c r="D1194" s="465"/>
      <c r="E1194" s="465">
        <v>8</v>
      </c>
      <c r="F1194" s="470"/>
      <c r="G1194" s="491"/>
      <c r="H1194" s="491"/>
      <c r="I1194" s="465"/>
      <c r="J1194" s="492">
        <v>2566.5</v>
      </c>
      <c r="K1194" s="493">
        <f t="shared" si="57"/>
        <v>20532</v>
      </c>
    </row>
    <row r="1195" spans="1:11" ht="31.5">
      <c r="A1195" s="469">
        <v>122</v>
      </c>
      <c r="B1195" s="470" t="s">
        <v>1387</v>
      </c>
      <c r="C1195" s="513" t="s">
        <v>1412</v>
      </c>
      <c r="D1195" s="465"/>
      <c r="E1195" s="465">
        <v>6</v>
      </c>
      <c r="F1195" s="470"/>
      <c r="G1195" s="491"/>
      <c r="H1195" s="491"/>
      <c r="I1195" s="465"/>
      <c r="J1195" s="492">
        <v>2849.7</v>
      </c>
      <c r="K1195" s="493">
        <f t="shared" si="57"/>
        <v>17098.199999999997</v>
      </c>
    </row>
    <row r="1196" spans="1:11" ht="31.5">
      <c r="A1196" s="469">
        <v>123</v>
      </c>
      <c r="B1196" s="470" t="s">
        <v>1387</v>
      </c>
      <c r="C1196" s="513" t="s">
        <v>1413</v>
      </c>
      <c r="D1196" s="465"/>
      <c r="E1196" s="465">
        <v>8</v>
      </c>
      <c r="F1196" s="470"/>
      <c r="G1196" s="491"/>
      <c r="H1196" s="491"/>
      <c r="I1196" s="465"/>
      <c r="J1196" s="465">
        <v>2537</v>
      </c>
      <c r="K1196" s="493">
        <f t="shared" si="57"/>
        <v>20296</v>
      </c>
    </row>
    <row r="1197" spans="1:11" ht="47.25">
      <c r="A1197" s="469">
        <v>124</v>
      </c>
      <c r="B1197" s="470" t="s">
        <v>1409</v>
      </c>
      <c r="C1197" s="500" t="s">
        <v>1414</v>
      </c>
      <c r="D1197" s="465"/>
      <c r="E1197" s="465">
        <v>8</v>
      </c>
      <c r="F1197" s="470"/>
      <c r="G1197" s="491"/>
      <c r="H1197" s="491"/>
      <c r="I1197" s="465"/>
      <c r="J1197" s="492">
        <v>2433.16</v>
      </c>
      <c r="K1197" s="493">
        <f t="shared" si="57"/>
        <v>19465.28</v>
      </c>
    </row>
    <row r="1198" spans="1:11" ht="47.25">
      <c r="A1198" s="469">
        <v>127</v>
      </c>
      <c r="B1198" s="470" t="s">
        <v>1415</v>
      </c>
      <c r="C1198" s="501" t="s">
        <v>1416</v>
      </c>
      <c r="D1198" s="465"/>
      <c r="E1198" s="465">
        <v>100</v>
      </c>
      <c r="F1198" s="465"/>
      <c r="G1198" s="465"/>
      <c r="H1198" s="465"/>
      <c r="I1198" s="465"/>
      <c r="J1198" s="492">
        <v>1917.5</v>
      </c>
      <c r="K1198" s="493">
        <f t="shared" si="57"/>
        <v>191750</v>
      </c>
    </row>
    <row r="1199" spans="1:11" ht="31.5">
      <c r="A1199" s="469">
        <v>128</v>
      </c>
      <c r="B1199" s="470" t="s">
        <v>1417</v>
      </c>
      <c r="C1199" s="504" t="s">
        <v>1418</v>
      </c>
      <c r="D1199" s="465"/>
      <c r="E1199" s="465">
        <v>6</v>
      </c>
      <c r="F1199" s="465"/>
      <c r="G1199" s="465"/>
      <c r="H1199" s="465"/>
      <c r="I1199" s="465"/>
      <c r="J1199" s="492">
        <v>8821.68</v>
      </c>
      <c r="K1199" s="493">
        <f t="shared" si="57"/>
        <v>52930.080000000002</v>
      </c>
    </row>
    <row r="1200" spans="1:11" ht="31.5">
      <c r="A1200" s="469">
        <v>129</v>
      </c>
      <c r="B1200" s="470" t="s">
        <v>1419</v>
      </c>
      <c r="C1200" s="504" t="s">
        <v>1420</v>
      </c>
      <c r="D1200" s="465"/>
      <c r="E1200" s="465">
        <v>6</v>
      </c>
      <c r="F1200" s="465"/>
      <c r="G1200" s="465"/>
      <c r="H1200" s="465"/>
      <c r="I1200" s="465"/>
      <c r="J1200" s="492">
        <v>8821.68</v>
      </c>
      <c r="K1200" s="493">
        <f t="shared" si="57"/>
        <v>52930.080000000002</v>
      </c>
    </row>
    <row r="1201" spans="1:15" ht="31.5">
      <c r="A1201" s="469">
        <v>130</v>
      </c>
      <c r="B1201" s="470" t="s">
        <v>1421</v>
      </c>
      <c r="C1201" s="504" t="s">
        <v>1422</v>
      </c>
      <c r="D1201" s="465"/>
      <c r="E1201" s="465">
        <v>4</v>
      </c>
      <c r="F1201" s="465"/>
      <c r="G1201" s="465"/>
      <c r="H1201" s="465"/>
      <c r="I1201" s="465"/>
      <c r="J1201" s="492">
        <v>8991.6</v>
      </c>
      <c r="K1201" s="493">
        <f t="shared" si="57"/>
        <v>35966.400000000001</v>
      </c>
    </row>
    <row r="1202" spans="1:15" ht="31.5">
      <c r="A1202" s="469">
        <v>131</v>
      </c>
      <c r="B1202" s="470" t="s">
        <v>1423</v>
      </c>
      <c r="C1202" s="504" t="s">
        <v>1424</v>
      </c>
      <c r="D1202" s="465"/>
      <c r="E1202" s="465">
        <v>5</v>
      </c>
      <c r="F1202" s="465"/>
      <c r="G1202" s="465"/>
      <c r="H1202" s="465"/>
      <c r="I1202" s="465"/>
      <c r="J1202" s="492">
        <v>8991.6</v>
      </c>
      <c r="K1202" s="493">
        <f t="shared" si="57"/>
        <v>44958</v>
      </c>
    </row>
    <row r="1203" spans="1:15" ht="31.5">
      <c r="A1203" s="469">
        <v>132</v>
      </c>
      <c r="B1203" s="514" t="s">
        <v>1425</v>
      </c>
      <c r="C1203" s="504" t="s">
        <v>1426</v>
      </c>
      <c r="D1203" s="465"/>
      <c r="E1203" s="465">
        <v>5</v>
      </c>
      <c r="F1203" s="465"/>
      <c r="G1203" s="465"/>
      <c r="H1203" s="465"/>
      <c r="I1203" s="465"/>
      <c r="J1203" s="492">
        <v>9121.4</v>
      </c>
      <c r="K1203" s="493">
        <f t="shared" si="57"/>
        <v>45607</v>
      </c>
    </row>
    <row r="1204" spans="1:15" ht="28.5">
      <c r="A1204" s="469">
        <v>133</v>
      </c>
      <c r="B1204" s="470" t="s">
        <v>698</v>
      </c>
      <c r="C1204" s="506" t="s">
        <v>1139</v>
      </c>
      <c r="D1204" s="515" t="s">
        <v>7</v>
      </c>
      <c r="E1204" s="465">
        <v>15</v>
      </c>
      <c r="F1204" s="470"/>
      <c r="G1204" s="491"/>
      <c r="H1204" s="491"/>
      <c r="I1204" s="465"/>
      <c r="J1204" s="492">
        <v>5888.2</v>
      </c>
      <c r="K1204" s="493">
        <f t="shared" si="57"/>
        <v>88323</v>
      </c>
    </row>
    <row r="1205" spans="1:15" ht="18.75">
      <c r="A1205" s="469">
        <v>134</v>
      </c>
      <c r="B1205" s="516" t="s">
        <v>1427</v>
      </c>
      <c r="C1205" s="517" t="s">
        <v>1428</v>
      </c>
      <c r="D1205" s="515" t="s">
        <v>7</v>
      </c>
      <c r="E1205" s="465">
        <v>75</v>
      </c>
      <c r="F1205" s="465"/>
      <c r="G1205" s="465"/>
      <c r="H1205" s="465"/>
      <c r="I1205" s="465"/>
      <c r="J1205" s="492">
        <v>291.45999999999998</v>
      </c>
      <c r="K1205" s="493">
        <f t="shared" si="57"/>
        <v>21859.5</v>
      </c>
    </row>
    <row r="1206" spans="1:15" ht="18.75">
      <c r="A1206" s="470"/>
      <c r="B1206" s="468"/>
      <c r="C1206" s="475"/>
      <c r="D1206" s="470"/>
      <c r="E1206" s="518"/>
      <c r="F1206" s="480"/>
      <c r="G1206" s="480"/>
      <c r="H1206" s="480"/>
      <c r="I1206" s="480"/>
      <c r="J1206" s="468" t="s">
        <v>80</v>
      </c>
      <c r="K1206" s="519">
        <f>SUM(K1124:K1205)</f>
        <v>5235048.700000002</v>
      </c>
    </row>
    <row r="1207" spans="1:15" ht="28.5">
      <c r="A1207" s="520"/>
      <c r="B1207" s="521"/>
      <c r="C1207" s="522"/>
      <c r="D1207" s="520"/>
      <c r="E1207" s="523"/>
      <c r="F1207" s="524"/>
      <c r="G1207" s="524"/>
      <c r="H1207" s="524"/>
      <c r="I1207" s="524"/>
      <c r="J1207" s="525"/>
      <c r="K1207" s="526"/>
    </row>
    <row r="1210" spans="1:15" ht="15.75">
      <c r="A1210" s="1324" t="s">
        <v>1429</v>
      </c>
      <c r="B1210" s="1324"/>
      <c r="C1210" s="1324"/>
      <c r="D1210" s="1324"/>
      <c r="E1210" s="1324"/>
      <c r="F1210" s="1324"/>
      <c r="G1210" s="1324"/>
      <c r="H1210" s="1324"/>
      <c r="I1210" s="1324"/>
      <c r="J1210" s="1324"/>
      <c r="K1210" s="1324"/>
      <c r="L1210" s="1324"/>
      <c r="M1210" s="1324"/>
      <c r="N1210" s="1324"/>
      <c r="O1210" s="1324"/>
    </row>
    <row r="1211" spans="1:15" ht="15.75">
      <c r="A1211" s="1325" t="s">
        <v>1430</v>
      </c>
      <c r="B1211" s="1325"/>
      <c r="C1211" s="531" t="s">
        <v>1431</v>
      </c>
      <c r="D1211" s="1326" t="s">
        <v>1432</v>
      </c>
      <c r="E1211" s="1326"/>
      <c r="F1211" s="1326"/>
      <c r="G1211" s="1326"/>
      <c r="H1211" s="1326"/>
      <c r="I1211" s="1326"/>
      <c r="J1211" s="1326"/>
      <c r="K1211" s="1326"/>
      <c r="L1211" s="1326"/>
      <c r="M1211" s="1326"/>
      <c r="N1211" s="1326"/>
      <c r="O1211" s="1326"/>
    </row>
    <row r="1212" spans="1:15" ht="15.75">
      <c r="A1212" s="1325" t="s">
        <v>1433</v>
      </c>
      <c r="B1212" s="1325"/>
      <c r="C1212" s="531" t="s">
        <v>1434</v>
      </c>
      <c r="D1212" s="1326"/>
      <c r="E1212" s="1326"/>
      <c r="F1212" s="1326"/>
      <c r="G1212" s="1326"/>
      <c r="H1212" s="1326"/>
      <c r="I1212" s="1326"/>
      <c r="J1212" s="1326"/>
      <c r="K1212" s="1326"/>
      <c r="L1212" s="1326"/>
      <c r="M1212" s="1326"/>
      <c r="N1212" s="1326"/>
      <c r="O1212" s="1326"/>
    </row>
    <row r="1213" spans="1:15" ht="15.75">
      <c r="A1213" s="1327" t="s">
        <v>1302</v>
      </c>
      <c r="B1213" s="1327" t="s">
        <v>1435</v>
      </c>
      <c r="C1213" s="1328" t="s">
        <v>1436</v>
      </c>
      <c r="D1213" s="1329" t="s">
        <v>1437</v>
      </c>
      <c r="E1213" s="1330" t="s">
        <v>113</v>
      </c>
      <c r="F1213" s="1325" t="s">
        <v>114</v>
      </c>
      <c r="G1213" s="1325"/>
      <c r="H1213" s="1325" t="s">
        <v>115</v>
      </c>
      <c r="I1213" s="1325"/>
      <c r="J1213" s="1325" t="s">
        <v>116</v>
      </c>
      <c r="K1213" s="1325"/>
      <c r="L1213" s="1325" t="s">
        <v>1</v>
      </c>
      <c r="M1213" s="1325"/>
      <c r="N1213" s="1325" t="s">
        <v>0</v>
      </c>
      <c r="O1213" s="1325"/>
    </row>
    <row r="1214" spans="1:15" ht="47.25">
      <c r="A1214" s="1327"/>
      <c r="B1214" s="1327"/>
      <c r="C1214" s="1328"/>
      <c r="D1214" s="1329"/>
      <c r="E1214" s="1331"/>
      <c r="F1214" s="532" t="s">
        <v>118</v>
      </c>
      <c r="G1214" s="533" t="s">
        <v>119</v>
      </c>
      <c r="H1214" s="532" t="s">
        <v>118</v>
      </c>
      <c r="I1214" s="532" t="s">
        <v>119</v>
      </c>
      <c r="J1214" s="532" t="s">
        <v>118</v>
      </c>
      <c r="K1214" s="532" t="s">
        <v>119</v>
      </c>
      <c r="L1214" s="532" t="s">
        <v>118</v>
      </c>
      <c r="M1214" s="532" t="s">
        <v>119</v>
      </c>
      <c r="N1214" s="532" t="s">
        <v>118</v>
      </c>
      <c r="O1214" s="532" t="s">
        <v>119</v>
      </c>
    </row>
    <row r="1215" spans="1:15" ht="15.75">
      <c r="A1215" s="534"/>
      <c r="B1215" s="535"/>
      <c r="C1215" s="536" t="s">
        <v>1438</v>
      </c>
      <c r="D1215" s="537"/>
      <c r="E1215" s="538"/>
      <c r="F1215" s="539"/>
      <c r="G1215" s="538"/>
      <c r="H1215" s="539"/>
      <c r="I1215" s="538"/>
      <c r="J1215" s="539"/>
      <c r="K1215" s="539"/>
      <c r="L1215" s="539"/>
      <c r="M1215" s="539"/>
      <c r="N1215" s="539"/>
      <c r="O1215" s="539"/>
    </row>
    <row r="1216" spans="1:15" ht="31.5">
      <c r="A1216" s="296">
        <v>1</v>
      </c>
      <c r="B1216" s="540" t="s">
        <v>1439</v>
      </c>
      <c r="C1216" s="541" t="s">
        <v>1440</v>
      </c>
      <c r="D1216" s="542" t="s">
        <v>324</v>
      </c>
      <c r="E1216" s="543">
        <v>50</v>
      </c>
      <c r="F1216" s="544" t="s">
        <v>1441</v>
      </c>
      <c r="G1216" s="543">
        <f>F1216*E1216</f>
        <v>38250</v>
      </c>
      <c r="H1216" s="543">
        <v>0</v>
      </c>
      <c r="I1216" s="543">
        <f>H1216*E1216</f>
        <v>0</v>
      </c>
      <c r="J1216" s="543">
        <v>0</v>
      </c>
      <c r="K1216" s="543">
        <f>E1216*J1216</f>
        <v>0</v>
      </c>
      <c r="L1216" s="543">
        <v>0</v>
      </c>
      <c r="M1216" s="543">
        <f>E1216*L1216</f>
        <v>0</v>
      </c>
      <c r="N1216" s="543">
        <v>0</v>
      </c>
      <c r="O1216" s="543">
        <f>N1216*E1216</f>
        <v>0</v>
      </c>
    </row>
    <row r="1217" spans="1:15" ht="31.5">
      <c r="A1217" s="296">
        <v>2</v>
      </c>
      <c r="B1217" s="540" t="s">
        <v>687</v>
      </c>
      <c r="C1217" s="541" t="s">
        <v>1442</v>
      </c>
      <c r="D1217" s="542" t="s">
        <v>324</v>
      </c>
      <c r="E1217" s="543">
        <v>50</v>
      </c>
      <c r="F1217" s="545">
        <v>543</v>
      </c>
      <c r="G1217" s="543">
        <f t="shared" ref="G1217:G1281" si="58">F1217*E1217</f>
        <v>27150</v>
      </c>
      <c r="H1217" s="543">
        <v>0</v>
      </c>
      <c r="I1217" s="543">
        <f t="shared" ref="I1217:I1281" si="59">H1217*E1217</f>
        <v>0</v>
      </c>
      <c r="J1217" s="543">
        <v>0</v>
      </c>
      <c r="K1217" s="543">
        <f t="shared" ref="K1217:K1281" si="60">E1217*J1217</f>
        <v>0</v>
      </c>
      <c r="L1217" s="543">
        <v>0</v>
      </c>
      <c r="M1217" s="543">
        <f t="shared" ref="M1217:M1281" si="61">E1217*L1217</f>
        <v>0</v>
      </c>
      <c r="N1217" s="543">
        <v>0</v>
      </c>
      <c r="O1217" s="543">
        <f t="shared" ref="O1217:O1281" si="62">N1217*E1217</f>
        <v>0</v>
      </c>
    </row>
    <row r="1218" spans="1:15" ht="15.75">
      <c r="A1218" s="296">
        <v>3</v>
      </c>
      <c r="B1218" s="540" t="s">
        <v>1310</v>
      </c>
      <c r="C1218" s="541" t="s">
        <v>1443</v>
      </c>
      <c r="D1218" s="542" t="s">
        <v>324</v>
      </c>
      <c r="E1218" s="543">
        <v>50</v>
      </c>
      <c r="F1218" s="544">
        <v>875</v>
      </c>
      <c r="G1218" s="543">
        <f t="shared" si="58"/>
        <v>43750</v>
      </c>
      <c r="H1218" s="543">
        <v>0</v>
      </c>
      <c r="I1218" s="543">
        <f t="shared" si="59"/>
        <v>0</v>
      </c>
      <c r="J1218" s="543">
        <v>0</v>
      </c>
      <c r="K1218" s="543">
        <f t="shared" si="60"/>
        <v>0</v>
      </c>
      <c r="L1218" s="543">
        <v>0</v>
      </c>
      <c r="M1218" s="543">
        <f t="shared" si="61"/>
        <v>0</v>
      </c>
      <c r="N1218" s="543">
        <v>0</v>
      </c>
      <c r="O1218" s="543">
        <f t="shared" si="62"/>
        <v>0</v>
      </c>
    </row>
    <row r="1219" spans="1:15" ht="31.5">
      <c r="A1219" s="296">
        <v>4</v>
      </c>
      <c r="B1219" s="540"/>
      <c r="C1219" s="541" t="s">
        <v>1444</v>
      </c>
      <c r="D1219" s="542" t="s">
        <v>324</v>
      </c>
      <c r="E1219" s="543">
        <v>28.35</v>
      </c>
      <c r="F1219" s="545">
        <v>13</v>
      </c>
      <c r="G1219" s="543">
        <f t="shared" si="58"/>
        <v>368.55</v>
      </c>
      <c r="H1219" s="543">
        <v>0</v>
      </c>
      <c r="I1219" s="543">
        <f t="shared" si="59"/>
        <v>0</v>
      </c>
      <c r="J1219" s="543">
        <v>0</v>
      </c>
      <c r="K1219" s="543">
        <f t="shared" si="60"/>
        <v>0</v>
      </c>
      <c r="L1219" s="543">
        <v>0</v>
      </c>
      <c r="M1219" s="543">
        <f t="shared" si="61"/>
        <v>0</v>
      </c>
      <c r="N1219" s="543">
        <v>0</v>
      </c>
      <c r="O1219" s="543">
        <f t="shared" si="62"/>
        <v>0</v>
      </c>
    </row>
    <row r="1220" spans="1:15" ht="15.75">
      <c r="A1220" s="296"/>
      <c r="B1220" s="540"/>
      <c r="C1220" s="546" t="s">
        <v>1445</v>
      </c>
      <c r="D1220" s="542"/>
      <c r="E1220" s="543"/>
      <c r="F1220" s="544"/>
      <c r="G1220" s="543">
        <f t="shared" si="58"/>
        <v>0</v>
      </c>
      <c r="H1220" s="543"/>
      <c r="I1220" s="543">
        <f t="shared" si="59"/>
        <v>0</v>
      </c>
      <c r="J1220" s="543"/>
      <c r="K1220" s="543">
        <f t="shared" si="60"/>
        <v>0</v>
      </c>
      <c r="L1220" s="543"/>
      <c r="M1220" s="543">
        <f t="shared" si="61"/>
        <v>0</v>
      </c>
      <c r="N1220" s="543"/>
      <c r="O1220" s="543">
        <f t="shared" si="62"/>
        <v>0</v>
      </c>
    </row>
    <row r="1221" spans="1:15" ht="47.25">
      <c r="A1221" s="296">
        <v>5</v>
      </c>
      <c r="B1221" s="540" t="s">
        <v>1446</v>
      </c>
      <c r="C1221" s="547" t="s">
        <v>1447</v>
      </c>
      <c r="D1221" s="542" t="s">
        <v>40</v>
      </c>
      <c r="E1221" s="543">
        <v>5436.65</v>
      </c>
      <c r="F1221" s="544" t="s">
        <v>1448</v>
      </c>
      <c r="G1221" s="543">
        <f t="shared" si="58"/>
        <v>16309.949999999999</v>
      </c>
      <c r="H1221" s="543">
        <v>0</v>
      </c>
      <c r="I1221" s="543">
        <f t="shared" si="59"/>
        <v>0</v>
      </c>
      <c r="J1221" s="543">
        <v>0</v>
      </c>
      <c r="K1221" s="543">
        <f t="shared" si="60"/>
        <v>0</v>
      </c>
      <c r="L1221" s="543">
        <v>0</v>
      </c>
      <c r="M1221" s="543">
        <f t="shared" si="61"/>
        <v>0</v>
      </c>
      <c r="N1221" s="543">
        <v>0</v>
      </c>
      <c r="O1221" s="543">
        <f t="shared" si="62"/>
        <v>0</v>
      </c>
    </row>
    <row r="1222" spans="1:15" ht="47.25">
      <c r="A1222" s="296">
        <v>6</v>
      </c>
      <c r="B1222" s="540" t="s">
        <v>1449</v>
      </c>
      <c r="C1222" s="547" t="s">
        <v>1450</v>
      </c>
      <c r="D1222" s="542" t="s">
        <v>40</v>
      </c>
      <c r="E1222" s="543">
        <v>4982.6499999999996</v>
      </c>
      <c r="F1222" s="544">
        <v>2</v>
      </c>
      <c r="G1222" s="543">
        <f t="shared" si="58"/>
        <v>9965.2999999999993</v>
      </c>
      <c r="H1222" s="543">
        <v>0</v>
      </c>
      <c r="I1222" s="543">
        <f t="shared" si="59"/>
        <v>0</v>
      </c>
      <c r="J1222" s="543">
        <v>0</v>
      </c>
      <c r="K1222" s="543">
        <f t="shared" si="60"/>
        <v>0</v>
      </c>
      <c r="L1222" s="543">
        <v>0</v>
      </c>
      <c r="M1222" s="543">
        <f t="shared" si="61"/>
        <v>0</v>
      </c>
      <c r="N1222" s="543">
        <v>0</v>
      </c>
      <c r="O1222" s="543">
        <f t="shared" si="62"/>
        <v>0</v>
      </c>
    </row>
    <row r="1223" spans="1:15" ht="47.25">
      <c r="A1223" s="296">
        <v>7</v>
      </c>
      <c r="B1223" s="540" t="s">
        <v>1451</v>
      </c>
      <c r="C1223" s="547" t="s">
        <v>1452</v>
      </c>
      <c r="D1223" s="542" t="s">
        <v>40</v>
      </c>
      <c r="E1223" s="543">
        <v>4994</v>
      </c>
      <c r="F1223" s="544">
        <v>1</v>
      </c>
      <c r="G1223" s="543">
        <f t="shared" si="58"/>
        <v>4994</v>
      </c>
      <c r="H1223" s="543">
        <v>0</v>
      </c>
      <c r="I1223" s="543">
        <f t="shared" si="59"/>
        <v>0</v>
      </c>
      <c r="J1223" s="543">
        <v>0</v>
      </c>
      <c r="K1223" s="543">
        <f t="shared" si="60"/>
        <v>0</v>
      </c>
      <c r="L1223" s="543">
        <v>0</v>
      </c>
      <c r="M1223" s="543">
        <f t="shared" si="61"/>
        <v>0</v>
      </c>
      <c r="N1223" s="543">
        <v>0</v>
      </c>
      <c r="O1223" s="543">
        <f t="shared" si="62"/>
        <v>0</v>
      </c>
    </row>
    <row r="1224" spans="1:15" ht="47.25">
      <c r="A1224" s="296">
        <v>8</v>
      </c>
      <c r="B1224" s="540" t="s">
        <v>1453</v>
      </c>
      <c r="C1224" s="547" t="s">
        <v>1454</v>
      </c>
      <c r="D1224" s="542" t="s">
        <v>40</v>
      </c>
      <c r="E1224" s="543">
        <v>5096.1499999999996</v>
      </c>
      <c r="F1224" s="544">
        <v>1</v>
      </c>
      <c r="G1224" s="543">
        <f t="shared" si="58"/>
        <v>5096.1499999999996</v>
      </c>
      <c r="H1224" s="543">
        <v>0</v>
      </c>
      <c r="I1224" s="543">
        <f t="shared" si="59"/>
        <v>0</v>
      </c>
      <c r="J1224" s="543">
        <v>0</v>
      </c>
      <c r="K1224" s="543">
        <f t="shared" si="60"/>
        <v>0</v>
      </c>
      <c r="L1224" s="543">
        <v>0</v>
      </c>
      <c r="M1224" s="543">
        <f t="shared" si="61"/>
        <v>0</v>
      </c>
      <c r="N1224" s="543">
        <v>0</v>
      </c>
      <c r="O1224" s="543">
        <f t="shared" si="62"/>
        <v>0</v>
      </c>
    </row>
    <row r="1225" spans="1:15" ht="47.25">
      <c r="A1225" s="296">
        <v>9</v>
      </c>
      <c r="B1225" s="540"/>
      <c r="C1225" s="547" t="s">
        <v>1455</v>
      </c>
      <c r="D1225" s="542" t="s">
        <v>40</v>
      </c>
      <c r="E1225" s="543">
        <v>5096.1499999999996</v>
      </c>
      <c r="F1225" s="544">
        <v>2</v>
      </c>
      <c r="G1225" s="543">
        <f t="shared" si="58"/>
        <v>10192.299999999999</v>
      </c>
      <c r="H1225" s="543">
        <v>0</v>
      </c>
      <c r="I1225" s="543">
        <f t="shared" si="59"/>
        <v>0</v>
      </c>
      <c r="J1225" s="543">
        <v>0</v>
      </c>
      <c r="K1225" s="543">
        <f t="shared" si="60"/>
        <v>0</v>
      </c>
      <c r="L1225" s="543">
        <v>0</v>
      </c>
      <c r="M1225" s="543">
        <f t="shared" si="61"/>
        <v>0</v>
      </c>
      <c r="N1225" s="543">
        <v>0</v>
      </c>
      <c r="O1225" s="543">
        <f t="shared" si="62"/>
        <v>0</v>
      </c>
    </row>
    <row r="1226" spans="1:15" ht="47.25">
      <c r="A1226" s="296">
        <v>10</v>
      </c>
      <c r="B1226" s="540" t="s">
        <v>1456</v>
      </c>
      <c r="C1226" s="547" t="s">
        <v>1457</v>
      </c>
      <c r="D1226" s="542" t="s">
        <v>40</v>
      </c>
      <c r="E1226" s="543">
        <v>5096.1499999999996</v>
      </c>
      <c r="F1226" s="544">
        <v>2</v>
      </c>
      <c r="G1226" s="543">
        <f t="shared" si="58"/>
        <v>10192.299999999999</v>
      </c>
      <c r="H1226" s="543">
        <v>0</v>
      </c>
      <c r="I1226" s="543">
        <f t="shared" si="59"/>
        <v>0</v>
      </c>
      <c r="J1226" s="543">
        <v>0</v>
      </c>
      <c r="K1226" s="543">
        <f t="shared" si="60"/>
        <v>0</v>
      </c>
      <c r="L1226" s="543">
        <v>0</v>
      </c>
      <c r="M1226" s="543">
        <f t="shared" si="61"/>
        <v>0</v>
      </c>
      <c r="N1226" s="543">
        <v>0</v>
      </c>
      <c r="O1226" s="543">
        <f t="shared" si="62"/>
        <v>0</v>
      </c>
    </row>
    <row r="1227" spans="1:15" ht="47.25">
      <c r="A1227" s="296">
        <v>11</v>
      </c>
      <c r="B1227" s="540" t="s">
        <v>1458</v>
      </c>
      <c r="C1227" s="547" t="s">
        <v>1459</v>
      </c>
      <c r="D1227" s="542" t="s">
        <v>40</v>
      </c>
      <c r="E1227" s="543">
        <v>5050.75</v>
      </c>
      <c r="F1227" s="544">
        <v>2</v>
      </c>
      <c r="G1227" s="543">
        <f t="shared" si="58"/>
        <v>10101.5</v>
      </c>
      <c r="H1227" s="543">
        <v>0</v>
      </c>
      <c r="I1227" s="543">
        <f t="shared" si="59"/>
        <v>0</v>
      </c>
      <c r="J1227" s="543">
        <v>0</v>
      </c>
      <c r="K1227" s="543">
        <f t="shared" si="60"/>
        <v>0</v>
      </c>
      <c r="L1227" s="543">
        <v>0</v>
      </c>
      <c r="M1227" s="543">
        <f t="shared" si="61"/>
        <v>0</v>
      </c>
      <c r="N1227" s="543">
        <v>0</v>
      </c>
      <c r="O1227" s="543">
        <f t="shared" si="62"/>
        <v>0</v>
      </c>
    </row>
    <row r="1228" spans="1:15" ht="63">
      <c r="A1228" s="296">
        <v>12</v>
      </c>
      <c r="B1228" s="540" t="s">
        <v>1460</v>
      </c>
      <c r="C1228" s="547" t="s">
        <v>1461</v>
      </c>
      <c r="D1228" s="542" t="s">
        <v>40</v>
      </c>
      <c r="E1228" s="543">
        <v>5652.3</v>
      </c>
      <c r="F1228" s="544">
        <v>1</v>
      </c>
      <c r="G1228" s="543">
        <f t="shared" si="58"/>
        <v>5652.3</v>
      </c>
      <c r="H1228" s="543">
        <v>0</v>
      </c>
      <c r="I1228" s="543">
        <f t="shared" si="59"/>
        <v>0</v>
      </c>
      <c r="J1228" s="543">
        <v>0</v>
      </c>
      <c r="K1228" s="543">
        <f t="shared" si="60"/>
        <v>0</v>
      </c>
      <c r="L1228" s="543">
        <v>0</v>
      </c>
      <c r="M1228" s="543">
        <f t="shared" si="61"/>
        <v>0</v>
      </c>
      <c r="N1228" s="543">
        <v>0</v>
      </c>
      <c r="O1228" s="543">
        <f t="shared" si="62"/>
        <v>0</v>
      </c>
    </row>
    <row r="1229" spans="1:15" ht="63">
      <c r="A1229" s="296">
        <v>13</v>
      </c>
      <c r="B1229" s="540" t="s">
        <v>1460</v>
      </c>
      <c r="C1229" s="547" t="s">
        <v>1462</v>
      </c>
      <c r="D1229" s="542" t="s">
        <v>40</v>
      </c>
      <c r="E1229" s="543">
        <v>10</v>
      </c>
      <c r="F1229" s="544">
        <v>0</v>
      </c>
      <c r="G1229" s="543">
        <f t="shared" si="58"/>
        <v>0</v>
      </c>
      <c r="H1229" s="543">
        <v>0</v>
      </c>
      <c r="I1229" s="543">
        <f t="shared" si="59"/>
        <v>0</v>
      </c>
      <c r="J1229" s="543">
        <v>0</v>
      </c>
      <c r="K1229" s="543">
        <f t="shared" si="60"/>
        <v>0</v>
      </c>
      <c r="L1229" s="543">
        <v>0</v>
      </c>
      <c r="M1229" s="543">
        <f t="shared" si="61"/>
        <v>0</v>
      </c>
      <c r="N1229" s="543">
        <v>1</v>
      </c>
      <c r="O1229" s="543">
        <f t="shared" si="62"/>
        <v>10</v>
      </c>
    </row>
    <row r="1230" spans="1:15" ht="63">
      <c r="A1230" s="296">
        <v>14</v>
      </c>
      <c r="B1230" s="540" t="s">
        <v>1463</v>
      </c>
      <c r="C1230" s="548" t="s">
        <v>1464</v>
      </c>
      <c r="D1230" s="542" t="s">
        <v>40</v>
      </c>
      <c r="E1230" s="543">
        <v>5652.3</v>
      </c>
      <c r="F1230" s="544" t="s">
        <v>1465</v>
      </c>
      <c r="G1230" s="543">
        <f t="shared" si="58"/>
        <v>5652.3</v>
      </c>
      <c r="H1230" s="543">
        <v>0</v>
      </c>
      <c r="I1230" s="543">
        <f t="shared" si="59"/>
        <v>0</v>
      </c>
      <c r="J1230" s="543">
        <v>0</v>
      </c>
      <c r="K1230" s="543">
        <f t="shared" si="60"/>
        <v>0</v>
      </c>
      <c r="L1230" s="543">
        <v>0</v>
      </c>
      <c r="M1230" s="543">
        <f t="shared" si="61"/>
        <v>0</v>
      </c>
      <c r="N1230" s="543">
        <v>0</v>
      </c>
      <c r="O1230" s="543">
        <f t="shared" si="62"/>
        <v>0</v>
      </c>
    </row>
    <row r="1231" spans="1:15" ht="47.25">
      <c r="A1231" s="296">
        <v>15</v>
      </c>
      <c r="B1231" s="540"/>
      <c r="C1231" s="547" t="s">
        <v>1466</v>
      </c>
      <c r="D1231" s="542" t="s">
        <v>40</v>
      </c>
      <c r="E1231" s="543">
        <v>3915.75</v>
      </c>
      <c r="F1231" s="544">
        <v>2</v>
      </c>
      <c r="G1231" s="543">
        <f t="shared" si="58"/>
        <v>7831.5</v>
      </c>
      <c r="H1231" s="543">
        <v>0</v>
      </c>
      <c r="I1231" s="543">
        <f t="shared" si="59"/>
        <v>0</v>
      </c>
      <c r="J1231" s="543">
        <v>0</v>
      </c>
      <c r="K1231" s="543">
        <f t="shared" si="60"/>
        <v>0</v>
      </c>
      <c r="L1231" s="543">
        <v>0</v>
      </c>
      <c r="M1231" s="543">
        <f t="shared" si="61"/>
        <v>0</v>
      </c>
      <c r="N1231" s="543">
        <v>0</v>
      </c>
      <c r="O1231" s="543">
        <f t="shared" si="62"/>
        <v>0</v>
      </c>
    </row>
    <row r="1232" spans="1:15" ht="63">
      <c r="A1232" s="296">
        <v>16</v>
      </c>
      <c r="B1232" s="540" t="s">
        <v>1453</v>
      </c>
      <c r="C1232" s="541" t="s">
        <v>1467</v>
      </c>
      <c r="D1232" s="542" t="s">
        <v>40</v>
      </c>
      <c r="E1232" s="543">
        <v>4483</v>
      </c>
      <c r="F1232" s="544">
        <v>3</v>
      </c>
      <c r="G1232" s="543">
        <f t="shared" si="58"/>
        <v>13449</v>
      </c>
      <c r="H1232" s="543">
        <v>0</v>
      </c>
      <c r="I1232" s="543">
        <f t="shared" si="59"/>
        <v>0</v>
      </c>
      <c r="J1232" s="543">
        <v>0</v>
      </c>
      <c r="K1232" s="543">
        <f t="shared" si="60"/>
        <v>0</v>
      </c>
      <c r="L1232" s="543">
        <v>0</v>
      </c>
      <c r="M1232" s="543">
        <f t="shared" si="61"/>
        <v>0</v>
      </c>
      <c r="N1232" s="543">
        <v>0</v>
      </c>
      <c r="O1232" s="543">
        <f t="shared" si="62"/>
        <v>0</v>
      </c>
    </row>
    <row r="1233" spans="1:15" ht="31.5">
      <c r="A1233" s="535"/>
      <c r="B1233" s="535"/>
      <c r="C1233" s="549" t="s">
        <v>1468</v>
      </c>
      <c r="D1233" s="53"/>
      <c r="E1233" s="53"/>
      <c r="F1233" s="53"/>
      <c r="G1233" s="543">
        <f t="shared" si="58"/>
        <v>0</v>
      </c>
      <c r="H1233" s="53"/>
      <c r="I1233" s="543">
        <f t="shared" si="59"/>
        <v>0</v>
      </c>
      <c r="J1233" s="53"/>
      <c r="K1233" s="543">
        <f t="shared" si="60"/>
        <v>0</v>
      </c>
      <c r="L1233" s="53"/>
      <c r="M1233" s="543">
        <f t="shared" si="61"/>
        <v>0</v>
      </c>
      <c r="N1233" s="53"/>
      <c r="O1233" s="543">
        <f t="shared" si="62"/>
        <v>0</v>
      </c>
    </row>
    <row r="1234" spans="1:15" ht="15.75">
      <c r="A1234" s="296">
        <v>17</v>
      </c>
      <c r="B1234" s="540" t="s">
        <v>1469</v>
      </c>
      <c r="C1234" s="541" t="s">
        <v>1470</v>
      </c>
      <c r="D1234" s="542" t="s">
        <v>40</v>
      </c>
      <c r="E1234" s="543">
        <v>1500</v>
      </c>
      <c r="F1234" s="544">
        <v>2</v>
      </c>
      <c r="G1234" s="543">
        <f t="shared" si="58"/>
        <v>3000</v>
      </c>
      <c r="H1234" s="543">
        <v>0</v>
      </c>
      <c r="I1234" s="543">
        <f t="shared" si="59"/>
        <v>0</v>
      </c>
      <c r="J1234" s="543">
        <v>0</v>
      </c>
      <c r="K1234" s="543">
        <f t="shared" si="60"/>
        <v>0</v>
      </c>
      <c r="L1234" s="543">
        <v>0</v>
      </c>
      <c r="M1234" s="543">
        <f t="shared" si="61"/>
        <v>0</v>
      </c>
      <c r="N1234" s="543">
        <v>0</v>
      </c>
      <c r="O1234" s="543">
        <f t="shared" si="62"/>
        <v>0</v>
      </c>
    </row>
    <row r="1235" spans="1:15" ht="15.75">
      <c r="A1235" s="296">
        <v>18</v>
      </c>
      <c r="B1235" s="540" t="s">
        <v>1471</v>
      </c>
      <c r="C1235" s="541" t="s">
        <v>1472</v>
      </c>
      <c r="D1235" s="542" t="s">
        <v>40</v>
      </c>
      <c r="E1235" s="543">
        <v>3700</v>
      </c>
      <c r="F1235" s="544">
        <v>3</v>
      </c>
      <c r="G1235" s="543">
        <f t="shared" si="58"/>
        <v>11100</v>
      </c>
      <c r="H1235" s="543">
        <v>0</v>
      </c>
      <c r="I1235" s="543">
        <f t="shared" si="59"/>
        <v>0</v>
      </c>
      <c r="J1235" s="543">
        <v>0</v>
      </c>
      <c r="K1235" s="543">
        <f t="shared" si="60"/>
        <v>0</v>
      </c>
      <c r="L1235" s="543">
        <v>0</v>
      </c>
      <c r="M1235" s="543">
        <f t="shared" si="61"/>
        <v>0</v>
      </c>
      <c r="N1235" s="543">
        <v>0</v>
      </c>
      <c r="O1235" s="543">
        <f t="shared" si="62"/>
        <v>0</v>
      </c>
    </row>
    <row r="1236" spans="1:15" ht="31.5">
      <c r="A1236" s="296">
        <v>19</v>
      </c>
      <c r="B1236" s="540"/>
      <c r="C1236" s="541" t="s">
        <v>1473</v>
      </c>
      <c r="D1236" s="542" t="s">
        <v>40</v>
      </c>
      <c r="E1236" s="543">
        <v>1850</v>
      </c>
      <c r="F1236" s="544">
        <v>10</v>
      </c>
      <c r="G1236" s="543">
        <f t="shared" si="58"/>
        <v>18500</v>
      </c>
      <c r="H1236" s="543">
        <v>0</v>
      </c>
      <c r="I1236" s="543">
        <f t="shared" si="59"/>
        <v>0</v>
      </c>
      <c r="J1236" s="543">
        <v>0</v>
      </c>
      <c r="K1236" s="543">
        <f t="shared" si="60"/>
        <v>0</v>
      </c>
      <c r="L1236" s="543">
        <v>0</v>
      </c>
      <c r="M1236" s="543">
        <f t="shared" si="61"/>
        <v>0</v>
      </c>
      <c r="N1236" s="543">
        <v>0</v>
      </c>
      <c r="O1236" s="543">
        <f t="shared" si="62"/>
        <v>0</v>
      </c>
    </row>
    <row r="1237" spans="1:15" ht="63">
      <c r="A1237" s="296">
        <v>20</v>
      </c>
      <c r="B1237" s="540"/>
      <c r="C1237" s="550" t="s">
        <v>1474</v>
      </c>
      <c r="D1237" s="551" t="s">
        <v>40</v>
      </c>
      <c r="E1237" s="543">
        <v>1248</v>
      </c>
      <c r="F1237" s="544" t="s">
        <v>1475</v>
      </c>
      <c r="G1237" s="543">
        <f t="shared" si="58"/>
        <v>6240</v>
      </c>
      <c r="H1237" s="543">
        <v>0</v>
      </c>
      <c r="I1237" s="543">
        <f t="shared" si="59"/>
        <v>0</v>
      </c>
      <c r="J1237" s="543">
        <v>0</v>
      </c>
      <c r="K1237" s="543">
        <f t="shared" si="60"/>
        <v>0</v>
      </c>
      <c r="L1237" s="543">
        <v>0</v>
      </c>
      <c r="M1237" s="543">
        <f t="shared" si="61"/>
        <v>0</v>
      </c>
      <c r="N1237" s="543">
        <v>0</v>
      </c>
      <c r="O1237" s="543">
        <f t="shared" si="62"/>
        <v>0</v>
      </c>
    </row>
    <row r="1238" spans="1:15" ht="15.75">
      <c r="A1238" s="296">
        <v>21</v>
      </c>
      <c r="B1238" s="540" t="s">
        <v>1476</v>
      </c>
      <c r="C1238" s="541" t="s">
        <v>1477</v>
      </c>
      <c r="D1238" s="542" t="s">
        <v>40</v>
      </c>
      <c r="E1238" s="543">
        <v>854</v>
      </c>
      <c r="F1238" s="544" t="s">
        <v>1478</v>
      </c>
      <c r="G1238" s="543">
        <f t="shared" si="58"/>
        <v>11956</v>
      </c>
      <c r="H1238" s="543">
        <v>0</v>
      </c>
      <c r="I1238" s="543">
        <f t="shared" si="59"/>
        <v>0</v>
      </c>
      <c r="J1238" s="543">
        <v>0</v>
      </c>
      <c r="K1238" s="543">
        <f t="shared" si="60"/>
        <v>0</v>
      </c>
      <c r="L1238" s="543">
        <v>0</v>
      </c>
      <c r="M1238" s="543">
        <f t="shared" si="61"/>
        <v>0</v>
      </c>
      <c r="N1238" s="543">
        <v>0</v>
      </c>
      <c r="O1238" s="543">
        <f t="shared" si="62"/>
        <v>0</v>
      </c>
    </row>
    <row r="1239" spans="1:15" ht="15.75">
      <c r="A1239" s="296">
        <v>22</v>
      </c>
      <c r="B1239" s="540" t="s">
        <v>417</v>
      </c>
      <c r="C1239" s="541" t="s">
        <v>1479</v>
      </c>
      <c r="D1239" s="542" t="s">
        <v>40</v>
      </c>
      <c r="E1239" s="543">
        <v>1019.23</v>
      </c>
      <c r="F1239" s="544" t="s">
        <v>1480</v>
      </c>
      <c r="G1239" s="543">
        <f t="shared" si="58"/>
        <v>13249.99</v>
      </c>
      <c r="H1239" s="543">
        <v>0</v>
      </c>
      <c r="I1239" s="543">
        <f t="shared" si="59"/>
        <v>0</v>
      </c>
      <c r="J1239" s="543">
        <v>0</v>
      </c>
      <c r="K1239" s="543">
        <f t="shared" si="60"/>
        <v>0</v>
      </c>
      <c r="L1239" s="543">
        <v>0</v>
      </c>
      <c r="M1239" s="543">
        <f t="shared" si="61"/>
        <v>0</v>
      </c>
      <c r="N1239" s="543">
        <v>0</v>
      </c>
      <c r="O1239" s="543">
        <f t="shared" si="62"/>
        <v>0</v>
      </c>
    </row>
    <row r="1240" spans="1:15" ht="47.25">
      <c r="A1240" s="296">
        <v>23</v>
      </c>
      <c r="B1240" s="540" t="s">
        <v>417</v>
      </c>
      <c r="C1240" s="541" t="s">
        <v>1481</v>
      </c>
      <c r="D1240" s="542" t="s">
        <v>40</v>
      </c>
      <c r="E1240" s="543">
        <v>3229.07</v>
      </c>
      <c r="F1240" s="544">
        <v>16</v>
      </c>
      <c r="G1240" s="543">
        <f t="shared" si="58"/>
        <v>51665.120000000003</v>
      </c>
      <c r="H1240" s="543">
        <v>0</v>
      </c>
      <c r="I1240" s="543">
        <f t="shared" si="59"/>
        <v>0</v>
      </c>
      <c r="J1240" s="543">
        <v>0</v>
      </c>
      <c r="K1240" s="543">
        <f t="shared" si="60"/>
        <v>0</v>
      </c>
      <c r="L1240" s="543">
        <v>0</v>
      </c>
      <c r="M1240" s="543">
        <f t="shared" si="61"/>
        <v>0</v>
      </c>
      <c r="N1240" s="543">
        <v>0</v>
      </c>
      <c r="O1240" s="543">
        <f t="shared" si="62"/>
        <v>0</v>
      </c>
    </row>
    <row r="1241" spans="1:15" ht="47.25">
      <c r="A1241" s="296">
        <v>24</v>
      </c>
      <c r="B1241" s="540"/>
      <c r="C1241" s="552" t="s">
        <v>1482</v>
      </c>
      <c r="D1241" s="553" t="s">
        <v>40</v>
      </c>
      <c r="E1241" s="543">
        <v>3961.15</v>
      </c>
      <c r="F1241" s="544" t="s">
        <v>1483</v>
      </c>
      <c r="G1241" s="543">
        <f t="shared" si="58"/>
        <v>39611.5</v>
      </c>
      <c r="H1241" s="543">
        <v>0</v>
      </c>
      <c r="I1241" s="543">
        <f t="shared" si="59"/>
        <v>0</v>
      </c>
      <c r="J1241" s="543">
        <v>0</v>
      </c>
      <c r="K1241" s="543">
        <f t="shared" si="60"/>
        <v>0</v>
      </c>
      <c r="L1241" s="543">
        <v>0</v>
      </c>
      <c r="M1241" s="543">
        <f t="shared" si="61"/>
        <v>0</v>
      </c>
      <c r="N1241" s="543">
        <v>0</v>
      </c>
      <c r="O1241" s="543">
        <f t="shared" si="62"/>
        <v>0</v>
      </c>
    </row>
    <row r="1242" spans="1:15" ht="63">
      <c r="A1242" s="296">
        <v>25</v>
      </c>
      <c r="B1242" s="540"/>
      <c r="C1242" s="550" t="s">
        <v>1484</v>
      </c>
      <c r="D1242" s="542" t="s">
        <v>40</v>
      </c>
      <c r="E1242" s="543">
        <v>1129.33</v>
      </c>
      <c r="F1242" s="544" t="s">
        <v>1485</v>
      </c>
      <c r="G1242" s="543">
        <f t="shared" si="58"/>
        <v>6775.98</v>
      </c>
      <c r="H1242" s="543">
        <v>0</v>
      </c>
      <c r="I1242" s="543">
        <f t="shared" si="59"/>
        <v>0</v>
      </c>
      <c r="J1242" s="543">
        <v>0</v>
      </c>
      <c r="K1242" s="543">
        <f t="shared" si="60"/>
        <v>0</v>
      </c>
      <c r="L1242" s="543">
        <v>0</v>
      </c>
      <c r="M1242" s="543">
        <f t="shared" si="61"/>
        <v>0</v>
      </c>
      <c r="N1242" s="543">
        <v>0</v>
      </c>
      <c r="O1242" s="543">
        <f t="shared" si="62"/>
        <v>0</v>
      </c>
    </row>
    <row r="1243" spans="1:15" ht="31.5">
      <c r="A1243" s="296">
        <v>26</v>
      </c>
      <c r="B1243" s="540"/>
      <c r="C1243" s="554" t="s">
        <v>1486</v>
      </c>
      <c r="D1243" s="542"/>
      <c r="E1243" s="543">
        <v>1462</v>
      </c>
      <c r="F1243" s="545">
        <v>13</v>
      </c>
      <c r="G1243" s="543">
        <f t="shared" si="58"/>
        <v>19006</v>
      </c>
      <c r="H1243" s="543">
        <v>0</v>
      </c>
      <c r="I1243" s="543">
        <f t="shared" si="59"/>
        <v>0</v>
      </c>
      <c r="J1243" s="543">
        <v>0</v>
      </c>
      <c r="K1243" s="543">
        <f t="shared" si="60"/>
        <v>0</v>
      </c>
      <c r="L1243" s="543">
        <v>0</v>
      </c>
      <c r="M1243" s="543">
        <f t="shared" si="61"/>
        <v>0</v>
      </c>
      <c r="N1243" s="543">
        <v>0</v>
      </c>
      <c r="O1243" s="543">
        <f t="shared" si="62"/>
        <v>0</v>
      </c>
    </row>
    <row r="1244" spans="1:15" ht="15.75">
      <c r="A1244" s="296"/>
      <c r="B1244" s="540"/>
      <c r="C1244" s="554"/>
      <c r="D1244" s="542"/>
      <c r="E1244" s="543"/>
      <c r="F1244" s="545"/>
      <c r="G1244" s="543"/>
      <c r="H1244" s="543"/>
      <c r="I1244" s="543"/>
      <c r="J1244" s="543"/>
      <c r="K1244" s="543"/>
      <c r="L1244" s="543"/>
      <c r="M1244" s="543"/>
      <c r="N1244" s="543"/>
      <c r="O1244" s="543"/>
    </row>
    <row r="1245" spans="1:15" ht="15.75">
      <c r="A1245" s="535"/>
      <c r="B1245" s="535"/>
      <c r="C1245" s="555" t="s">
        <v>1487</v>
      </c>
      <c r="D1245" s="53"/>
      <c r="E1245" s="53"/>
      <c r="F1245" s="53"/>
      <c r="G1245" s="556">
        <f t="shared" si="58"/>
        <v>0</v>
      </c>
      <c r="H1245" s="53"/>
      <c r="I1245" s="556">
        <f t="shared" si="59"/>
        <v>0</v>
      </c>
      <c r="J1245" s="53"/>
      <c r="K1245" s="556">
        <f t="shared" si="60"/>
        <v>0</v>
      </c>
      <c r="L1245" s="53"/>
      <c r="M1245" s="556">
        <f t="shared" si="61"/>
        <v>0</v>
      </c>
      <c r="N1245" s="53"/>
      <c r="O1245" s="556">
        <f t="shared" si="62"/>
        <v>0</v>
      </c>
    </row>
    <row r="1246" spans="1:15" ht="63">
      <c r="A1246" s="535"/>
      <c r="B1246" s="535"/>
      <c r="C1246" s="557" t="s">
        <v>1488</v>
      </c>
      <c r="D1246" s="530" t="s">
        <v>253</v>
      </c>
      <c r="E1246" s="558">
        <v>326270</v>
      </c>
      <c r="F1246" s="559">
        <v>3</v>
      </c>
      <c r="G1246" s="558">
        <f t="shared" si="58"/>
        <v>978810</v>
      </c>
      <c r="H1246" s="543">
        <v>0</v>
      </c>
      <c r="I1246" s="543">
        <f t="shared" si="59"/>
        <v>0</v>
      </c>
      <c r="J1246" s="543">
        <v>0</v>
      </c>
      <c r="K1246" s="543">
        <f t="shared" si="60"/>
        <v>0</v>
      </c>
      <c r="L1246" s="543">
        <v>0</v>
      </c>
      <c r="M1246" s="543">
        <f t="shared" si="61"/>
        <v>0</v>
      </c>
      <c r="N1246" s="543">
        <v>0</v>
      </c>
      <c r="O1246" s="543">
        <f t="shared" si="62"/>
        <v>0</v>
      </c>
    </row>
    <row r="1247" spans="1:15" ht="31.5">
      <c r="A1247" s="296">
        <v>27</v>
      </c>
      <c r="B1247" s="540"/>
      <c r="C1247" s="560" t="s">
        <v>1489</v>
      </c>
      <c r="D1247" s="561" t="s">
        <v>40</v>
      </c>
      <c r="E1247" s="562">
        <v>18000</v>
      </c>
      <c r="F1247" s="563">
        <v>3</v>
      </c>
      <c r="G1247" s="543">
        <f t="shared" si="58"/>
        <v>54000</v>
      </c>
      <c r="H1247" s="543">
        <v>0</v>
      </c>
      <c r="I1247" s="543">
        <f t="shared" si="59"/>
        <v>0</v>
      </c>
      <c r="J1247" s="543">
        <v>0</v>
      </c>
      <c r="K1247" s="543">
        <f t="shared" si="60"/>
        <v>0</v>
      </c>
      <c r="L1247" s="543">
        <v>0</v>
      </c>
      <c r="M1247" s="543">
        <f t="shared" si="61"/>
        <v>0</v>
      </c>
      <c r="N1247" s="543">
        <v>0</v>
      </c>
      <c r="O1247" s="543">
        <f t="shared" si="62"/>
        <v>0</v>
      </c>
    </row>
    <row r="1248" spans="1:15" ht="31.5">
      <c r="A1248" s="296">
        <v>28</v>
      </c>
      <c r="B1248" s="540"/>
      <c r="C1248" s="560" t="s">
        <v>1490</v>
      </c>
      <c r="D1248" s="561" t="s">
        <v>40</v>
      </c>
      <c r="E1248" s="562">
        <v>15000</v>
      </c>
      <c r="F1248" s="563">
        <v>3</v>
      </c>
      <c r="G1248" s="543">
        <f t="shared" si="58"/>
        <v>45000</v>
      </c>
      <c r="H1248" s="543">
        <v>0</v>
      </c>
      <c r="I1248" s="543">
        <f t="shared" si="59"/>
        <v>0</v>
      </c>
      <c r="J1248" s="543">
        <v>0</v>
      </c>
      <c r="K1248" s="543">
        <f t="shared" si="60"/>
        <v>0</v>
      </c>
      <c r="L1248" s="543">
        <v>0</v>
      </c>
      <c r="M1248" s="543">
        <f t="shared" si="61"/>
        <v>0</v>
      </c>
      <c r="N1248" s="543">
        <v>0</v>
      </c>
      <c r="O1248" s="543">
        <f t="shared" si="62"/>
        <v>0</v>
      </c>
    </row>
    <row r="1249" spans="1:15" ht="15.75">
      <c r="A1249" s="296">
        <v>29</v>
      </c>
      <c r="B1249" s="540"/>
      <c r="C1249" s="564" t="s">
        <v>1491</v>
      </c>
      <c r="D1249" s="565" t="s">
        <v>40</v>
      </c>
      <c r="E1249" s="562">
        <v>23484</v>
      </c>
      <c r="F1249" s="563">
        <v>3</v>
      </c>
      <c r="G1249" s="543">
        <f t="shared" si="58"/>
        <v>70452</v>
      </c>
      <c r="H1249" s="543">
        <v>0</v>
      </c>
      <c r="I1249" s="543">
        <f t="shared" si="59"/>
        <v>0</v>
      </c>
      <c r="J1249" s="543">
        <v>0</v>
      </c>
      <c r="K1249" s="543">
        <f t="shared" si="60"/>
        <v>0</v>
      </c>
      <c r="L1249" s="543">
        <v>0</v>
      </c>
      <c r="M1249" s="543">
        <f t="shared" si="61"/>
        <v>0</v>
      </c>
      <c r="N1249" s="543">
        <v>0</v>
      </c>
      <c r="O1249" s="543">
        <f t="shared" si="62"/>
        <v>0</v>
      </c>
    </row>
    <row r="1250" spans="1:15" ht="31.5">
      <c r="A1250" s="296">
        <v>30</v>
      </c>
      <c r="B1250" s="540"/>
      <c r="C1250" s="564" t="s">
        <v>1492</v>
      </c>
      <c r="D1250" s="565" t="s">
        <v>40</v>
      </c>
      <c r="E1250" s="562">
        <v>16000</v>
      </c>
      <c r="F1250" s="563">
        <v>1</v>
      </c>
      <c r="G1250" s="543">
        <f t="shared" si="58"/>
        <v>16000</v>
      </c>
      <c r="H1250" s="543">
        <v>0</v>
      </c>
      <c r="I1250" s="543">
        <f t="shared" si="59"/>
        <v>0</v>
      </c>
      <c r="J1250" s="543">
        <v>0</v>
      </c>
      <c r="K1250" s="543">
        <f t="shared" si="60"/>
        <v>0</v>
      </c>
      <c r="L1250" s="543">
        <v>0</v>
      </c>
      <c r="M1250" s="543">
        <f t="shared" si="61"/>
        <v>0</v>
      </c>
      <c r="N1250" s="543">
        <v>0</v>
      </c>
      <c r="O1250" s="543">
        <f t="shared" si="62"/>
        <v>0</v>
      </c>
    </row>
    <row r="1251" spans="1:15" ht="15.75">
      <c r="A1251" s="296">
        <v>31</v>
      </c>
      <c r="B1251" s="540"/>
      <c r="C1251" s="541" t="s">
        <v>1493</v>
      </c>
      <c r="D1251" s="542" t="s">
        <v>40</v>
      </c>
      <c r="E1251" s="543">
        <v>7037</v>
      </c>
      <c r="F1251" s="544" t="s">
        <v>1494</v>
      </c>
      <c r="G1251" s="543">
        <f t="shared" si="58"/>
        <v>28148</v>
      </c>
      <c r="H1251" s="543">
        <v>0</v>
      </c>
      <c r="I1251" s="543">
        <f t="shared" si="59"/>
        <v>0</v>
      </c>
      <c r="J1251" s="543">
        <v>0</v>
      </c>
      <c r="K1251" s="543">
        <f t="shared" si="60"/>
        <v>0</v>
      </c>
      <c r="L1251" s="543">
        <v>0</v>
      </c>
      <c r="M1251" s="543">
        <f t="shared" si="61"/>
        <v>0</v>
      </c>
      <c r="N1251" s="543">
        <v>0</v>
      </c>
      <c r="O1251" s="543">
        <f t="shared" si="62"/>
        <v>0</v>
      </c>
    </row>
    <row r="1252" spans="1:15" ht="31.5">
      <c r="A1252" s="296">
        <v>32</v>
      </c>
      <c r="B1252" s="540"/>
      <c r="C1252" s="541" t="s">
        <v>1495</v>
      </c>
      <c r="D1252" s="542" t="s">
        <v>40</v>
      </c>
      <c r="E1252" s="543">
        <v>18.2</v>
      </c>
      <c r="F1252" s="545">
        <v>55</v>
      </c>
      <c r="G1252" s="543">
        <f t="shared" si="58"/>
        <v>1001</v>
      </c>
      <c r="H1252" s="543">
        <v>0</v>
      </c>
      <c r="I1252" s="543">
        <f t="shared" si="59"/>
        <v>0</v>
      </c>
      <c r="J1252" s="543">
        <v>0</v>
      </c>
      <c r="K1252" s="543">
        <f t="shared" si="60"/>
        <v>0</v>
      </c>
      <c r="L1252" s="543">
        <v>0</v>
      </c>
      <c r="M1252" s="543">
        <f t="shared" si="61"/>
        <v>0</v>
      </c>
      <c r="N1252" s="543">
        <v>0</v>
      </c>
      <c r="O1252" s="543">
        <f t="shared" si="62"/>
        <v>0</v>
      </c>
    </row>
    <row r="1253" spans="1:15" ht="15.75">
      <c r="A1253" s="535"/>
      <c r="B1253" s="535"/>
      <c r="C1253" s="549" t="s">
        <v>1496</v>
      </c>
      <c r="D1253" s="53"/>
      <c r="E1253" s="53"/>
      <c r="F1253" s="53"/>
      <c r="G1253" s="543">
        <f t="shared" si="58"/>
        <v>0</v>
      </c>
      <c r="H1253" s="53"/>
      <c r="I1253" s="543">
        <f t="shared" si="59"/>
        <v>0</v>
      </c>
      <c r="J1253" s="53"/>
      <c r="K1253" s="543">
        <f t="shared" si="60"/>
        <v>0</v>
      </c>
      <c r="L1253" s="53"/>
      <c r="M1253" s="543">
        <f t="shared" si="61"/>
        <v>0</v>
      </c>
      <c r="N1253" s="53"/>
      <c r="O1253" s="543">
        <f t="shared" si="62"/>
        <v>0</v>
      </c>
    </row>
    <row r="1254" spans="1:15" ht="47.25">
      <c r="A1254" s="296">
        <v>33</v>
      </c>
      <c r="B1254" s="540"/>
      <c r="C1254" s="541" t="s">
        <v>1497</v>
      </c>
      <c r="D1254" s="542" t="s">
        <v>40</v>
      </c>
      <c r="E1254" s="543">
        <v>2809.13</v>
      </c>
      <c r="F1254" s="544">
        <v>6</v>
      </c>
      <c r="G1254" s="543">
        <f t="shared" si="58"/>
        <v>16854.78</v>
      </c>
      <c r="H1254" s="543">
        <v>0</v>
      </c>
      <c r="I1254" s="543">
        <f t="shared" si="59"/>
        <v>0</v>
      </c>
      <c r="J1254" s="543">
        <v>0</v>
      </c>
      <c r="K1254" s="543">
        <f t="shared" si="60"/>
        <v>0</v>
      </c>
      <c r="L1254" s="543">
        <v>0</v>
      </c>
      <c r="M1254" s="543">
        <f t="shared" si="61"/>
        <v>0</v>
      </c>
      <c r="N1254" s="543">
        <v>0</v>
      </c>
      <c r="O1254" s="543">
        <f t="shared" si="62"/>
        <v>0</v>
      </c>
    </row>
    <row r="1255" spans="1:15" ht="47.25">
      <c r="A1255" s="296">
        <v>34</v>
      </c>
      <c r="B1255" s="540"/>
      <c r="C1255" s="541" t="s">
        <v>1498</v>
      </c>
      <c r="D1255" s="542" t="s">
        <v>40</v>
      </c>
      <c r="E1255" s="543">
        <v>2235.9499999999998</v>
      </c>
      <c r="F1255" s="544">
        <v>5</v>
      </c>
      <c r="G1255" s="543">
        <f t="shared" si="58"/>
        <v>11179.75</v>
      </c>
      <c r="H1255" s="543">
        <v>0</v>
      </c>
      <c r="I1255" s="543">
        <f t="shared" si="59"/>
        <v>0</v>
      </c>
      <c r="J1255" s="543">
        <v>0</v>
      </c>
      <c r="K1255" s="543">
        <f t="shared" si="60"/>
        <v>0</v>
      </c>
      <c r="L1255" s="543">
        <v>0</v>
      </c>
      <c r="M1255" s="543">
        <f t="shared" si="61"/>
        <v>0</v>
      </c>
      <c r="N1255" s="543">
        <v>0</v>
      </c>
      <c r="O1255" s="543">
        <f t="shared" si="62"/>
        <v>0</v>
      </c>
    </row>
    <row r="1256" spans="1:15" ht="47.25">
      <c r="A1256" s="296">
        <v>35</v>
      </c>
      <c r="B1256" s="540"/>
      <c r="C1256" s="541" t="s">
        <v>1499</v>
      </c>
      <c r="D1256" s="542" t="s">
        <v>40</v>
      </c>
      <c r="E1256" s="543">
        <v>3722.8</v>
      </c>
      <c r="F1256" s="544">
        <v>5</v>
      </c>
      <c r="G1256" s="543">
        <f t="shared" si="58"/>
        <v>18614</v>
      </c>
      <c r="H1256" s="543">
        <v>0</v>
      </c>
      <c r="I1256" s="543">
        <f t="shared" si="59"/>
        <v>0</v>
      </c>
      <c r="J1256" s="543">
        <v>0</v>
      </c>
      <c r="K1256" s="543">
        <f t="shared" si="60"/>
        <v>0</v>
      </c>
      <c r="L1256" s="543">
        <v>0</v>
      </c>
      <c r="M1256" s="543">
        <f t="shared" si="61"/>
        <v>0</v>
      </c>
      <c r="N1256" s="543">
        <v>0</v>
      </c>
      <c r="O1256" s="543">
        <f t="shared" si="62"/>
        <v>0</v>
      </c>
    </row>
    <row r="1257" spans="1:15" ht="47.25">
      <c r="A1257" s="296">
        <v>36</v>
      </c>
      <c r="B1257" s="540"/>
      <c r="C1257" s="541" t="s">
        <v>1500</v>
      </c>
      <c r="D1257" s="542" t="s">
        <v>40</v>
      </c>
      <c r="E1257" s="543">
        <v>3944.12</v>
      </c>
      <c r="F1257" s="544">
        <v>9</v>
      </c>
      <c r="G1257" s="543">
        <f t="shared" si="58"/>
        <v>35497.08</v>
      </c>
      <c r="H1257" s="543">
        <v>0</v>
      </c>
      <c r="I1257" s="543">
        <f t="shared" si="59"/>
        <v>0</v>
      </c>
      <c r="J1257" s="543">
        <v>0</v>
      </c>
      <c r="K1257" s="543">
        <f t="shared" si="60"/>
        <v>0</v>
      </c>
      <c r="L1257" s="543">
        <v>0</v>
      </c>
      <c r="M1257" s="543">
        <f t="shared" si="61"/>
        <v>0</v>
      </c>
      <c r="N1257" s="543">
        <v>0</v>
      </c>
      <c r="O1257" s="543">
        <f t="shared" si="62"/>
        <v>0</v>
      </c>
    </row>
    <row r="1258" spans="1:15" ht="47.25">
      <c r="A1258" s="296">
        <v>37</v>
      </c>
      <c r="B1258" s="540"/>
      <c r="C1258" s="541" t="s">
        <v>1501</v>
      </c>
      <c r="D1258" s="542" t="s">
        <v>40</v>
      </c>
      <c r="E1258" s="543">
        <v>4284.63</v>
      </c>
      <c r="F1258" s="544" t="s">
        <v>1502</v>
      </c>
      <c r="G1258" s="543">
        <f t="shared" si="58"/>
        <v>51415.56</v>
      </c>
      <c r="H1258" s="543">
        <v>0</v>
      </c>
      <c r="I1258" s="543">
        <f t="shared" si="59"/>
        <v>0</v>
      </c>
      <c r="J1258" s="543">
        <v>0</v>
      </c>
      <c r="K1258" s="543">
        <f t="shared" si="60"/>
        <v>0</v>
      </c>
      <c r="L1258" s="543">
        <v>0</v>
      </c>
      <c r="M1258" s="543">
        <f t="shared" si="61"/>
        <v>0</v>
      </c>
      <c r="N1258" s="543">
        <v>0</v>
      </c>
      <c r="O1258" s="543">
        <f t="shared" si="62"/>
        <v>0</v>
      </c>
    </row>
    <row r="1259" spans="1:15" ht="31.5">
      <c r="A1259" s="296">
        <v>38</v>
      </c>
      <c r="B1259" s="540"/>
      <c r="C1259" s="541" t="s">
        <v>1503</v>
      </c>
      <c r="D1259" s="542" t="s">
        <v>40</v>
      </c>
      <c r="E1259" s="543">
        <v>4086</v>
      </c>
      <c r="F1259" s="544">
        <v>3</v>
      </c>
      <c r="G1259" s="543">
        <f t="shared" si="58"/>
        <v>12258</v>
      </c>
      <c r="H1259" s="543">
        <v>0</v>
      </c>
      <c r="I1259" s="543">
        <f t="shared" si="59"/>
        <v>0</v>
      </c>
      <c r="J1259" s="543">
        <v>0</v>
      </c>
      <c r="K1259" s="543">
        <f t="shared" si="60"/>
        <v>0</v>
      </c>
      <c r="L1259" s="543">
        <v>0</v>
      </c>
      <c r="M1259" s="543">
        <f t="shared" si="61"/>
        <v>0</v>
      </c>
      <c r="N1259" s="543">
        <v>0</v>
      </c>
      <c r="O1259" s="543">
        <f t="shared" si="62"/>
        <v>0</v>
      </c>
    </row>
    <row r="1260" spans="1:15" ht="31.5">
      <c r="A1260" s="296">
        <v>39</v>
      </c>
      <c r="B1260" s="540"/>
      <c r="C1260" s="541" t="s">
        <v>1504</v>
      </c>
      <c r="D1260" s="542" t="s">
        <v>40</v>
      </c>
      <c r="E1260" s="543">
        <v>4199.5</v>
      </c>
      <c r="F1260" s="544">
        <v>4</v>
      </c>
      <c r="G1260" s="543">
        <f t="shared" si="58"/>
        <v>16798</v>
      </c>
      <c r="H1260" s="543">
        <v>0</v>
      </c>
      <c r="I1260" s="543">
        <f t="shared" si="59"/>
        <v>0</v>
      </c>
      <c r="J1260" s="543">
        <v>0</v>
      </c>
      <c r="K1260" s="543">
        <f t="shared" si="60"/>
        <v>0</v>
      </c>
      <c r="L1260" s="543">
        <v>0</v>
      </c>
      <c r="M1260" s="543">
        <f t="shared" si="61"/>
        <v>0</v>
      </c>
      <c r="N1260" s="543">
        <v>0</v>
      </c>
      <c r="O1260" s="543">
        <f t="shared" si="62"/>
        <v>0</v>
      </c>
    </row>
    <row r="1261" spans="1:15" ht="47.25">
      <c r="A1261" s="296">
        <v>40</v>
      </c>
      <c r="B1261" s="540"/>
      <c r="C1261" s="541" t="s">
        <v>1505</v>
      </c>
      <c r="D1261" s="542" t="s">
        <v>40</v>
      </c>
      <c r="E1261" s="543">
        <v>1298</v>
      </c>
      <c r="F1261" s="545">
        <v>10</v>
      </c>
      <c r="G1261" s="543">
        <f t="shared" si="58"/>
        <v>12980</v>
      </c>
      <c r="H1261" s="543">
        <v>0</v>
      </c>
      <c r="I1261" s="543">
        <f t="shared" si="59"/>
        <v>0</v>
      </c>
      <c r="J1261" s="543">
        <v>0</v>
      </c>
      <c r="K1261" s="543">
        <f t="shared" si="60"/>
        <v>0</v>
      </c>
      <c r="L1261" s="543">
        <v>0</v>
      </c>
      <c r="M1261" s="543">
        <f t="shared" si="61"/>
        <v>0</v>
      </c>
      <c r="N1261" s="543">
        <v>0</v>
      </c>
      <c r="O1261" s="543">
        <f t="shared" si="62"/>
        <v>0</v>
      </c>
    </row>
    <row r="1262" spans="1:15" ht="31.5">
      <c r="A1262" s="535"/>
      <c r="B1262" s="535"/>
      <c r="C1262" s="549" t="s">
        <v>1506</v>
      </c>
      <c r="D1262" s="53"/>
      <c r="E1262" s="53"/>
      <c r="F1262" s="53"/>
      <c r="G1262" s="543">
        <f t="shared" si="58"/>
        <v>0</v>
      </c>
      <c r="H1262" s="53"/>
      <c r="I1262" s="543">
        <f t="shared" si="59"/>
        <v>0</v>
      </c>
      <c r="J1262" s="53"/>
      <c r="K1262" s="543">
        <f t="shared" si="60"/>
        <v>0</v>
      </c>
      <c r="L1262" s="53"/>
      <c r="M1262" s="543">
        <f t="shared" si="61"/>
        <v>0</v>
      </c>
      <c r="N1262" s="53"/>
      <c r="O1262" s="543">
        <f t="shared" si="62"/>
        <v>0</v>
      </c>
    </row>
    <row r="1263" spans="1:15" ht="31.5">
      <c r="A1263" s="296">
        <v>41</v>
      </c>
      <c r="B1263" s="540"/>
      <c r="C1263" s="560" t="s">
        <v>1507</v>
      </c>
      <c r="D1263" s="561" t="s">
        <v>40</v>
      </c>
      <c r="E1263" s="562">
        <v>5000</v>
      </c>
      <c r="F1263" s="566">
        <v>3</v>
      </c>
      <c r="G1263" s="562">
        <f t="shared" si="58"/>
        <v>15000</v>
      </c>
      <c r="H1263" s="543">
        <v>0</v>
      </c>
      <c r="I1263" s="543">
        <f t="shared" si="59"/>
        <v>0</v>
      </c>
      <c r="J1263" s="543">
        <v>0</v>
      </c>
      <c r="K1263" s="543">
        <f t="shared" si="60"/>
        <v>0</v>
      </c>
      <c r="L1263" s="543">
        <v>0</v>
      </c>
      <c r="M1263" s="543">
        <f t="shared" si="61"/>
        <v>0</v>
      </c>
      <c r="N1263" s="543">
        <v>0</v>
      </c>
      <c r="O1263" s="543">
        <f t="shared" si="62"/>
        <v>0</v>
      </c>
    </row>
    <row r="1264" spans="1:15" ht="31.5">
      <c r="A1264" s="296">
        <v>42</v>
      </c>
      <c r="B1264" s="540"/>
      <c r="C1264" s="560" t="s">
        <v>1507</v>
      </c>
      <c r="D1264" s="561" t="s">
        <v>40</v>
      </c>
      <c r="E1264" s="562">
        <v>25000</v>
      </c>
      <c r="F1264" s="566">
        <v>1</v>
      </c>
      <c r="G1264" s="562">
        <f t="shared" si="58"/>
        <v>25000</v>
      </c>
      <c r="H1264" s="543">
        <v>0</v>
      </c>
      <c r="I1264" s="543">
        <f t="shared" si="59"/>
        <v>0</v>
      </c>
      <c r="J1264" s="543">
        <v>0</v>
      </c>
      <c r="K1264" s="543">
        <f t="shared" si="60"/>
        <v>0</v>
      </c>
      <c r="L1264" s="543">
        <v>0</v>
      </c>
      <c r="M1264" s="543">
        <f t="shared" si="61"/>
        <v>0</v>
      </c>
      <c r="N1264" s="543">
        <v>0</v>
      </c>
      <c r="O1264" s="543">
        <f t="shared" si="62"/>
        <v>0</v>
      </c>
    </row>
    <row r="1265" spans="1:15" ht="47.25">
      <c r="A1265" s="296">
        <v>43</v>
      </c>
      <c r="B1265" s="540"/>
      <c r="C1265" s="550" t="s">
        <v>1508</v>
      </c>
      <c r="D1265" s="542" t="s">
        <v>40</v>
      </c>
      <c r="E1265" s="543">
        <v>33709.5</v>
      </c>
      <c r="F1265" s="544" t="s">
        <v>1509</v>
      </c>
      <c r="G1265" s="543">
        <f t="shared" si="58"/>
        <v>0</v>
      </c>
      <c r="H1265" s="543">
        <v>0</v>
      </c>
      <c r="I1265" s="543">
        <f t="shared" si="59"/>
        <v>0</v>
      </c>
      <c r="J1265" s="543">
        <v>0</v>
      </c>
      <c r="K1265" s="543">
        <f t="shared" si="60"/>
        <v>0</v>
      </c>
      <c r="L1265" s="543">
        <v>0</v>
      </c>
      <c r="M1265" s="543">
        <f t="shared" si="61"/>
        <v>0</v>
      </c>
      <c r="N1265" s="543">
        <v>0</v>
      </c>
      <c r="O1265" s="543">
        <f t="shared" si="62"/>
        <v>0</v>
      </c>
    </row>
    <row r="1266" spans="1:15" ht="47.25">
      <c r="A1266" s="296">
        <v>44</v>
      </c>
      <c r="B1266" s="540"/>
      <c r="C1266" s="541" t="s">
        <v>1510</v>
      </c>
      <c r="D1266" s="542" t="s">
        <v>40</v>
      </c>
      <c r="E1266" s="543">
        <v>13614.32</v>
      </c>
      <c r="F1266" s="544">
        <v>2</v>
      </c>
      <c r="G1266" s="543">
        <f t="shared" si="58"/>
        <v>27228.639999999999</v>
      </c>
      <c r="H1266" s="543">
        <v>0</v>
      </c>
      <c r="I1266" s="543">
        <f t="shared" si="59"/>
        <v>0</v>
      </c>
      <c r="J1266" s="543">
        <v>0</v>
      </c>
      <c r="K1266" s="543">
        <f t="shared" si="60"/>
        <v>0</v>
      </c>
      <c r="L1266" s="543">
        <v>0</v>
      </c>
      <c r="M1266" s="543">
        <f t="shared" si="61"/>
        <v>0</v>
      </c>
      <c r="N1266" s="543">
        <v>0</v>
      </c>
      <c r="O1266" s="543">
        <f t="shared" si="62"/>
        <v>0</v>
      </c>
    </row>
    <row r="1267" spans="1:15" ht="31.5">
      <c r="A1267" s="296">
        <v>45</v>
      </c>
      <c r="B1267" s="540"/>
      <c r="C1267" s="541" t="s">
        <v>1511</v>
      </c>
      <c r="D1267" s="542" t="s">
        <v>40</v>
      </c>
      <c r="E1267" s="543">
        <v>8853</v>
      </c>
      <c r="F1267" s="545">
        <v>1</v>
      </c>
      <c r="G1267" s="543">
        <f t="shared" si="58"/>
        <v>8853</v>
      </c>
      <c r="H1267" s="543">
        <v>0</v>
      </c>
      <c r="I1267" s="543">
        <f t="shared" si="59"/>
        <v>0</v>
      </c>
      <c r="J1267" s="543">
        <v>0</v>
      </c>
      <c r="K1267" s="543">
        <f t="shared" si="60"/>
        <v>0</v>
      </c>
      <c r="L1267" s="543">
        <v>0</v>
      </c>
      <c r="M1267" s="543">
        <f t="shared" si="61"/>
        <v>0</v>
      </c>
      <c r="N1267" s="543">
        <v>0</v>
      </c>
      <c r="O1267" s="543">
        <f t="shared" si="62"/>
        <v>0</v>
      </c>
    </row>
    <row r="1268" spans="1:15" ht="31.5">
      <c r="A1268" s="296">
        <v>46</v>
      </c>
      <c r="B1268" s="540"/>
      <c r="C1268" s="541" t="s">
        <v>1512</v>
      </c>
      <c r="D1268" s="542" t="s">
        <v>40</v>
      </c>
      <c r="E1268" s="543">
        <v>4540</v>
      </c>
      <c r="F1268" s="544">
        <v>2</v>
      </c>
      <c r="G1268" s="543">
        <f t="shared" si="58"/>
        <v>9080</v>
      </c>
      <c r="H1268" s="543">
        <v>0</v>
      </c>
      <c r="I1268" s="543">
        <f t="shared" si="59"/>
        <v>0</v>
      </c>
      <c r="J1268" s="543">
        <v>0</v>
      </c>
      <c r="K1268" s="543">
        <f t="shared" si="60"/>
        <v>0</v>
      </c>
      <c r="L1268" s="543">
        <v>0</v>
      </c>
      <c r="M1268" s="543">
        <f t="shared" si="61"/>
        <v>0</v>
      </c>
      <c r="N1268" s="543">
        <v>0</v>
      </c>
      <c r="O1268" s="543">
        <f t="shared" si="62"/>
        <v>0</v>
      </c>
    </row>
    <row r="1269" spans="1:15" ht="47.25">
      <c r="A1269" s="296">
        <v>47</v>
      </c>
      <c r="B1269" s="540"/>
      <c r="C1269" s="552" t="s">
        <v>1513</v>
      </c>
      <c r="D1269" s="542" t="s">
        <v>40</v>
      </c>
      <c r="E1269" s="543">
        <v>17025</v>
      </c>
      <c r="F1269" s="544">
        <v>1</v>
      </c>
      <c r="G1269" s="543">
        <f t="shared" si="58"/>
        <v>17025</v>
      </c>
      <c r="H1269" s="543">
        <v>0</v>
      </c>
      <c r="I1269" s="543">
        <f t="shared" si="59"/>
        <v>0</v>
      </c>
      <c r="J1269" s="543">
        <v>0</v>
      </c>
      <c r="K1269" s="543">
        <f t="shared" si="60"/>
        <v>0</v>
      </c>
      <c r="L1269" s="543">
        <v>0</v>
      </c>
      <c r="M1269" s="543">
        <f t="shared" si="61"/>
        <v>0</v>
      </c>
      <c r="N1269" s="543">
        <v>0</v>
      </c>
      <c r="O1269" s="543">
        <f t="shared" si="62"/>
        <v>0</v>
      </c>
    </row>
    <row r="1270" spans="1:15" ht="31.5">
      <c r="A1270" s="296">
        <v>48</v>
      </c>
      <c r="B1270" s="540"/>
      <c r="C1270" s="541" t="s">
        <v>1514</v>
      </c>
      <c r="D1270" s="542" t="s">
        <v>40</v>
      </c>
      <c r="E1270" s="543">
        <v>7924.73</v>
      </c>
      <c r="F1270" s="544">
        <v>1</v>
      </c>
      <c r="G1270" s="543">
        <f t="shared" si="58"/>
        <v>7924.73</v>
      </c>
      <c r="H1270" s="543">
        <v>0</v>
      </c>
      <c r="I1270" s="543">
        <f t="shared" si="59"/>
        <v>0</v>
      </c>
      <c r="J1270" s="543">
        <v>0</v>
      </c>
      <c r="K1270" s="543">
        <f t="shared" si="60"/>
        <v>0</v>
      </c>
      <c r="L1270" s="543">
        <v>0</v>
      </c>
      <c r="M1270" s="543">
        <f t="shared" si="61"/>
        <v>0</v>
      </c>
      <c r="N1270" s="543">
        <v>0</v>
      </c>
      <c r="O1270" s="543">
        <f t="shared" si="62"/>
        <v>0</v>
      </c>
    </row>
    <row r="1271" spans="1:15" ht="31.5">
      <c r="A1271" s="296">
        <v>49</v>
      </c>
      <c r="B1271" s="540"/>
      <c r="C1271" s="541" t="s">
        <v>1515</v>
      </c>
      <c r="D1271" s="542" t="s">
        <v>40</v>
      </c>
      <c r="E1271" s="543">
        <v>5664</v>
      </c>
      <c r="F1271" s="545">
        <v>1</v>
      </c>
      <c r="G1271" s="543">
        <f t="shared" si="58"/>
        <v>5664</v>
      </c>
      <c r="H1271" s="543">
        <v>0</v>
      </c>
      <c r="I1271" s="543">
        <f t="shared" si="59"/>
        <v>0</v>
      </c>
      <c r="J1271" s="543">
        <v>0</v>
      </c>
      <c r="K1271" s="543">
        <f t="shared" si="60"/>
        <v>0</v>
      </c>
      <c r="L1271" s="543">
        <v>0</v>
      </c>
      <c r="M1271" s="543">
        <f t="shared" si="61"/>
        <v>0</v>
      </c>
      <c r="N1271" s="543">
        <v>0</v>
      </c>
      <c r="O1271" s="543">
        <f t="shared" si="62"/>
        <v>0</v>
      </c>
    </row>
    <row r="1272" spans="1:15" ht="15.75">
      <c r="A1272" s="296">
        <v>50</v>
      </c>
      <c r="B1272" s="540"/>
      <c r="C1272" s="541" t="s">
        <v>1516</v>
      </c>
      <c r="D1272" s="542" t="s">
        <v>40</v>
      </c>
      <c r="E1272" s="543">
        <v>7922</v>
      </c>
      <c r="F1272" s="545">
        <v>1</v>
      </c>
      <c r="G1272" s="543">
        <f t="shared" si="58"/>
        <v>7922</v>
      </c>
      <c r="H1272" s="543">
        <v>0</v>
      </c>
      <c r="I1272" s="543">
        <f t="shared" si="59"/>
        <v>0</v>
      </c>
      <c r="J1272" s="543">
        <v>0</v>
      </c>
      <c r="K1272" s="543">
        <f t="shared" si="60"/>
        <v>0</v>
      </c>
      <c r="L1272" s="543">
        <v>0</v>
      </c>
      <c r="M1272" s="543">
        <f t="shared" si="61"/>
        <v>0</v>
      </c>
      <c r="N1272" s="543">
        <v>0</v>
      </c>
      <c r="O1272" s="543">
        <f t="shared" si="62"/>
        <v>0</v>
      </c>
    </row>
    <row r="1273" spans="1:15" ht="47.25">
      <c r="A1273" s="296">
        <v>51</v>
      </c>
      <c r="B1273" s="540"/>
      <c r="C1273" s="552" t="s">
        <v>1517</v>
      </c>
      <c r="D1273" s="553" t="s">
        <v>40</v>
      </c>
      <c r="E1273" s="543">
        <v>6782</v>
      </c>
      <c r="F1273" s="544">
        <v>3</v>
      </c>
      <c r="G1273" s="543">
        <f t="shared" si="58"/>
        <v>20346</v>
      </c>
      <c r="H1273" s="543">
        <v>0</v>
      </c>
      <c r="I1273" s="543">
        <f t="shared" si="59"/>
        <v>0</v>
      </c>
      <c r="J1273" s="543">
        <v>0</v>
      </c>
      <c r="K1273" s="543">
        <f t="shared" si="60"/>
        <v>0</v>
      </c>
      <c r="L1273" s="543">
        <v>0</v>
      </c>
      <c r="M1273" s="543">
        <f t="shared" si="61"/>
        <v>0</v>
      </c>
      <c r="N1273" s="543">
        <v>0</v>
      </c>
      <c r="O1273" s="543">
        <f t="shared" si="62"/>
        <v>0</v>
      </c>
    </row>
    <row r="1274" spans="1:15" ht="47.25">
      <c r="A1274" s="296">
        <v>52</v>
      </c>
      <c r="B1274" s="540"/>
      <c r="C1274" s="541" t="s">
        <v>1518</v>
      </c>
      <c r="D1274" s="542" t="s">
        <v>40</v>
      </c>
      <c r="E1274" s="543">
        <v>112365</v>
      </c>
      <c r="F1274" s="544">
        <v>1</v>
      </c>
      <c r="G1274" s="543">
        <f t="shared" si="58"/>
        <v>112365</v>
      </c>
      <c r="H1274" s="543">
        <v>0</v>
      </c>
      <c r="I1274" s="543">
        <f t="shared" si="59"/>
        <v>0</v>
      </c>
      <c r="J1274" s="543">
        <v>0</v>
      </c>
      <c r="K1274" s="543">
        <f t="shared" si="60"/>
        <v>0</v>
      </c>
      <c r="L1274" s="543">
        <v>0</v>
      </c>
      <c r="M1274" s="543">
        <f t="shared" si="61"/>
        <v>0</v>
      </c>
      <c r="N1274" s="543">
        <v>0</v>
      </c>
      <c r="O1274" s="543">
        <f t="shared" si="62"/>
        <v>0</v>
      </c>
    </row>
    <row r="1275" spans="1:15" ht="63">
      <c r="A1275" s="296">
        <v>53</v>
      </c>
      <c r="B1275" s="540"/>
      <c r="C1275" s="541" t="s">
        <v>1519</v>
      </c>
      <c r="D1275" s="542" t="s">
        <v>40</v>
      </c>
      <c r="E1275" s="543">
        <v>112365</v>
      </c>
      <c r="F1275" s="544">
        <v>1</v>
      </c>
      <c r="G1275" s="543">
        <f t="shared" si="58"/>
        <v>112365</v>
      </c>
      <c r="H1275" s="543">
        <v>0</v>
      </c>
      <c r="I1275" s="543">
        <f t="shared" si="59"/>
        <v>0</v>
      </c>
      <c r="J1275" s="543">
        <v>0</v>
      </c>
      <c r="K1275" s="543">
        <f t="shared" si="60"/>
        <v>0</v>
      </c>
      <c r="L1275" s="543">
        <v>0</v>
      </c>
      <c r="M1275" s="543">
        <f t="shared" si="61"/>
        <v>0</v>
      </c>
      <c r="N1275" s="543">
        <v>0</v>
      </c>
      <c r="O1275" s="543">
        <f t="shared" si="62"/>
        <v>0</v>
      </c>
    </row>
    <row r="1276" spans="1:15" ht="63">
      <c r="A1276" s="296">
        <v>54</v>
      </c>
      <c r="B1276" s="540"/>
      <c r="C1276" s="550" t="s">
        <v>1520</v>
      </c>
      <c r="D1276" s="542" t="s">
        <v>40</v>
      </c>
      <c r="E1276" s="543">
        <v>6804</v>
      </c>
      <c r="F1276" s="544">
        <v>3</v>
      </c>
      <c r="G1276" s="543">
        <f t="shared" si="58"/>
        <v>20412</v>
      </c>
      <c r="H1276" s="543">
        <v>0</v>
      </c>
      <c r="I1276" s="543">
        <f t="shared" si="59"/>
        <v>0</v>
      </c>
      <c r="J1276" s="543">
        <v>0</v>
      </c>
      <c r="K1276" s="543">
        <f t="shared" si="60"/>
        <v>0</v>
      </c>
      <c r="L1276" s="543">
        <v>0</v>
      </c>
      <c r="M1276" s="543">
        <f t="shared" si="61"/>
        <v>0</v>
      </c>
      <c r="N1276" s="543">
        <v>0</v>
      </c>
      <c r="O1276" s="543">
        <f t="shared" si="62"/>
        <v>0</v>
      </c>
    </row>
    <row r="1277" spans="1:15" ht="31.5">
      <c r="A1277" s="296">
        <v>55</v>
      </c>
      <c r="B1277" s="540"/>
      <c r="C1277" s="541" t="s">
        <v>1521</v>
      </c>
      <c r="D1277" s="542" t="s">
        <v>40</v>
      </c>
      <c r="E1277" s="543">
        <v>10203.65</v>
      </c>
      <c r="F1277" s="544">
        <v>2</v>
      </c>
      <c r="G1277" s="543">
        <f t="shared" si="58"/>
        <v>20407.3</v>
      </c>
      <c r="H1277" s="543">
        <v>0</v>
      </c>
      <c r="I1277" s="543">
        <f t="shared" si="59"/>
        <v>0</v>
      </c>
      <c r="J1277" s="543">
        <v>0</v>
      </c>
      <c r="K1277" s="543">
        <f t="shared" si="60"/>
        <v>0</v>
      </c>
      <c r="L1277" s="543">
        <v>0</v>
      </c>
      <c r="M1277" s="543">
        <f t="shared" si="61"/>
        <v>0</v>
      </c>
      <c r="N1277" s="543">
        <v>0</v>
      </c>
      <c r="O1277" s="543">
        <f t="shared" si="62"/>
        <v>0</v>
      </c>
    </row>
    <row r="1278" spans="1:15" ht="31.5">
      <c r="A1278" s="296">
        <v>56</v>
      </c>
      <c r="B1278" s="540"/>
      <c r="C1278" s="541" t="s">
        <v>1522</v>
      </c>
      <c r="D1278" s="542" t="s">
        <v>40</v>
      </c>
      <c r="E1278" s="543">
        <v>6242.5</v>
      </c>
      <c r="F1278" s="544" t="s">
        <v>1494</v>
      </c>
      <c r="G1278" s="543">
        <f t="shared" si="58"/>
        <v>24970</v>
      </c>
      <c r="H1278" s="543">
        <v>0</v>
      </c>
      <c r="I1278" s="543">
        <f t="shared" si="59"/>
        <v>0</v>
      </c>
      <c r="J1278" s="543">
        <v>0</v>
      </c>
      <c r="K1278" s="543">
        <f t="shared" si="60"/>
        <v>0</v>
      </c>
      <c r="L1278" s="543">
        <v>0</v>
      </c>
      <c r="M1278" s="543">
        <f t="shared" si="61"/>
        <v>0</v>
      </c>
      <c r="N1278" s="543">
        <v>0</v>
      </c>
      <c r="O1278" s="543">
        <f t="shared" si="62"/>
        <v>0</v>
      </c>
    </row>
    <row r="1279" spans="1:15" ht="31.5">
      <c r="A1279" s="296">
        <v>57</v>
      </c>
      <c r="B1279" s="540"/>
      <c r="C1279" s="541" t="s">
        <v>1523</v>
      </c>
      <c r="D1279" s="542" t="s">
        <v>40</v>
      </c>
      <c r="E1279" s="543">
        <v>140.63</v>
      </c>
      <c r="F1279" s="545">
        <v>4</v>
      </c>
      <c r="G1279" s="543">
        <f t="shared" si="58"/>
        <v>562.52</v>
      </c>
      <c r="H1279" s="543">
        <v>0</v>
      </c>
      <c r="I1279" s="543">
        <f t="shared" si="59"/>
        <v>0</v>
      </c>
      <c r="J1279" s="543">
        <v>0</v>
      </c>
      <c r="K1279" s="543">
        <f t="shared" si="60"/>
        <v>0</v>
      </c>
      <c r="L1279" s="543">
        <v>0</v>
      </c>
      <c r="M1279" s="543">
        <f t="shared" si="61"/>
        <v>0</v>
      </c>
      <c r="N1279" s="543">
        <v>0</v>
      </c>
      <c r="O1279" s="543">
        <f t="shared" si="62"/>
        <v>0</v>
      </c>
    </row>
    <row r="1280" spans="1:15" ht="15.75">
      <c r="A1280" s="296">
        <v>58</v>
      </c>
      <c r="B1280" s="540"/>
      <c r="C1280" s="548" t="s">
        <v>1524</v>
      </c>
      <c r="D1280" s="542" t="s">
        <v>7</v>
      </c>
      <c r="E1280" s="543">
        <v>3876.3</v>
      </c>
      <c r="F1280" s="545">
        <v>3</v>
      </c>
      <c r="G1280" s="543">
        <f t="shared" si="58"/>
        <v>11628.900000000001</v>
      </c>
      <c r="H1280" s="543">
        <v>0</v>
      </c>
      <c r="I1280" s="543">
        <f t="shared" si="59"/>
        <v>0</v>
      </c>
      <c r="J1280" s="543">
        <v>0</v>
      </c>
      <c r="K1280" s="543">
        <f t="shared" si="60"/>
        <v>0</v>
      </c>
      <c r="L1280" s="543">
        <v>0</v>
      </c>
      <c r="M1280" s="543">
        <f t="shared" si="61"/>
        <v>0</v>
      </c>
      <c r="N1280" s="543">
        <v>0</v>
      </c>
      <c r="O1280" s="543">
        <f t="shared" si="62"/>
        <v>0</v>
      </c>
    </row>
    <row r="1281" spans="1:15" ht="31.5">
      <c r="A1281" s="535"/>
      <c r="B1281" s="535"/>
      <c r="C1281" s="549" t="s">
        <v>1525</v>
      </c>
      <c r="D1281" s="53"/>
      <c r="E1281" s="53"/>
      <c r="F1281" s="53"/>
      <c r="G1281" s="543">
        <f t="shared" si="58"/>
        <v>0</v>
      </c>
      <c r="H1281" s="53"/>
      <c r="I1281" s="543">
        <f t="shared" si="59"/>
        <v>0</v>
      </c>
      <c r="J1281" s="53"/>
      <c r="K1281" s="543">
        <f t="shared" si="60"/>
        <v>0</v>
      </c>
      <c r="L1281" s="53"/>
      <c r="M1281" s="543">
        <f t="shared" si="61"/>
        <v>0</v>
      </c>
      <c r="N1281" s="53"/>
      <c r="O1281" s="543">
        <f t="shared" si="62"/>
        <v>0</v>
      </c>
    </row>
    <row r="1282" spans="1:15" ht="15.75">
      <c r="A1282" s="296">
        <v>59</v>
      </c>
      <c r="B1282" s="540"/>
      <c r="C1282" s="541" t="s">
        <v>1526</v>
      </c>
      <c r="D1282" s="542" t="s">
        <v>40</v>
      </c>
      <c r="E1282" s="543">
        <v>329.15</v>
      </c>
      <c r="F1282" s="545">
        <v>1</v>
      </c>
      <c r="G1282" s="543">
        <f t="shared" ref="G1282:G1311" si="63">F1282*E1282</f>
        <v>329.15</v>
      </c>
      <c r="H1282" s="543">
        <v>0</v>
      </c>
      <c r="I1282" s="543">
        <f t="shared" ref="I1282:I1311" si="64">H1282*E1282</f>
        <v>0</v>
      </c>
      <c r="J1282" s="543">
        <v>0</v>
      </c>
      <c r="K1282" s="543">
        <f t="shared" ref="K1282:K1311" si="65">E1282*J1282</f>
        <v>0</v>
      </c>
      <c r="L1282" s="543">
        <v>0</v>
      </c>
      <c r="M1282" s="543">
        <f t="shared" ref="M1282:M1311" si="66">E1282*L1282</f>
        <v>0</v>
      </c>
      <c r="N1282" s="543">
        <v>0</v>
      </c>
      <c r="O1282" s="543">
        <f t="shared" ref="O1282:O1311" si="67">N1282*E1282</f>
        <v>0</v>
      </c>
    </row>
    <row r="1283" spans="1:15" ht="31.5">
      <c r="A1283" s="296">
        <v>60</v>
      </c>
      <c r="B1283" s="540"/>
      <c r="C1283" s="560" t="s">
        <v>1527</v>
      </c>
      <c r="D1283" s="561" t="s">
        <v>40</v>
      </c>
      <c r="E1283" s="562">
        <v>30000</v>
      </c>
      <c r="F1283" s="566">
        <v>0</v>
      </c>
      <c r="G1283" s="543">
        <f t="shared" si="63"/>
        <v>0</v>
      </c>
      <c r="H1283" s="543">
        <v>0</v>
      </c>
      <c r="I1283" s="543">
        <f t="shared" si="64"/>
        <v>0</v>
      </c>
      <c r="J1283" s="543">
        <v>0</v>
      </c>
      <c r="K1283" s="543">
        <f t="shared" si="65"/>
        <v>0</v>
      </c>
      <c r="L1283" s="543">
        <v>0</v>
      </c>
      <c r="M1283" s="543">
        <f t="shared" si="66"/>
        <v>0</v>
      </c>
      <c r="N1283" s="543">
        <v>1</v>
      </c>
      <c r="O1283" s="543">
        <f t="shared" si="67"/>
        <v>30000</v>
      </c>
    </row>
    <row r="1284" spans="1:15" ht="47.25">
      <c r="A1284" s="296">
        <v>61</v>
      </c>
      <c r="B1284" s="540"/>
      <c r="C1284" s="560" t="s">
        <v>1528</v>
      </c>
      <c r="D1284" s="561" t="s">
        <v>40</v>
      </c>
      <c r="E1284" s="562">
        <v>200</v>
      </c>
      <c r="F1284" s="566">
        <v>0</v>
      </c>
      <c r="G1284" s="543">
        <f t="shared" si="63"/>
        <v>0</v>
      </c>
      <c r="H1284" s="543">
        <v>0</v>
      </c>
      <c r="I1284" s="543">
        <f t="shared" si="64"/>
        <v>0</v>
      </c>
      <c r="J1284" s="543">
        <v>0</v>
      </c>
      <c r="K1284" s="543">
        <f t="shared" si="65"/>
        <v>0</v>
      </c>
      <c r="L1284" s="543">
        <v>0</v>
      </c>
      <c r="M1284" s="543">
        <f t="shared" si="66"/>
        <v>0</v>
      </c>
      <c r="N1284" s="543">
        <v>55</v>
      </c>
      <c r="O1284" s="543">
        <f t="shared" si="67"/>
        <v>11000</v>
      </c>
    </row>
    <row r="1285" spans="1:15" ht="31.5">
      <c r="A1285" s="296">
        <v>62</v>
      </c>
      <c r="B1285" s="540"/>
      <c r="C1285" s="560" t="s">
        <v>1529</v>
      </c>
      <c r="D1285" s="561" t="s">
        <v>40</v>
      </c>
      <c r="E1285" s="562">
        <v>200</v>
      </c>
      <c r="F1285" s="566">
        <v>0</v>
      </c>
      <c r="G1285" s="543">
        <f t="shared" si="63"/>
        <v>0</v>
      </c>
      <c r="H1285" s="543">
        <v>0</v>
      </c>
      <c r="I1285" s="543">
        <f t="shared" si="64"/>
        <v>0</v>
      </c>
      <c r="J1285" s="543">
        <v>0</v>
      </c>
      <c r="K1285" s="543">
        <f t="shared" si="65"/>
        <v>0</v>
      </c>
      <c r="L1285" s="543">
        <v>0</v>
      </c>
      <c r="M1285" s="543">
        <f t="shared" si="66"/>
        <v>0</v>
      </c>
      <c r="N1285" s="543">
        <v>2</v>
      </c>
      <c r="O1285" s="543">
        <f t="shared" si="67"/>
        <v>400</v>
      </c>
    </row>
    <row r="1286" spans="1:15" ht="31.5">
      <c r="A1286" s="296">
        <v>63</v>
      </c>
      <c r="B1286" s="540"/>
      <c r="C1286" s="560" t="s">
        <v>1530</v>
      </c>
      <c r="D1286" s="561" t="s">
        <v>40</v>
      </c>
      <c r="E1286" s="562">
        <v>10000</v>
      </c>
      <c r="F1286" s="566">
        <v>1</v>
      </c>
      <c r="G1286" s="543">
        <f t="shared" si="63"/>
        <v>10000</v>
      </c>
      <c r="H1286" s="543">
        <v>0</v>
      </c>
      <c r="I1286" s="543">
        <f t="shared" si="64"/>
        <v>0</v>
      </c>
      <c r="J1286" s="543">
        <v>0</v>
      </c>
      <c r="K1286" s="543">
        <f t="shared" si="65"/>
        <v>0</v>
      </c>
      <c r="L1286" s="543">
        <v>0</v>
      </c>
      <c r="M1286" s="543">
        <f t="shared" si="66"/>
        <v>0</v>
      </c>
      <c r="N1286" s="543">
        <v>0</v>
      </c>
      <c r="O1286" s="543">
        <f t="shared" si="67"/>
        <v>0</v>
      </c>
    </row>
    <row r="1287" spans="1:15" ht="15.75">
      <c r="A1287" s="296">
        <v>64</v>
      </c>
      <c r="B1287" s="540"/>
      <c r="C1287" s="560" t="s">
        <v>19</v>
      </c>
      <c r="D1287" s="565" t="s">
        <v>40</v>
      </c>
      <c r="E1287" s="562">
        <v>18510.099999999999</v>
      </c>
      <c r="F1287" s="563" t="s">
        <v>1475</v>
      </c>
      <c r="G1287" s="543">
        <f t="shared" si="63"/>
        <v>92550.5</v>
      </c>
      <c r="H1287" s="543">
        <v>0</v>
      </c>
      <c r="I1287" s="543">
        <f t="shared" si="64"/>
        <v>0</v>
      </c>
      <c r="J1287" s="543">
        <v>0</v>
      </c>
      <c r="K1287" s="543">
        <f t="shared" si="65"/>
        <v>0</v>
      </c>
      <c r="L1287" s="543">
        <v>0</v>
      </c>
      <c r="M1287" s="543">
        <f t="shared" si="66"/>
        <v>0</v>
      </c>
      <c r="N1287" s="543">
        <v>0</v>
      </c>
      <c r="O1287" s="543">
        <f t="shared" si="67"/>
        <v>0</v>
      </c>
    </row>
    <row r="1288" spans="1:15" ht="15.75">
      <c r="A1288" s="296">
        <v>65</v>
      </c>
      <c r="B1288" s="540"/>
      <c r="C1288" s="564" t="s">
        <v>1531</v>
      </c>
      <c r="D1288" s="565" t="s">
        <v>40</v>
      </c>
      <c r="E1288" s="562">
        <v>879.63</v>
      </c>
      <c r="F1288" s="566">
        <v>6</v>
      </c>
      <c r="G1288" s="543">
        <f t="shared" si="63"/>
        <v>5277.78</v>
      </c>
      <c r="H1288" s="543">
        <v>0</v>
      </c>
      <c r="I1288" s="543">
        <f t="shared" si="64"/>
        <v>0</v>
      </c>
      <c r="J1288" s="543">
        <v>0</v>
      </c>
      <c r="K1288" s="543">
        <f t="shared" si="65"/>
        <v>0</v>
      </c>
      <c r="L1288" s="543">
        <v>0</v>
      </c>
      <c r="M1288" s="543">
        <f t="shared" si="66"/>
        <v>0</v>
      </c>
      <c r="N1288" s="543">
        <v>0</v>
      </c>
      <c r="O1288" s="543">
        <f t="shared" si="67"/>
        <v>0</v>
      </c>
    </row>
    <row r="1289" spans="1:15" ht="15.75">
      <c r="A1289" s="535"/>
      <c r="B1289" s="535"/>
      <c r="C1289" s="549" t="s">
        <v>1532</v>
      </c>
      <c r="D1289" s="53"/>
      <c r="E1289" s="53"/>
      <c r="F1289" s="53"/>
      <c r="G1289" s="543">
        <f t="shared" si="63"/>
        <v>0</v>
      </c>
      <c r="H1289" s="53"/>
      <c r="I1289" s="543">
        <f t="shared" si="64"/>
        <v>0</v>
      </c>
      <c r="J1289" s="53"/>
      <c r="K1289" s="543">
        <f t="shared" si="65"/>
        <v>0</v>
      </c>
      <c r="L1289" s="53"/>
      <c r="M1289" s="543">
        <f t="shared" si="66"/>
        <v>0</v>
      </c>
      <c r="N1289" s="53"/>
      <c r="O1289" s="543">
        <f t="shared" si="67"/>
        <v>0</v>
      </c>
    </row>
    <row r="1290" spans="1:15" ht="47.25">
      <c r="A1290" s="296">
        <v>66</v>
      </c>
      <c r="B1290" s="540"/>
      <c r="C1290" s="547" t="s">
        <v>1533</v>
      </c>
      <c r="D1290" s="542" t="s">
        <v>40</v>
      </c>
      <c r="E1290" s="543">
        <v>13614.33</v>
      </c>
      <c r="F1290" s="544">
        <v>1</v>
      </c>
      <c r="G1290" s="543">
        <f t="shared" si="63"/>
        <v>13614.33</v>
      </c>
      <c r="H1290" s="543">
        <v>0</v>
      </c>
      <c r="I1290" s="543">
        <f t="shared" si="64"/>
        <v>0</v>
      </c>
      <c r="J1290" s="543">
        <v>0</v>
      </c>
      <c r="K1290" s="543">
        <f t="shared" si="65"/>
        <v>0</v>
      </c>
      <c r="L1290" s="543">
        <v>0</v>
      </c>
      <c r="M1290" s="543">
        <f t="shared" si="66"/>
        <v>0</v>
      </c>
      <c r="N1290" s="543">
        <v>0</v>
      </c>
      <c r="O1290" s="543">
        <f t="shared" si="67"/>
        <v>0</v>
      </c>
    </row>
    <row r="1291" spans="1:15" ht="15.75">
      <c r="A1291" s="296">
        <v>67</v>
      </c>
      <c r="B1291" s="540"/>
      <c r="C1291" s="567" t="s">
        <v>1534</v>
      </c>
      <c r="D1291" s="551" t="s">
        <v>1535</v>
      </c>
      <c r="E1291" s="543">
        <v>73.16</v>
      </c>
      <c r="F1291" s="545">
        <v>1780</v>
      </c>
      <c r="G1291" s="543">
        <f t="shared" si="63"/>
        <v>130224.79999999999</v>
      </c>
      <c r="H1291" s="543">
        <v>0</v>
      </c>
      <c r="I1291" s="543">
        <f t="shared" si="64"/>
        <v>0</v>
      </c>
      <c r="J1291" s="543">
        <v>0</v>
      </c>
      <c r="K1291" s="543">
        <f t="shared" si="65"/>
        <v>0</v>
      </c>
      <c r="L1291" s="543">
        <v>0</v>
      </c>
      <c r="M1291" s="543">
        <f t="shared" si="66"/>
        <v>0</v>
      </c>
      <c r="N1291" s="543">
        <v>0</v>
      </c>
      <c r="O1291" s="543">
        <f t="shared" si="67"/>
        <v>0</v>
      </c>
    </row>
    <row r="1292" spans="1:15" ht="31.5">
      <c r="A1292" s="296">
        <v>68</v>
      </c>
      <c r="B1292" s="540"/>
      <c r="C1292" s="541" t="s">
        <v>1536</v>
      </c>
      <c r="D1292" s="542" t="s">
        <v>40</v>
      </c>
      <c r="E1292" s="543">
        <v>22643</v>
      </c>
      <c r="F1292" s="544">
        <v>1</v>
      </c>
      <c r="G1292" s="543">
        <f t="shared" si="63"/>
        <v>22643</v>
      </c>
      <c r="H1292" s="543">
        <v>0</v>
      </c>
      <c r="I1292" s="543">
        <f t="shared" si="64"/>
        <v>0</v>
      </c>
      <c r="J1292" s="543">
        <v>0</v>
      </c>
      <c r="K1292" s="543">
        <f t="shared" si="65"/>
        <v>0</v>
      </c>
      <c r="L1292" s="543">
        <v>0</v>
      </c>
      <c r="M1292" s="543">
        <f t="shared" si="66"/>
        <v>0</v>
      </c>
      <c r="N1292" s="543">
        <v>0</v>
      </c>
      <c r="O1292" s="543">
        <f t="shared" si="67"/>
        <v>0</v>
      </c>
    </row>
    <row r="1293" spans="1:15" ht="31.5">
      <c r="A1293" s="296">
        <v>69</v>
      </c>
      <c r="B1293" s="540"/>
      <c r="C1293" s="547" t="s">
        <v>1537</v>
      </c>
      <c r="D1293" s="551" t="s">
        <v>7</v>
      </c>
      <c r="E1293" s="568">
        <v>587.64</v>
      </c>
      <c r="F1293" s="545">
        <v>3</v>
      </c>
      <c r="G1293" s="543">
        <f t="shared" si="63"/>
        <v>1762.92</v>
      </c>
      <c r="H1293" s="543">
        <v>0</v>
      </c>
      <c r="I1293" s="543">
        <f t="shared" si="64"/>
        <v>0</v>
      </c>
      <c r="J1293" s="543">
        <v>0</v>
      </c>
      <c r="K1293" s="543">
        <f t="shared" si="65"/>
        <v>0</v>
      </c>
      <c r="L1293" s="543">
        <v>0</v>
      </c>
      <c r="M1293" s="543">
        <f t="shared" si="66"/>
        <v>0</v>
      </c>
      <c r="N1293" s="543">
        <v>0</v>
      </c>
      <c r="O1293" s="543">
        <f t="shared" si="67"/>
        <v>0</v>
      </c>
    </row>
    <row r="1294" spans="1:15" ht="15.75">
      <c r="A1294" s="296">
        <v>70</v>
      </c>
      <c r="B1294" s="540"/>
      <c r="C1294" s="547" t="s">
        <v>1538</v>
      </c>
      <c r="D1294" s="551" t="s">
        <v>7</v>
      </c>
      <c r="E1294" s="568">
        <v>703.28</v>
      </c>
      <c r="F1294" s="545">
        <v>51</v>
      </c>
      <c r="G1294" s="543">
        <f t="shared" si="63"/>
        <v>35867.279999999999</v>
      </c>
      <c r="H1294" s="543">
        <v>0</v>
      </c>
      <c r="I1294" s="543">
        <f t="shared" si="64"/>
        <v>0</v>
      </c>
      <c r="J1294" s="543">
        <v>0</v>
      </c>
      <c r="K1294" s="543">
        <f t="shared" si="65"/>
        <v>0</v>
      </c>
      <c r="L1294" s="543">
        <v>0</v>
      </c>
      <c r="M1294" s="543">
        <f t="shared" si="66"/>
        <v>0</v>
      </c>
      <c r="N1294" s="543">
        <v>0</v>
      </c>
      <c r="O1294" s="543">
        <f t="shared" si="67"/>
        <v>0</v>
      </c>
    </row>
    <row r="1295" spans="1:15" ht="15.75">
      <c r="A1295" s="296">
        <v>71</v>
      </c>
      <c r="B1295" s="540"/>
      <c r="C1295" s="567" t="s">
        <v>1539</v>
      </c>
      <c r="D1295" s="551" t="s">
        <v>62</v>
      </c>
      <c r="E1295" s="543">
        <v>9954</v>
      </c>
      <c r="F1295" s="544">
        <v>4</v>
      </c>
      <c r="G1295" s="543">
        <f t="shared" si="63"/>
        <v>39816</v>
      </c>
      <c r="H1295" s="543">
        <v>0</v>
      </c>
      <c r="I1295" s="543">
        <f t="shared" si="64"/>
        <v>0</v>
      </c>
      <c r="J1295" s="543">
        <v>0</v>
      </c>
      <c r="K1295" s="543">
        <f t="shared" si="65"/>
        <v>0</v>
      </c>
      <c r="L1295" s="543">
        <v>0</v>
      </c>
      <c r="M1295" s="543">
        <f t="shared" si="66"/>
        <v>0</v>
      </c>
      <c r="N1295" s="543">
        <v>0</v>
      </c>
      <c r="O1295" s="543">
        <f t="shared" si="67"/>
        <v>0</v>
      </c>
    </row>
    <row r="1296" spans="1:15" ht="47.25">
      <c r="A1296" s="296">
        <v>72</v>
      </c>
      <c r="B1296" s="540"/>
      <c r="C1296" s="560" t="s">
        <v>1540</v>
      </c>
      <c r="D1296" s="561" t="s">
        <v>40</v>
      </c>
      <c r="E1296" s="562">
        <v>1500</v>
      </c>
      <c r="F1296" s="566">
        <v>0</v>
      </c>
      <c r="G1296" s="543">
        <f t="shared" si="63"/>
        <v>0</v>
      </c>
      <c r="H1296" s="543">
        <v>0</v>
      </c>
      <c r="I1296" s="543">
        <f t="shared" si="64"/>
        <v>0</v>
      </c>
      <c r="J1296" s="543">
        <v>0</v>
      </c>
      <c r="K1296" s="543">
        <f t="shared" si="65"/>
        <v>0</v>
      </c>
      <c r="L1296" s="543">
        <v>0</v>
      </c>
      <c r="M1296" s="543">
        <f t="shared" si="66"/>
        <v>0</v>
      </c>
      <c r="N1296" s="543">
        <v>9</v>
      </c>
      <c r="O1296" s="543">
        <f t="shared" si="67"/>
        <v>13500</v>
      </c>
    </row>
    <row r="1297" spans="1:15" ht="31.5">
      <c r="A1297" s="296">
        <v>73</v>
      </c>
      <c r="B1297" s="540"/>
      <c r="C1297" s="547" t="s">
        <v>1541</v>
      </c>
      <c r="D1297" s="551" t="s">
        <v>40</v>
      </c>
      <c r="E1297" s="543">
        <v>37878</v>
      </c>
      <c r="F1297" s="545">
        <v>2</v>
      </c>
      <c r="G1297" s="543">
        <f t="shared" si="63"/>
        <v>75756</v>
      </c>
      <c r="H1297" s="543">
        <v>0</v>
      </c>
      <c r="I1297" s="543">
        <f t="shared" si="64"/>
        <v>0</v>
      </c>
      <c r="J1297" s="543">
        <v>0</v>
      </c>
      <c r="K1297" s="543">
        <f t="shared" si="65"/>
        <v>0</v>
      </c>
      <c r="L1297" s="543">
        <v>0</v>
      </c>
      <c r="M1297" s="543">
        <f t="shared" si="66"/>
        <v>0</v>
      </c>
      <c r="N1297" s="543">
        <v>0</v>
      </c>
      <c r="O1297" s="543">
        <f t="shared" si="67"/>
        <v>0</v>
      </c>
    </row>
    <row r="1298" spans="1:15" ht="15.75">
      <c r="A1298" s="296">
        <v>74</v>
      </c>
      <c r="B1298" s="540"/>
      <c r="C1298" s="541" t="s">
        <v>1542</v>
      </c>
      <c r="D1298" s="542" t="s">
        <v>1543</v>
      </c>
      <c r="E1298" s="543">
        <v>13</v>
      </c>
      <c r="F1298" s="544">
        <v>385.5</v>
      </c>
      <c r="G1298" s="543">
        <f t="shared" si="63"/>
        <v>5011.5</v>
      </c>
      <c r="H1298" s="543">
        <v>0</v>
      </c>
      <c r="I1298" s="543">
        <f t="shared" si="64"/>
        <v>0</v>
      </c>
      <c r="J1298" s="543">
        <v>0</v>
      </c>
      <c r="K1298" s="543">
        <f t="shared" si="65"/>
        <v>0</v>
      </c>
      <c r="L1298" s="543">
        <v>0</v>
      </c>
      <c r="M1298" s="543">
        <f t="shared" si="66"/>
        <v>0</v>
      </c>
      <c r="N1298" s="543">
        <v>0</v>
      </c>
      <c r="O1298" s="543">
        <f t="shared" si="67"/>
        <v>0</v>
      </c>
    </row>
    <row r="1299" spans="1:15" ht="15.75">
      <c r="A1299" s="53"/>
      <c r="B1299" s="53"/>
      <c r="C1299" s="53"/>
      <c r="D1299" s="53"/>
      <c r="E1299" s="53"/>
      <c r="F1299" s="53"/>
      <c r="G1299" s="569"/>
      <c r="H1299" s="53"/>
      <c r="I1299" s="569"/>
      <c r="J1299" s="53"/>
      <c r="K1299" s="53"/>
      <c r="L1299" s="53"/>
      <c r="M1299" s="53"/>
      <c r="N1299" s="53"/>
      <c r="O1299" s="53"/>
    </row>
    <row r="1300" spans="1:15" ht="15.75">
      <c r="A1300" s="53"/>
      <c r="B1300" s="53"/>
      <c r="C1300" s="53"/>
      <c r="D1300" s="53"/>
      <c r="E1300" s="53"/>
      <c r="F1300" s="53"/>
      <c r="G1300" s="53"/>
      <c r="H1300" s="53"/>
      <c r="I1300" s="53"/>
      <c r="J1300" s="53"/>
      <c r="K1300" s="53"/>
      <c r="L1300" s="53"/>
      <c r="M1300" s="53"/>
      <c r="N1300" s="53"/>
      <c r="O1300" s="53"/>
    </row>
    <row r="1301" spans="1:15" ht="31.5">
      <c r="A1301" s="296">
        <v>75</v>
      </c>
      <c r="B1301" s="540"/>
      <c r="C1301" s="541" t="s">
        <v>1544</v>
      </c>
      <c r="D1301" s="542" t="s">
        <v>1545</v>
      </c>
      <c r="E1301" s="543">
        <v>20</v>
      </c>
      <c r="F1301" s="545">
        <v>255</v>
      </c>
      <c r="G1301" s="543">
        <f t="shared" si="63"/>
        <v>5100</v>
      </c>
      <c r="H1301" s="543">
        <v>0</v>
      </c>
      <c r="I1301" s="543">
        <f t="shared" si="64"/>
        <v>0</v>
      </c>
      <c r="J1301" s="543">
        <v>0</v>
      </c>
      <c r="K1301" s="543">
        <f t="shared" si="65"/>
        <v>0</v>
      </c>
      <c r="L1301" s="543">
        <v>0</v>
      </c>
      <c r="M1301" s="543">
        <f t="shared" si="66"/>
        <v>0</v>
      </c>
      <c r="N1301" s="543">
        <v>0</v>
      </c>
      <c r="O1301" s="543">
        <f t="shared" si="67"/>
        <v>0</v>
      </c>
    </row>
    <row r="1302" spans="1:15" ht="15.75">
      <c r="A1302" s="296">
        <v>76</v>
      </c>
      <c r="B1302" s="540"/>
      <c r="C1302" s="541" t="s">
        <v>1546</v>
      </c>
      <c r="D1302" s="542" t="s">
        <v>40</v>
      </c>
      <c r="E1302" s="543">
        <v>500</v>
      </c>
      <c r="F1302" s="544">
        <v>2</v>
      </c>
      <c r="G1302" s="543">
        <f t="shared" si="63"/>
        <v>1000</v>
      </c>
      <c r="H1302" s="543">
        <v>0</v>
      </c>
      <c r="I1302" s="543">
        <f t="shared" si="64"/>
        <v>0</v>
      </c>
      <c r="J1302" s="543">
        <v>0</v>
      </c>
      <c r="K1302" s="543">
        <f t="shared" si="65"/>
        <v>0</v>
      </c>
      <c r="L1302" s="543">
        <v>0</v>
      </c>
      <c r="M1302" s="543">
        <f t="shared" si="66"/>
        <v>0</v>
      </c>
      <c r="N1302" s="543">
        <v>0</v>
      </c>
      <c r="O1302" s="543">
        <f t="shared" si="67"/>
        <v>0</v>
      </c>
    </row>
    <row r="1303" spans="1:15" ht="31.5">
      <c r="A1303" s="296">
        <v>77</v>
      </c>
      <c r="B1303" s="540"/>
      <c r="C1303" s="541" t="s">
        <v>1547</v>
      </c>
      <c r="D1303" s="551" t="s">
        <v>324</v>
      </c>
      <c r="E1303" s="543">
        <v>15.32</v>
      </c>
      <c r="F1303" s="544">
        <v>1500</v>
      </c>
      <c r="G1303" s="543">
        <f t="shared" si="63"/>
        <v>22980</v>
      </c>
      <c r="H1303" s="543">
        <v>0</v>
      </c>
      <c r="I1303" s="543">
        <f t="shared" si="64"/>
        <v>0</v>
      </c>
      <c r="J1303" s="543">
        <v>0</v>
      </c>
      <c r="K1303" s="543">
        <f t="shared" si="65"/>
        <v>0</v>
      </c>
      <c r="L1303" s="543">
        <v>0</v>
      </c>
      <c r="M1303" s="543">
        <f t="shared" si="66"/>
        <v>0</v>
      </c>
      <c r="N1303" s="543">
        <v>0</v>
      </c>
      <c r="O1303" s="543">
        <f t="shared" si="67"/>
        <v>0</v>
      </c>
    </row>
    <row r="1304" spans="1:15" ht="15.75">
      <c r="A1304" s="296">
        <v>78</v>
      </c>
      <c r="B1304" s="540"/>
      <c r="C1304" s="541" t="s">
        <v>1548</v>
      </c>
      <c r="D1304" s="551" t="s">
        <v>40</v>
      </c>
      <c r="E1304" s="543">
        <v>418.82</v>
      </c>
      <c r="F1304" s="544">
        <v>5</v>
      </c>
      <c r="G1304" s="543">
        <f t="shared" si="63"/>
        <v>2094.1</v>
      </c>
      <c r="H1304" s="543">
        <v>0</v>
      </c>
      <c r="I1304" s="543">
        <f t="shared" si="64"/>
        <v>0</v>
      </c>
      <c r="J1304" s="543">
        <v>0</v>
      </c>
      <c r="K1304" s="543">
        <f t="shared" si="65"/>
        <v>0</v>
      </c>
      <c r="L1304" s="543">
        <v>0</v>
      </c>
      <c r="M1304" s="543">
        <f t="shared" si="66"/>
        <v>0</v>
      </c>
      <c r="N1304" s="543">
        <v>0</v>
      </c>
      <c r="O1304" s="543">
        <f t="shared" si="67"/>
        <v>0</v>
      </c>
    </row>
    <row r="1305" spans="1:15" ht="31.5">
      <c r="A1305" s="296">
        <v>79</v>
      </c>
      <c r="B1305" s="540"/>
      <c r="C1305" s="564" t="s">
        <v>1549</v>
      </c>
      <c r="D1305" s="565" t="s">
        <v>40</v>
      </c>
      <c r="E1305" s="562">
        <v>75000</v>
      </c>
      <c r="F1305" s="563" t="s">
        <v>1494</v>
      </c>
      <c r="G1305" s="543">
        <f t="shared" si="63"/>
        <v>300000</v>
      </c>
      <c r="H1305" s="543">
        <v>0</v>
      </c>
      <c r="I1305" s="543">
        <f t="shared" si="64"/>
        <v>0</v>
      </c>
      <c r="J1305" s="543">
        <v>0</v>
      </c>
      <c r="K1305" s="543">
        <f t="shared" si="65"/>
        <v>0</v>
      </c>
      <c r="L1305" s="543">
        <v>0</v>
      </c>
      <c r="M1305" s="543">
        <f t="shared" si="66"/>
        <v>0</v>
      </c>
      <c r="N1305" s="543">
        <v>0</v>
      </c>
      <c r="O1305" s="543">
        <f t="shared" si="67"/>
        <v>0</v>
      </c>
    </row>
    <row r="1306" spans="1:15" ht="47.25">
      <c r="A1306" s="296">
        <v>80</v>
      </c>
      <c r="B1306" s="540"/>
      <c r="C1306" s="564" t="s">
        <v>1550</v>
      </c>
      <c r="D1306" s="565" t="s">
        <v>40</v>
      </c>
      <c r="E1306" s="562">
        <v>15000</v>
      </c>
      <c r="F1306" s="563" t="s">
        <v>1448</v>
      </c>
      <c r="G1306" s="543">
        <f t="shared" si="63"/>
        <v>45000</v>
      </c>
      <c r="H1306" s="543">
        <v>0</v>
      </c>
      <c r="I1306" s="543">
        <f t="shared" si="64"/>
        <v>0</v>
      </c>
      <c r="J1306" s="543"/>
      <c r="K1306" s="543">
        <f t="shared" si="65"/>
        <v>0</v>
      </c>
      <c r="L1306" s="543"/>
      <c r="M1306" s="543">
        <f t="shared" si="66"/>
        <v>0</v>
      </c>
      <c r="N1306" s="543"/>
      <c r="O1306" s="543">
        <f t="shared" si="67"/>
        <v>0</v>
      </c>
    </row>
    <row r="1307" spans="1:15" ht="47.25">
      <c r="A1307" s="296">
        <v>81</v>
      </c>
      <c r="B1307" s="540"/>
      <c r="C1307" s="564" t="s">
        <v>1551</v>
      </c>
      <c r="D1307" s="565" t="s">
        <v>40</v>
      </c>
      <c r="E1307" s="562">
        <v>10000</v>
      </c>
      <c r="F1307" s="563">
        <v>1</v>
      </c>
      <c r="G1307" s="543">
        <f t="shared" si="63"/>
        <v>10000</v>
      </c>
      <c r="H1307" s="543">
        <v>0</v>
      </c>
      <c r="I1307" s="543">
        <f t="shared" si="64"/>
        <v>0</v>
      </c>
      <c r="J1307" s="543">
        <v>0</v>
      </c>
      <c r="K1307" s="543">
        <f t="shared" si="65"/>
        <v>0</v>
      </c>
      <c r="L1307" s="543">
        <v>0</v>
      </c>
      <c r="M1307" s="543">
        <f t="shared" si="66"/>
        <v>0</v>
      </c>
      <c r="N1307" s="543">
        <v>0</v>
      </c>
      <c r="O1307" s="543">
        <f t="shared" si="67"/>
        <v>0</v>
      </c>
    </row>
    <row r="1308" spans="1:15" ht="31.5">
      <c r="A1308" s="296">
        <v>82</v>
      </c>
      <c r="B1308" s="540"/>
      <c r="C1308" s="541" t="s">
        <v>1552</v>
      </c>
      <c r="D1308" s="542" t="s">
        <v>40</v>
      </c>
      <c r="E1308" s="543">
        <v>2000</v>
      </c>
      <c r="F1308" s="544">
        <v>2</v>
      </c>
      <c r="G1308" s="543">
        <f t="shared" si="63"/>
        <v>4000</v>
      </c>
      <c r="H1308" s="543">
        <v>0</v>
      </c>
      <c r="I1308" s="543">
        <f t="shared" si="64"/>
        <v>0</v>
      </c>
      <c r="J1308" s="543">
        <v>0</v>
      </c>
      <c r="K1308" s="543">
        <f t="shared" si="65"/>
        <v>0</v>
      </c>
      <c r="L1308" s="543">
        <v>0</v>
      </c>
      <c r="M1308" s="543">
        <f t="shared" si="66"/>
        <v>0</v>
      </c>
      <c r="N1308" s="543">
        <v>0</v>
      </c>
      <c r="O1308" s="543">
        <f t="shared" si="67"/>
        <v>0</v>
      </c>
    </row>
    <row r="1309" spans="1:15" ht="15.75">
      <c r="A1309" s="296">
        <v>83</v>
      </c>
      <c r="B1309" s="540"/>
      <c r="C1309" s="564" t="s">
        <v>1553</v>
      </c>
      <c r="D1309" s="565" t="s">
        <v>40</v>
      </c>
      <c r="E1309" s="562">
        <v>250</v>
      </c>
      <c r="F1309" s="563">
        <v>0</v>
      </c>
      <c r="G1309" s="543">
        <f t="shared" si="63"/>
        <v>0</v>
      </c>
      <c r="H1309" s="543">
        <v>0</v>
      </c>
      <c r="I1309" s="543">
        <f t="shared" si="64"/>
        <v>0</v>
      </c>
      <c r="J1309" s="543">
        <v>0</v>
      </c>
      <c r="K1309" s="543">
        <f t="shared" si="65"/>
        <v>0</v>
      </c>
      <c r="L1309" s="543">
        <v>0</v>
      </c>
      <c r="M1309" s="543">
        <f t="shared" si="66"/>
        <v>0</v>
      </c>
      <c r="N1309" s="543">
        <v>32</v>
      </c>
      <c r="O1309" s="543">
        <f t="shared" si="67"/>
        <v>8000</v>
      </c>
    </row>
    <row r="1310" spans="1:15" ht="47.25">
      <c r="A1310" s="296">
        <v>84</v>
      </c>
      <c r="B1310" s="540"/>
      <c r="C1310" s="564" t="s">
        <v>1554</v>
      </c>
      <c r="D1310" s="565" t="s">
        <v>246</v>
      </c>
      <c r="E1310" s="562">
        <v>5000</v>
      </c>
      <c r="F1310" s="563" t="s">
        <v>1509</v>
      </c>
      <c r="G1310" s="543">
        <f t="shared" si="63"/>
        <v>0</v>
      </c>
      <c r="H1310" s="543">
        <v>0</v>
      </c>
      <c r="I1310" s="543">
        <f t="shared" si="64"/>
        <v>0</v>
      </c>
      <c r="J1310" s="543">
        <v>0</v>
      </c>
      <c r="K1310" s="543">
        <f t="shared" si="65"/>
        <v>0</v>
      </c>
      <c r="L1310" s="543">
        <v>0</v>
      </c>
      <c r="M1310" s="543">
        <f t="shared" si="66"/>
        <v>0</v>
      </c>
      <c r="N1310" s="543">
        <v>1</v>
      </c>
      <c r="O1310" s="543">
        <f t="shared" si="67"/>
        <v>5000</v>
      </c>
    </row>
    <row r="1311" spans="1:15" ht="31.5">
      <c r="A1311" s="296">
        <v>85</v>
      </c>
      <c r="B1311" s="540"/>
      <c r="C1311" s="564" t="s">
        <v>1555</v>
      </c>
      <c r="D1311" s="565" t="s">
        <v>62</v>
      </c>
      <c r="E1311" s="562">
        <v>1000</v>
      </c>
      <c r="F1311" s="563" t="s">
        <v>1509</v>
      </c>
      <c r="G1311" s="543">
        <f t="shared" si="63"/>
        <v>0</v>
      </c>
      <c r="H1311" s="543">
        <v>0</v>
      </c>
      <c r="I1311" s="543">
        <f t="shared" si="64"/>
        <v>0</v>
      </c>
      <c r="J1311" s="543">
        <v>0</v>
      </c>
      <c r="K1311" s="543">
        <f t="shared" si="65"/>
        <v>0</v>
      </c>
      <c r="L1311" s="543">
        <v>0</v>
      </c>
      <c r="M1311" s="543">
        <f t="shared" si="66"/>
        <v>0</v>
      </c>
      <c r="N1311" s="543">
        <v>6</v>
      </c>
      <c r="O1311" s="543">
        <f t="shared" si="67"/>
        <v>6000</v>
      </c>
    </row>
    <row r="1312" spans="1:15" ht="31.5">
      <c r="A1312" s="296">
        <v>86</v>
      </c>
      <c r="B1312" s="540"/>
      <c r="C1312" s="554" t="s">
        <v>1556</v>
      </c>
      <c r="D1312" s="542" t="s">
        <v>324</v>
      </c>
      <c r="E1312" s="543">
        <v>40</v>
      </c>
      <c r="F1312" s="544" t="s">
        <v>1557</v>
      </c>
      <c r="G1312" s="543">
        <f>F1312*E1312</f>
        <v>6480</v>
      </c>
      <c r="H1312" s="543">
        <v>0</v>
      </c>
      <c r="I1312" s="543">
        <f>H1312*E1312</f>
        <v>0</v>
      </c>
      <c r="J1312" s="543">
        <v>0</v>
      </c>
      <c r="K1312" s="543">
        <f>E1312*J1312</f>
        <v>0</v>
      </c>
      <c r="L1312" s="543">
        <v>0</v>
      </c>
      <c r="M1312" s="543">
        <f>E1312*L1312</f>
        <v>0</v>
      </c>
      <c r="N1312" s="543">
        <v>0</v>
      </c>
      <c r="O1312" s="543">
        <f>N1312*E1312</f>
        <v>0</v>
      </c>
    </row>
    <row r="1313" spans="1:15" ht="47.25">
      <c r="A1313" s="296">
        <v>87</v>
      </c>
      <c r="B1313" s="540"/>
      <c r="C1313" s="570" t="s">
        <v>1558</v>
      </c>
      <c r="D1313" s="542" t="s">
        <v>1559</v>
      </c>
      <c r="E1313" s="543">
        <v>15000</v>
      </c>
      <c r="F1313" s="544" t="s">
        <v>1560</v>
      </c>
      <c r="G1313" s="543">
        <f>F1313*E1313</f>
        <v>11745</v>
      </c>
      <c r="H1313" s="543">
        <v>0</v>
      </c>
      <c r="I1313" s="543">
        <f>H1313*E1313</f>
        <v>0</v>
      </c>
      <c r="J1313" s="543">
        <v>0</v>
      </c>
      <c r="K1313" s="543">
        <f>E1313*J1313</f>
        <v>0</v>
      </c>
      <c r="L1313" s="543">
        <v>0</v>
      </c>
      <c r="M1313" s="543">
        <f>E1313*L1313</f>
        <v>0</v>
      </c>
      <c r="N1313" s="543">
        <v>0</v>
      </c>
      <c r="O1313" s="543">
        <f>N1313*E1313</f>
        <v>0</v>
      </c>
    </row>
    <row r="1314" spans="1:15" ht="31.5">
      <c r="A1314" s="296">
        <v>88</v>
      </c>
      <c r="B1314" s="540"/>
      <c r="C1314" s="554" t="s">
        <v>1561</v>
      </c>
      <c r="D1314" s="551" t="s">
        <v>324</v>
      </c>
      <c r="E1314" s="543">
        <v>40</v>
      </c>
      <c r="F1314" s="544">
        <v>50</v>
      </c>
      <c r="G1314" s="543">
        <f>F1314*E1314</f>
        <v>2000</v>
      </c>
      <c r="H1314" s="543">
        <v>0</v>
      </c>
      <c r="I1314" s="543">
        <f>H1314*E1314</f>
        <v>0</v>
      </c>
      <c r="J1314" s="543">
        <v>0</v>
      </c>
      <c r="K1314" s="543">
        <f>E1314*J1314</f>
        <v>0</v>
      </c>
      <c r="L1314" s="543">
        <v>0</v>
      </c>
      <c r="M1314" s="543">
        <f>E1314*L1314</f>
        <v>0</v>
      </c>
      <c r="N1314" s="543">
        <v>0</v>
      </c>
      <c r="O1314" s="543">
        <f>N1314*E1314</f>
        <v>0</v>
      </c>
    </row>
    <row r="1315" spans="1:15" ht="15.75">
      <c r="A1315" s="571"/>
      <c r="B1315" s="572"/>
      <c r="C1315" s="573"/>
      <c r="D1315" s="574"/>
      <c r="E1315" s="575"/>
      <c r="F1315" s="576"/>
      <c r="G1315" s="577">
        <f>SUM(G1216:G1314)</f>
        <v>3049074.3599999994</v>
      </c>
      <c r="H1315" s="575"/>
      <c r="I1315" s="575">
        <f>SUM(I1216:I1314)</f>
        <v>0</v>
      </c>
      <c r="J1315" s="575"/>
      <c r="K1315" s="575">
        <f>SUM(K1216:K1314)</f>
        <v>0</v>
      </c>
      <c r="L1315" s="575"/>
      <c r="M1315" s="575">
        <f>SUM(M1216:M1314)</f>
        <v>0</v>
      </c>
      <c r="N1315" s="575"/>
      <c r="O1315" s="575">
        <f>SUM(O1216:O1314)</f>
        <v>73910</v>
      </c>
    </row>
    <row r="1316" spans="1:15" ht="15.75">
      <c r="A1316" s="571"/>
      <c r="B1316" s="572"/>
      <c r="C1316" s="573"/>
      <c r="D1316" s="574"/>
      <c r="E1316" s="575"/>
      <c r="F1316" s="576"/>
      <c r="G1316" s="575"/>
      <c r="H1316" s="575"/>
      <c r="I1316" s="575"/>
      <c r="J1316" s="575"/>
      <c r="K1316" s="575"/>
      <c r="L1316" s="575"/>
      <c r="M1316" s="575"/>
      <c r="N1316" s="575"/>
      <c r="O1316" s="575"/>
    </row>
    <row r="1317" spans="1:15" ht="15.75">
      <c r="A1317" s="1325" t="s">
        <v>1430</v>
      </c>
      <c r="B1317" s="1325"/>
      <c r="C1317" s="531" t="s">
        <v>1431</v>
      </c>
      <c r="D1317" s="1326" t="s">
        <v>1562</v>
      </c>
      <c r="E1317" s="1326"/>
      <c r="F1317" s="1326"/>
      <c r="G1317" s="1326"/>
      <c r="H1317" s="1326"/>
      <c r="I1317" s="1326"/>
      <c r="J1317" s="1326"/>
      <c r="K1317" s="1326"/>
      <c r="L1317" s="1326"/>
      <c r="M1317" s="1326"/>
      <c r="N1317" s="1326"/>
      <c r="O1317" s="1326"/>
    </row>
    <row r="1318" spans="1:15" ht="15.75">
      <c r="A1318" s="1325" t="s">
        <v>1433</v>
      </c>
      <c r="B1318" s="1325"/>
      <c r="C1318" s="531" t="s">
        <v>1434</v>
      </c>
      <c r="D1318" s="1326"/>
      <c r="E1318" s="1326"/>
      <c r="F1318" s="1326"/>
      <c r="G1318" s="1326"/>
      <c r="H1318" s="1326"/>
      <c r="I1318" s="1326"/>
      <c r="J1318" s="1326"/>
      <c r="K1318" s="1326"/>
      <c r="L1318" s="1326"/>
      <c r="M1318" s="1326"/>
      <c r="N1318" s="1326"/>
      <c r="O1318" s="1326"/>
    </row>
    <row r="1319" spans="1:15" ht="15.75">
      <c r="A1319" s="1327" t="s">
        <v>1302</v>
      </c>
      <c r="B1319" s="1327" t="s">
        <v>1435</v>
      </c>
      <c r="C1319" s="1328" t="s">
        <v>1436</v>
      </c>
      <c r="D1319" s="1329" t="s">
        <v>1437</v>
      </c>
      <c r="E1319" s="1330" t="s">
        <v>113</v>
      </c>
      <c r="F1319" s="1325" t="s">
        <v>114</v>
      </c>
      <c r="G1319" s="1325"/>
      <c r="H1319" s="1325" t="s">
        <v>115</v>
      </c>
      <c r="I1319" s="1325"/>
      <c r="J1319" s="1325" t="s">
        <v>116</v>
      </c>
      <c r="K1319" s="1325"/>
      <c r="L1319" s="1325" t="s">
        <v>1</v>
      </c>
      <c r="M1319" s="1325"/>
      <c r="N1319" s="1325" t="s">
        <v>0</v>
      </c>
      <c r="O1319" s="1325"/>
    </row>
    <row r="1320" spans="1:15" ht="47.25">
      <c r="A1320" s="1327"/>
      <c r="B1320" s="1327"/>
      <c r="C1320" s="1328"/>
      <c r="D1320" s="1329"/>
      <c r="E1320" s="1331"/>
      <c r="F1320" s="532" t="s">
        <v>118</v>
      </c>
      <c r="G1320" s="533" t="s">
        <v>119</v>
      </c>
      <c r="H1320" s="532" t="s">
        <v>118</v>
      </c>
      <c r="I1320" s="532" t="s">
        <v>119</v>
      </c>
      <c r="J1320" s="532" t="s">
        <v>118</v>
      </c>
      <c r="K1320" s="532" t="s">
        <v>119</v>
      </c>
      <c r="L1320" s="532" t="s">
        <v>118</v>
      </c>
      <c r="M1320" s="532" t="s">
        <v>119</v>
      </c>
      <c r="N1320" s="532" t="s">
        <v>118</v>
      </c>
      <c r="O1320" s="532" t="s">
        <v>119</v>
      </c>
    </row>
    <row r="1321" spans="1:15" ht="31.5">
      <c r="A1321" s="296">
        <v>1</v>
      </c>
      <c r="B1321" s="540"/>
      <c r="C1321" s="578" t="s">
        <v>1563</v>
      </c>
      <c r="D1321" s="527" t="s">
        <v>40</v>
      </c>
      <c r="E1321" s="558">
        <v>1350</v>
      </c>
      <c r="F1321" s="579" t="s">
        <v>1483</v>
      </c>
      <c r="G1321" s="543">
        <f>E1321*F1321</f>
        <v>13500</v>
      </c>
      <c r="H1321" s="543">
        <v>0</v>
      </c>
      <c r="I1321" s="543">
        <f>H1321*E1321</f>
        <v>0</v>
      </c>
      <c r="J1321" s="543">
        <v>0</v>
      </c>
      <c r="K1321" s="543">
        <f>E1321*J1321</f>
        <v>0</v>
      </c>
      <c r="L1321" s="543">
        <v>0</v>
      </c>
      <c r="M1321" s="543">
        <f>E1321*L1321</f>
        <v>0</v>
      </c>
      <c r="N1321" s="543">
        <v>0</v>
      </c>
      <c r="O1321" s="543">
        <f>N1321*E1321</f>
        <v>0</v>
      </c>
    </row>
    <row r="1322" spans="1:15" ht="31.5">
      <c r="A1322" s="296">
        <v>2</v>
      </c>
      <c r="B1322" s="540"/>
      <c r="C1322" s="578" t="s">
        <v>1564</v>
      </c>
      <c r="D1322" s="527" t="s">
        <v>40</v>
      </c>
      <c r="E1322" s="558">
        <v>500</v>
      </c>
      <c r="F1322" s="579">
        <v>13</v>
      </c>
      <c r="G1322" s="543">
        <f t="shared" ref="G1322:G1377" si="68">E1322*F1322</f>
        <v>6500</v>
      </c>
      <c r="H1322" s="543">
        <v>0</v>
      </c>
      <c r="I1322" s="543">
        <f t="shared" ref="I1322:I1377" si="69">H1322*E1322</f>
        <v>0</v>
      </c>
      <c r="J1322" s="543">
        <v>0</v>
      </c>
      <c r="K1322" s="543">
        <f t="shared" ref="K1322:K1377" si="70">E1322*J1322</f>
        <v>0</v>
      </c>
      <c r="L1322" s="543">
        <v>0</v>
      </c>
      <c r="M1322" s="543">
        <f t="shared" ref="M1322:M1377" si="71">E1322*L1322</f>
        <v>0</v>
      </c>
      <c r="N1322" s="543">
        <v>0</v>
      </c>
      <c r="O1322" s="543">
        <f t="shared" ref="O1322:O1377" si="72">N1322*E1322</f>
        <v>0</v>
      </c>
    </row>
    <row r="1323" spans="1:15" ht="31.5">
      <c r="A1323" s="296">
        <v>3</v>
      </c>
      <c r="B1323" s="540"/>
      <c r="C1323" s="578" t="s">
        <v>1565</v>
      </c>
      <c r="D1323" s="527" t="s">
        <v>40</v>
      </c>
      <c r="E1323" s="558">
        <v>600</v>
      </c>
      <c r="F1323" s="580" t="s">
        <v>1566</v>
      </c>
      <c r="G1323" s="543">
        <f t="shared" si="68"/>
        <v>55800</v>
      </c>
      <c r="H1323" s="543">
        <v>0</v>
      </c>
      <c r="I1323" s="543">
        <f t="shared" si="69"/>
        <v>0</v>
      </c>
      <c r="J1323" s="543">
        <v>0</v>
      </c>
      <c r="K1323" s="543">
        <f t="shared" si="70"/>
        <v>0</v>
      </c>
      <c r="L1323" s="543">
        <v>0</v>
      </c>
      <c r="M1323" s="543">
        <f t="shared" si="71"/>
        <v>0</v>
      </c>
      <c r="N1323" s="543">
        <v>0</v>
      </c>
      <c r="O1323" s="543">
        <f t="shared" si="72"/>
        <v>0</v>
      </c>
    </row>
    <row r="1324" spans="1:15" ht="31.5">
      <c r="A1324" s="296">
        <v>4</v>
      </c>
      <c r="B1324" s="540"/>
      <c r="C1324" s="578" t="s">
        <v>412</v>
      </c>
      <c r="D1324" s="527" t="s">
        <v>1559</v>
      </c>
      <c r="E1324" s="558">
        <v>118000</v>
      </c>
      <c r="F1324" s="581">
        <v>1.327</v>
      </c>
      <c r="G1324" s="543">
        <f t="shared" si="68"/>
        <v>156586</v>
      </c>
      <c r="H1324" s="543">
        <v>0</v>
      </c>
      <c r="I1324" s="543">
        <f t="shared" si="69"/>
        <v>0</v>
      </c>
      <c r="J1324" s="543">
        <v>0</v>
      </c>
      <c r="K1324" s="543">
        <f t="shared" si="70"/>
        <v>0</v>
      </c>
      <c r="L1324" s="543">
        <v>0</v>
      </c>
      <c r="M1324" s="543">
        <f t="shared" si="71"/>
        <v>0</v>
      </c>
      <c r="N1324" s="543">
        <v>0</v>
      </c>
      <c r="O1324" s="543">
        <f t="shared" si="72"/>
        <v>0</v>
      </c>
    </row>
    <row r="1325" spans="1:15" ht="15.75">
      <c r="A1325" s="296">
        <v>5</v>
      </c>
      <c r="B1325" s="540"/>
      <c r="C1325" s="578" t="s">
        <v>1567</v>
      </c>
      <c r="D1325" s="527" t="s">
        <v>40</v>
      </c>
      <c r="E1325" s="558">
        <v>250</v>
      </c>
      <c r="F1325" s="559">
        <v>30</v>
      </c>
      <c r="G1325" s="543">
        <f t="shared" si="68"/>
        <v>7500</v>
      </c>
      <c r="H1325" s="543">
        <v>0</v>
      </c>
      <c r="I1325" s="543">
        <f t="shared" si="69"/>
        <v>0</v>
      </c>
      <c r="J1325" s="543">
        <v>0</v>
      </c>
      <c r="K1325" s="543">
        <f t="shared" si="70"/>
        <v>0</v>
      </c>
      <c r="L1325" s="543">
        <v>0</v>
      </c>
      <c r="M1325" s="543">
        <f t="shared" si="71"/>
        <v>0</v>
      </c>
      <c r="N1325" s="543">
        <v>0</v>
      </c>
      <c r="O1325" s="543">
        <f t="shared" si="72"/>
        <v>0</v>
      </c>
    </row>
    <row r="1326" spans="1:15" ht="15.75">
      <c r="A1326" s="296">
        <v>6</v>
      </c>
      <c r="B1326" s="540"/>
      <c r="C1326" s="578" t="s">
        <v>1568</v>
      </c>
      <c r="D1326" s="527" t="s">
        <v>40</v>
      </c>
      <c r="E1326" s="558">
        <v>250</v>
      </c>
      <c r="F1326" s="579">
        <v>175</v>
      </c>
      <c r="G1326" s="543">
        <f t="shared" si="68"/>
        <v>43750</v>
      </c>
      <c r="H1326" s="543">
        <v>0</v>
      </c>
      <c r="I1326" s="543">
        <f t="shared" si="69"/>
        <v>0</v>
      </c>
      <c r="J1326" s="543">
        <v>0</v>
      </c>
      <c r="K1326" s="543">
        <f t="shared" si="70"/>
        <v>0</v>
      </c>
      <c r="L1326" s="543">
        <v>0</v>
      </c>
      <c r="M1326" s="543">
        <f t="shared" si="71"/>
        <v>0</v>
      </c>
      <c r="N1326" s="543">
        <v>0</v>
      </c>
      <c r="O1326" s="543">
        <f t="shared" si="72"/>
        <v>0</v>
      </c>
    </row>
    <row r="1327" spans="1:15" ht="47.25">
      <c r="A1327" s="296">
        <v>7</v>
      </c>
      <c r="B1327" s="540"/>
      <c r="C1327" s="582" t="s">
        <v>1569</v>
      </c>
      <c r="D1327" s="527" t="s">
        <v>37</v>
      </c>
      <c r="E1327" s="558">
        <v>863.2</v>
      </c>
      <c r="F1327" s="579">
        <v>1</v>
      </c>
      <c r="G1327" s="543">
        <f t="shared" si="68"/>
        <v>863.2</v>
      </c>
      <c r="H1327" s="543">
        <v>0</v>
      </c>
      <c r="I1327" s="543">
        <f t="shared" si="69"/>
        <v>0</v>
      </c>
      <c r="J1327" s="543">
        <v>0</v>
      </c>
      <c r="K1327" s="543">
        <f t="shared" si="70"/>
        <v>0</v>
      </c>
      <c r="L1327" s="543">
        <v>0</v>
      </c>
      <c r="M1327" s="543">
        <f t="shared" si="71"/>
        <v>0</v>
      </c>
      <c r="N1327" s="543">
        <v>0</v>
      </c>
      <c r="O1327" s="543">
        <f t="shared" si="72"/>
        <v>0</v>
      </c>
    </row>
    <row r="1328" spans="1:15" ht="31.5">
      <c r="A1328" s="296">
        <v>8</v>
      </c>
      <c r="B1328" s="540"/>
      <c r="C1328" s="578" t="s">
        <v>1570</v>
      </c>
      <c r="D1328" s="527" t="s">
        <v>40</v>
      </c>
      <c r="E1328" s="558">
        <v>900</v>
      </c>
      <c r="F1328" s="579">
        <v>3</v>
      </c>
      <c r="G1328" s="543">
        <f t="shared" si="68"/>
        <v>2700</v>
      </c>
      <c r="H1328" s="543">
        <v>0</v>
      </c>
      <c r="I1328" s="543">
        <f t="shared" si="69"/>
        <v>0</v>
      </c>
      <c r="J1328" s="543">
        <v>0</v>
      </c>
      <c r="K1328" s="543">
        <f t="shared" si="70"/>
        <v>0</v>
      </c>
      <c r="L1328" s="543">
        <v>0</v>
      </c>
      <c r="M1328" s="543">
        <f t="shared" si="71"/>
        <v>0</v>
      </c>
      <c r="N1328" s="543">
        <v>0</v>
      </c>
      <c r="O1328" s="543">
        <f t="shared" si="72"/>
        <v>0</v>
      </c>
    </row>
    <row r="1329" spans="1:15" ht="15.75">
      <c r="A1329" s="296">
        <v>9</v>
      </c>
      <c r="B1329" s="540"/>
      <c r="C1329" s="578" t="s">
        <v>1571</v>
      </c>
      <c r="D1329" s="527" t="s">
        <v>40</v>
      </c>
      <c r="E1329" s="558">
        <v>80</v>
      </c>
      <c r="F1329" s="579">
        <v>6</v>
      </c>
      <c r="G1329" s="543">
        <f t="shared" si="68"/>
        <v>480</v>
      </c>
      <c r="H1329" s="543">
        <v>0</v>
      </c>
      <c r="I1329" s="543">
        <f t="shared" si="69"/>
        <v>0</v>
      </c>
      <c r="J1329" s="543">
        <v>0</v>
      </c>
      <c r="K1329" s="543">
        <f t="shared" si="70"/>
        <v>0</v>
      </c>
      <c r="L1329" s="543">
        <v>0</v>
      </c>
      <c r="M1329" s="543">
        <f t="shared" si="71"/>
        <v>0</v>
      </c>
      <c r="N1329" s="543">
        <v>0</v>
      </c>
      <c r="O1329" s="543">
        <f t="shared" si="72"/>
        <v>0</v>
      </c>
    </row>
    <row r="1330" spans="1:15" ht="31.5">
      <c r="A1330" s="296">
        <v>10</v>
      </c>
      <c r="B1330" s="540"/>
      <c r="C1330" s="578" t="s">
        <v>1572</v>
      </c>
      <c r="D1330" s="528" t="s">
        <v>5</v>
      </c>
      <c r="E1330" s="558">
        <v>1350</v>
      </c>
      <c r="F1330" s="579">
        <v>6</v>
      </c>
      <c r="G1330" s="543">
        <f t="shared" si="68"/>
        <v>8100</v>
      </c>
      <c r="H1330" s="543">
        <v>0</v>
      </c>
      <c r="I1330" s="543">
        <f t="shared" si="69"/>
        <v>0</v>
      </c>
      <c r="J1330" s="543">
        <v>0</v>
      </c>
      <c r="K1330" s="543">
        <f t="shared" si="70"/>
        <v>0</v>
      </c>
      <c r="L1330" s="543">
        <v>0</v>
      </c>
      <c r="M1330" s="543">
        <f t="shared" si="71"/>
        <v>0</v>
      </c>
      <c r="N1330" s="543">
        <v>0</v>
      </c>
      <c r="O1330" s="543">
        <f t="shared" si="72"/>
        <v>0</v>
      </c>
    </row>
    <row r="1331" spans="1:15" ht="47.25">
      <c r="A1331" s="296">
        <v>11</v>
      </c>
      <c r="B1331" s="540"/>
      <c r="C1331" s="578" t="s">
        <v>1573</v>
      </c>
      <c r="D1331" s="527" t="s">
        <v>40</v>
      </c>
      <c r="E1331" s="558">
        <v>2252.9699999999998</v>
      </c>
      <c r="F1331" s="579">
        <v>22</v>
      </c>
      <c r="G1331" s="543">
        <f t="shared" si="68"/>
        <v>49565.34</v>
      </c>
      <c r="H1331" s="543">
        <v>0</v>
      </c>
      <c r="I1331" s="543">
        <f t="shared" si="69"/>
        <v>0</v>
      </c>
      <c r="J1331" s="543">
        <v>0</v>
      </c>
      <c r="K1331" s="543">
        <f t="shared" si="70"/>
        <v>0</v>
      </c>
      <c r="L1331" s="543">
        <v>0</v>
      </c>
      <c r="M1331" s="543">
        <f t="shared" si="71"/>
        <v>0</v>
      </c>
      <c r="N1331" s="543">
        <v>0</v>
      </c>
      <c r="O1331" s="543">
        <f t="shared" si="72"/>
        <v>0</v>
      </c>
    </row>
    <row r="1332" spans="1:15" ht="78.75">
      <c r="A1332" s="296">
        <v>12</v>
      </c>
      <c r="B1332" s="540"/>
      <c r="C1332" s="578" t="s">
        <v>1574</v>
      </c>
      <c r="D1332" s="527" t="s">
        <v>40</v>
      </c>
      <c r="E1332" s="558">
        <v>15.89</v>
      </c>
      <c r="F1332" s="559">
        <v>205</v>
      </c>
      <c r="G1332" s="543">
        <f t="shared" si="68"/>
        <v>3257.4500000000003</v>
      </c>
      <c r="H1332" s="543">
        <v>0</v>
      </c>
      <c r="I1332" s="543">
        <f t="shared" si="69"/>
        <v>0</v>
      </c>
      <c r="J1332" s="543">
        <v>0</v>
      </c>
      <c r="K1332" s="543">
        <f t="shared" si="70"/>
        <v>0</v>
      </c>
      <c r="L1332" s="543">
        <v>0</v>
      </c>
      <c r="M1332" s="543">
        <f t="shared" si="71"/>
        <v>0</v>
      </c>
      <c r="N1332" s="543">
        <v>0</v>
      </c>
      <c r="O1332" s="543">
        <f t="shared" si="72"/>
        <v>0</v>
      </c>
    </row>
    <row r="1333" spans="1:15" ht="78.75">
      <c r="A1333" s="296">
        <v>13</v>
      </c>
      <c r="B1333" s="540"/>
      <c r="C1333" s="578" t="s">
        <v>1575</v>
      </c>
      <c r="D1333" s="527" t="s">
        <v>40</v>
      </c>
      <c r="E1333" s="558">
        <v>21</v>
      </c>
      <c r="F1333" s="579">
        <v>480</v>
      </c>
      <c r="G1333" s="543">
        <f t="shared" si="68"/>
        <v>10080</v>
      </c>
      <c r="H1333" s="543">
        <v>0</v>
      </c>
      <c r="I1333" s="543">
        <f t="shared" si="69"/>
        <v>0</v>
      </c>
      <c r="J1333" s="543">
        <v>0</v>
      </c>
      <c r="K1333" s="543">
        <f t="shared" si="70"/>
        <v>0</v>
      </c>
      <c r="L1333" s="543">
        <v>0</v>
      </c>
      <c r="M1333" s="543">
        <f t="shared" si="71"/>
        <v>0</v>
      </c>
      <c r="N1333" s="543">
        <v>0</v>
      </c>
      <c r="O1333" s="543">
        <f t="shared" si="72"/>
        <v>0</v>
      </c>
    </row>
    <row r="1334" spans="1:15" ht="78.75">
      <c r="A1334" s="296">
        <v>14</v>
      </c>
      <c r="B1334" s="540"/>
      <c r="C1334" s="578" t="s">
        <v>1576</v>
      </c>
      <c r="D1334" s="527" t="s">
        <v>40</v>
      </c>
      <c r="E1334" s="558">
        <v>21</v>
      </c>
      <c r="F1334" s="579">
        <v>404</v>
      </c>
      <c r="G1334" s="543">
        <f t="shared" si="68"/>
        <v>8484</v>
      </c>
      <c r="H1334" s="543">
        <v>0</v>
      </c>
      <c r="I1334" s="543">
        <f t="shared" si="69"/>
        <v>0</v>
      </c>
      <c r="J1334" s="543">
        <v>0</v>
      </c>
      <c r="K1334" s="543">
        <f t="shared" si="70"/>
        <v>0</v>
      </c>
      <c r="L1334" s="543">
        <v>0</v>
      </c>
      <c r="M1334" s="543">
        <f t="shared" si="71"/>
        <v>0</v>
      </c>
      <c r="N1334" s="543">
        <v>0</v>
      </c>
      <c r="O1334" s="543">
        <f t="shared" si="72"/>
        <v>0</v>
      </c>
    </row>
    <row r="1335" spans="1:15" ht="78.75">
      <c r="A1335" s="296">
        <v>15</v>
      </c>
      <c r="B1335" s="540"/>
      <c r="C1335" s="578" t="s">
        <v>1577</v>
      </c>
      <c r="D1335" s="527" t="s">
        <v>40</v>
      </c>
      <c r="E1335" s="558">
        <v>25.54</v>
      </c>
      <c r="F1335" s="559">
        <v>756</v>
      </c>
      <c r="G1335" s="543">
        <f t="shared" si="68"/>
        <v>19308.239999999998</v>
      </c>
      <c r="H1335" s="543">
        <v>0</v>
      </c>
      <c r="I1335" s="543">
        <f t="shared" si="69"/>
        <v>0</v>
      </c>
      <c r="J1335" s="543">
        <v>0</v>
      </c>
      <c r="K1335" s="543">
        <f t="shared" si="70"/>
        <v>0</v>
      </c>
      <c r="L1335" s="543">
        <v>0</v>
      </c>
      <c r="M1335" s="543">
        <f t="shared" si="71"/>
        <v>0</v>
      </c>
      <c r="N1335" s="543">
        <v>0</v>
      </c>
      <c r="O1335" s="543">
        <f t="shared" si="72"/>
        <v>0</v>
      </c>
    </row>
    <row r="1336" spans="1:15" ht="47.25">
      <c r="A1336" s="296">
        <v>16</v>
      </c>
      <c r="B1336" s="540"/>
      <c r="C1336" s="583" t="s">
        <v>1578</v>
      </c>
      <c r="D1336" s="527" t="s">
        <v>4</v>
      </c>
      <c r="E1336" s="558">
        <v>108393.25</v>
      </c>
      <c r="F1336" s="559">
        <v>0.17019999999999999</v>
      </c>
      <c r="G1336" s="543">
        <f t="shared" si="68"/>
        <v>18448.531149999999</v>
      </c>
      <c r="H1336" s="543">
        <v>0</v>
      </c>
      <c r="I1336" s="543">
        <f t="shared" si="69"/>
        <v>0</v>
      </c>
      <c r="J1336" s="543">
        <v>0</v>
      </c>
      <c r="K1336" s="543">
        <f t="shared" si="70"/>
        <v>0</v>
      </c>
      <c r="L1336" s="543">
        <v>0</v>
      </c>
      <c r="M1336" s="543">
        <f t="shared" si="71"/>
        <v>0</v>
      </c>
      <c r="N1336" s="543">
        <v>0</v>
      </c>
      <c r="O1336" s="543">
        <f t="shared" si="72"/>
        <v>0</v>
      </c>
    </row>
    <row r="1337" spans="1:15" ht="47.25">
      <c r="A1337" s="296">
        <v>17</v>
      </c>
      <c r="B1337" s="540"/>
      <c r="C1337" s="578" t="s">
        <v>1579</v>
      </c>
      <c r="D1337" s="527" t="s">
        <v>40</v>
      </c>
      <c r="E1337" s="558">
        <v>1077.3</v>
      </c>
      <c r="F1337" s="579">
        <v>2</v>
      </c>
      <c r="G1337" s="543">
        <f t="shared" si="68"/>
        <v>2154.6</v>
      </c>
      <c r="H1337" s="543">
        <v>0</v>
      </c>
      <c r="I1337" s="543">
        <f t="shared" si="69"/>
        <v>0</v>
      </c>
      <c r="J1337" s="543">
        <v>0</v>
      </c>
      <c r="K1337" s="543">
        <f t="shared" si="70"/>
        <v>0</v>
      </c>
      <c r="L1337" s="543">
        <v>0</v>
      </c>
      <c r="M1337" s="543">
        <f t="shared" si="71"/>
        <v>0</v>
      </c>
      <c r="N1337" s="543">
        <v>0</v>
      </c>
      <c r="O1337" s="543">
        <f t="shared" si="72"/>
        <v>0</v>
      </c>
    </row>
    <row r="1338" spans="1:15" ht="78.75">
      <c r="A1338" s="296">
        <v>18</v>
      </c>
      <c r="B1338" s="540"/>
      <c r="C1338" s="578" t="s">
        <v>1580</v>
      </c>
      <c r="D1338" s="527" t="s">
        <v>40</v>
      </c>
      <c r="E1338" s="558">
        <v>5448</v>
      </c>
      <c r="F1338" s="559">
        <v>2</v>
      </c>
      <c r="G1338" s="543">
        <f t="shared" si="68"/>
        <v>10896</v>
      </c>
      <c r="H1338" s="543">
        <v>0</v>
      </c>
      <c r="I1338" s="543">
        <f t="shared" si="69"/>
        <v>0</v>
      </c>
      <c r="J1338" s="543">
        <v>0</v>
      </c>
      <c r="K1338" s="543">
        <f t="shared" si="70"/>
        <v>0</v>
      </c>
      <c r="L1338" s="543">
        <v>0</v>
      </c>
      <c r="M1338" s="543">
        <f t="shared" si="71"/>
        <v>0</v>
      </c>
      <c r="N1338" s="543">
        <v>0</v>
      </c>
      <c r="O1338" s="543">
        <f t="shared" si="72"/>
        <v>0</v>
      </c>
    </row>
    <row r="1339" spans="1:15" ht="47.25">
      <c r="A1339" s="296">
        <v>19</v>
      </c>
      <c r="B1339" s="540"/>
      <c r="C1339" s="584" t="s">
        <v>1581</v>
      </c>
      <c r="D1339" s="527" t="s">
        <v>40</v>
      </c>
      <c r="E1339" s="558">
        <v>1362</v>
      </c>
      <c r="F1339" s="579">
        <v>10</v>
      </c>
      <c r="G1339" s="543">
        <f t="shared" si="68"/>
        <v>13620</v>
      </c>
      <c r="H1339" s="543">
        <v>0</v>
      </c>
      <c r="I1339" s="543">
        <f t="shared" si="69"/>
        <v>0</v>
      </c>
      <c r="J1339" s="543">
        <v>0</v>
      </c>
      <c r="K1339" s="543">
        <f t="shared" si="70"/>
        <v>0</v>
      </c>
      <c r="L1339" s="543">
        <v>0</v>
      </c>
      <c r="M1339" s="543">
        <f t="shared" si="71"/>
        <v>0</v>
      </c>
      <c r="N1339" s="543">
        <v>0</v>
      </c>
      <c r="O1339" s="543">
        <f t="shared" si="72"/>
        <v>0</v>
      </c>
    </row>
    <row r="1340" spans="1:15" ht="47.25">
      <c r="A1340" s="296">
        <v>20</v>
      </c>
      <c r="B1340" s="540"/>
      <c r="C1340" s="578" t="s">
        <v>1582</v>
      </c>
      <c r="D1340" s="527" t="s">
        <v>40</v>
      </c>
      <c r="E1340" s="558">
        <v>283.75</v>
      </c>
      <c r="F1340" s="559">
        <v>18</v>
      </c>
      <c r="G1340" s="543">
        <f t="shared" si="68"/>
        <v>5107.5</v>
      </c>
      <c r="H1340" s="543">
        <v>0</v>
      </c>
      <c r="I1340" s="543">
        <f t="shared" si="69"/>
        <v>0</v>
      </c>
      <c r="J1340" s="543">
        <v>0</v>
      </c>
      <c r="K1340" s="543">
        <f t="shared" si="70"/>
        <v>0</v>
      </c>
      <c r="L1340" s="543">
        <v>0</v>
      </c>
      <c r="M1340" s="543">
        <f t="shared" si="71"/>
        <v>0</v>
      </c>
      <c r="N1340" s="543">
        <v>0</v>
      </c>
      <c r="O1340" s="543">
        <f t="shared" si="72"/>
        <v>0</v>
      </c>
    </row>
    <row r="1341" spans="1:15" ht="31.5">
      <c r="A1341" s="296">
        <v>21</v>
      </c>
      <c r="B1341" s="540"/>
      <c r="C1341" s="583" t="s">
        <v>1583</v>
      </c>
      <c r="D1341" s="528" t="s">
        <v>40</v>
      </c>
      <c r="E1341" s="558">
        <v>3286.3</v>
      </c>
      <c r="F1341" s="579">
        <v>35</v>
      </c>
      <c r="G1341" s="543">
        <f t="shared" si="68"/>
        <v>115020.5</v>
      </c>
      <c r="H1341" s="543">
        <v>0</v>
      </c>
      <c r="I1341" s="543">
        <f t="shared" si="69"/>
        <v>0</v>
      </c>
      <c r="J1341" s="543">
        <v>0</v>
      </c>
      <c r="K1341" s="543">
        <f t="shared" si="70"/>
        <v>0</v>
      </c>
      <c r="L1341" s="543">
        <v>0</v>
      </c>
      <c r="M1341" s="543">
        <f t="shared" si="71"/>
        <v>0</v>
      </c>
      <c r="N1341" s="543">
        <v>0</v>
      </c>
      <c r="O1341" s="543">
        <f t="shared" si="72"/>
        <v>0</v>
      </c>
    </row>
    <row r="1342" spans="1:15" ht="31.5">
      <c r="A1342" s="296">
        <v>22</v>
      </c>
      <c r="B1342" s="540"/>
      <c r="C1342" s="578" t="s">
        <v>1584</v>
      </c>
      <c r="D1342" s="527" t="s">
        <v>1585</v>
      </c>
      <c r="E1342" s="558">
        <v>29841</v>
      </c>
      <c r="F1342" s="579">
        <v>5.2590000000000003</v>
      </c>
      <c r="G1342" s="543">
        <f t="shared" si="68"/>
        <v>156933.81900000002</v>
      </c>
      <c r="H1342" s="543">
        <v>0</v>
      </c>
      <c r="I1342" s="543">
        <f t="shared" si="69"/>
        <v>0</v>
      </c>
      <c r="J1342" s="543">
        <v>0</v>
      </c>
      <c r="K1342" s="543">
        <f t="shared" si="70"/>
        <v>0</v>
      </c>
      <c r="L1342" s="543">
        <v>0</v>
      </c>
      <c r="M1342" s="543">
        <f t="shared" si="71"/>
        <v>0</v>
      </c>
      <c r="N1342" s="543">
        <v>0</v>
      </c>
      <c r="O1342" s="543">
        <f t="shared" si="72"/>
        <v>0</v>
      </c>
    </row>
    <row r="1343" spans="1:15" ht="31.5">
      <c r="A1343" s="296">
        <v>23</v>
      </c>
      <c r="B1343" s="540"/>
      <c r="C1343" s="578" t="s">
        <v>1586</v>
      </c>
      <c r="D1343" s="527" t="s">
        <v>1585</v>
      </c>
      <c r="E1343" s="558">
        <v>29841</v>
      </c>
      <c r="F1343" s="579">
        <v>1.42</v>
      </c>
      <c r="G1343" s="543">
        <f t="shared" si="68"/>
        <v>42374.22</v>
      </c>
      <c r="H1343" s="543">
        <v>0</v>
      </c>
      <c r="I1343" s="543">
        <f t="shared" si="69"/>
        <v>0</v>
      </c>
      <c r="J1343" s="543">
        <v>0</v>
      </c>
      <c r="K1343" s="543">
        <f t="shared" si="70"/>
        <v>0</v>
      </c>
      <c r="L1343" s="543">
        <v>0</v>
      </c>
      <c r="M1343" s="543">
        <f t="shared" si="71"/>
        <v>0</v>
      </c>
      <c r="N1343" s="543">
        <v>0</v>
      </c>
      <c r="O1343" s="543">
        <f t="shared" si="72"/>
        <v>0</v>
      </c>
    </row>
    <row r="1344" spans="1:15" ht="31.5">
      <c r="A1344" s="296">
        <v>24</v>
      </c>
      <c r="B1344" s="540"/>
      <c r="C1344" s="578" t="s">
        <v>1587</v>
      </c>
      <c r="D1344" s="527" t="s">
        <v>1585</v>
      </c>
      <c r="E1344" s="558">
        <v>29841</v>
      </c>
      <c r="F1344" s="579">
        <v>0.46</v>
      </c>
      <c r="G1344" s="543">
        <f t="shared" si="68"/>
        <v>13726.86</v>
      </c>
      <c r="H1344" s="543">
        <v>0</v>
      </c>
      <c r="I1344" s="543">
        <f t="shared" si="69"/>
        <v>0</v>
      </c>
      <c r="J1344" s="543">
        <v>0</v>
      </c>
      <c r="K1344" s="543">
        <f t="shared" si="70"/>
        <v>0</v>
      </c>
      <c r="L1344" s="543">
        <v>0</v>
      </c>
      <c r="M1344" s="543">
        <f t="shared" si="71"/>
        <v>0</v>
      </c>
      <c r="N1344" s="543">
        <v>0</v>
      </c>
      <c r="O1344" s="543">
        <f t="shared" si="72"/>
        <v>0</v>
      </c>
    </row>
    <row r="1345" spans="1:15" ht="33.75">
      <c r="A1345" s="296">
        <v>25</v>
      </c>
      <c r="B1345" s="540"/>
      <c r="C1345" s="578" t="s">
        <v>1622</v>
      </c>
      <c r="D1345" s="527" t="s">
        <v>1585</v>
      </c>
      <c r="E1345" s="558">
        <v>29841</v>
      </c>
      <c r="F1345" s="579">
        <v>0.44500000000000001</v>
      </c>
      <c r="G1345" s="543">
        <f t="shared" si="68"/>
        <v>13279.245000000001</v>
      </c>
      <c r="H1345" s="543">
        <v>0</v>
      </c>
      <c r="I1345" s="543">
        <f t="shared" si="69"/>
        <v>0</v>
      </c>
      <c r="J1345" s="543">
        <v>0</v>
      </c>
      <c r="K1345" s="543">
        <f t="shared" si="70"/>
        <v>0</v>
      </c>
      <c r="L1345" s="543">
        <v>0</v>
      </c>
      <c r="M1345" s="543">
        <f t="shared" si="71"/>
        <v>0</v>
      </c>
      <c r="N1345" s="543">
        <v>0</v>
      </c>
      <c r="O1345" s="543">
        <f t="shared" si="72"/>
        <v>0</v>
      </c>
    </row>
    <row r="1346" spans="1:15" ht="31.5">
      <c r="A1346" s="296">
        <v>26</v>
      </c>
      <c r="B1346" s="540"/>
      <c r="C1346" s="578" t="s">
        <v>1588</v>
      </c>
      <c r="D1346" s="527" t="s">
        <v>1585</v>
      </c>
      <c r="E1346" s="558">
        <v>29841</v>
      </c>
      <c r="F1346" s="579">
        <v>0.82299999999999995</v>
      </c>
      <c r="G1346" s="543">
        <f t="shared" si="68"/>
        <v>24559.143</v>
      </c>
      <c r="H1346" s="543">
        <v>0</v>
      </c>
      <c r="I1346" s="543">
        <f t="shared" si="69"/>
        <v>0</v>
      </c>
      <c r="J1346" s="543">
        <v>0</v>
      </c>
      <c r="K1346" s="543">
        <f t="shared" si="70"/>
        <v>0</v>
      </c>
      <c r="L1346" s="543">
        <v>0</v>
      </c>
      <c r="M1346" s="543">
        <f t="shared" si="71"/>
        <v>0</v>
      </c>
      <c r="N1346" s="543">
        <v>0</v>
      </c>
      <c r="O1346" s="543">
        <f t="shared" si="72"/>
        <v>0</v>
      </c>
    </row>
    <row r="1347" spans="1:15" ht="31.5">
      <c r="A1347" s="296">
        <v>27</v>
      </c>
      <c r="B1347" s="540"/>
      <c r="C1347" s="578" t="s">
        <v>1589</v>
      </c>
      <c r="D1347" s="527" t="s">
        <v>1585</v>
      </c>
      <c r="E1347" s="558">
        <v>29493</v>
      </c>
      <c r="F1347" s="579" t="s">
        <v>1590</v>
      </c>
      <c r="G1347" s="543">
        <f t="shared" si="68"/>
        <v>71461.539000000004</v>
      </c>
      <c r="H1347" s="543">
        <v>0</v>
      </c>
      <c r="I1347" s="543">
        <f t="shared" si="69"/>
        <v>0</v>
      </c>
      <c r="J1347" s="543">
        <v>0</v>
      </c>
      <c r="K1347" s="543">
        <f t="shared" si="70"/>
        <v>0</v>
      </c>
      <c r="L1347" s="543">
        <v>0</v>
      </c>
      <c r="M1347" s="543">
        <f t="shared" si="71"/>
        <v>0</v>
      </c>
      <c r="N1347" s="543">
        <v>0</v>
      </c>
      <c r="O1347" s="543">
        <f t="shared" si="72"/>
        <v>0</v>
      </c>
    </row>
    <row r="1348" spans="1:15" ht="31.5">
      <c r="A1348" s="296">
        <v>28</v>
      </c>
      <c r="B1348" s="540"/>
      <c r="C1348" s="578" t="s">
        <v>1591</v>
      </c>
      <c r="D1348" s="527" t="s">
        <v>1543</v>
      </c>
      <c r="E1348" s="558">
        <v>12</v>
      </c>
      <c r="F1348" s="579">
        <v>88.024000000000001</v>
      </c>
      <c r="G1348" s="543">
        <f t="shared" si="68"/>
        <v>1056.288</v>
      </c>
      <c r="H1348" s="543">
        <v>0</v>
      </c>
      <c r="I1348" s="543">
        <f t="shared" si="69"/>
        <v>0</v>
      </c>
      <c r="J1348" s="543">
        <v>0</v>
      </c>
      <c r="K1348" s="543">
        <f t="shared" si="70"/>
        <v>0</v>
      </c>
      <c r="L1348" s="543">
        <v>0</v>
      </c>
      <c r="M1348" s="543">
        <f t="shared" si="71"/>
        <v>0</v>
      </c>
      <c r="N1348" s="543">
        <v>0</v>
      </c>
      <c r="O1348" s="543">
        <f t="shared" si="72"/>
        <v>0</v>
      </c>
    </row>
    <row r="1349" spans="1:15" ht="31.5">
      <c r="A1349" s="296">
        <v>29</v>
      </c>
      <c r="B1349" s="540"/>
      <c r="C1349" s="578" t="s">
        <v>1623</v>
      </c>
      <c r="D1349" s="527" t="s">
        <v>1543</v>
      </c>
      <c r="E1349" s="558">
        <v>16</v>
      </c>
      <c r="F1349" s="579">
        <v>33</v>
      </c>
      <c r="G1349" s="543">
        <f t="shared" si="68"/>
        <v>528</v>
      </c>
      <c r="H1349" s="543">
        <v>0</v>
      </c>
      <c r="I1349" s="543">
        <f t="shared" si="69"/>
        <v>0</v>
      </c>
      <c r="J1349" s="543">
        <v>0</v>
      </c>
      <c r="K1349" s="543">
        <f t="shared" si="70"/>
        <v>0</v>
      </c>
      <c r="L1349" s="543">
        <v>0</v>
      </c>
      <c r="M1349" s="543">
        <f t="shared" si="71"/>
        <v>0</v>
      </c>
      <c r="N1349" s="543">
        <v>0</v>
      </c>
      <c r="O1349" s="543">
        <f t="shared" si="72"/>
        <v>0</v>
      </c>
    </row>
    <row r="1350" spans="1:15" ht="31.5">
      <c r="A1350" s="296">
        <v>30</v>
      </c>
      <c r="B1350" s="540"/>
      <c r="C1350" s="578" t="s">
        <v>1592</v>
      </c>
      <c r="D1350" s="528" t="s">
        <v>1585</v>
      </c>
      <c r="E1350" s="558">
        <v>80756.58</v>
      </c>
      <c r="F1350" s="579">
        <v>0.52459999999999996</v>
      </c>
      <c r="G1350" s="543">
        <f t="shared" si="68"/>
        <v>42364.901868000001</v>
      </c>
      <c r="H1350" s="543">
        <v>0</v>
      </c>
      <c r="I1350" s="543">
        <f t="shared" si="69"/>
        <v>0</v>
      </c>
      <c r="J1350" s="543">
        <v>0</v>
      </c>
      <c r="K1350" s="543">
        <f t="shared" si="70"/>
        <v>0</v>
      </c>
      <c r="L1350" s="543">
        <v>0</v>
      </c>
      <c r="M1350" s="543">
        <f t="shared" si="71"/>
        <v>0</v>
      </c>
      <c r="N1350" s="543">
        <v>0</v>
      </c>
      <c r="O1350" s="543">
        <f t="shared" si="72"/>
        <v>0</v>
      </c>
    </row>
    <row r="1351" spans="1:15" ht="31.5">
      <c r="A1351" s="296">
        <v>31</v>
      </c>
      <c r="B1351" s="540"/>
      <c r="C1351" s="578" t="s">
        <v>1593</v>
      </c>
      <c r="D1351" s="528" t="s">
        <v>1585</v>
      </c>
      <c r="E1351" s="558">
        <v>80756.58</v>
      </c>
      <c r="F1351" s="579">
        <v>0.33950000000000002</v>
      </c>
      <c r="G1351" s="543">
        <f t="shared" si="68"/>
        <v>27416.858910000003</v>
      </c>
      <c r="H1351" s="543">
        <v>0</v>
      </c>
      <c r="I1351" s="543">
        <f t="shared" si="69"/>
        <v>0</v>
      </c>
      <c r="J1351" s="543">
        <v>0</v>
      </c>
      <c r="K1351" s="543">
        <f t="shared" si="70"/>
        <v>0</v>
      </c>
      <c r="L1351" s="543">
        <v>0</v>
      </c>
      <c r="M1351" s="543">
        <f t="shared" si="71"/>
        <v>0</v>
      </c>
      <c r="N1351" s="543">
        <v>0</v>
      </c>
      <c r="O1351" s="543">
        <f t="shared" si="72"/>
        <v>0</v>
      </c>
    </row>
    <row r="1352" spans="1:15" ht="31.5">
      <c r="A1352" s="296">
        <v>32</v>
      </c>
      <c r="B1352" s="540"/>
      <c r="C1352" s="578" t="s">
        <v>1594</v>
      </c>
      <c r="D1352" s="528" t="s">
        <v>1585</v>
      </c>
      <c r="E1352" s="558">
        <v>80756.58</v>
      </c>
      <c r="F1352" s="579">
        <v>0.73829999999999996</v>
      </c>
      <c r="G1352" s="543">
        <f t="shared" si="68"/>
        <v>59622.583013999996</v>
      </c>
      <c r="H1352" s="543">
        <v>0</v>
      </c>
      <c r="I1352" s="543">
        <f t="shared" si="69"/>
        <v>0</v>
      </c>
      <c r="J1352" s="543">
        <v>0</v>
      </c>
      <c r="K1352" s="543">
        <f t="shared" si="70"/>
        <v>0</v>
      </c>
      <c r="L1352" s="543">
        <v>0</v>
      </c>
      <c r="M1352" s="543">
        <f t="shared" si="71"/>
        <v>0</v>
      </c>
      <c r="N1352" s="543">
        <v>0</v>
      </c>
      <c r="O1352" s="543">
        <f t="shared" si="72"/>
        <v>0</v>
      </c>
    </row>
    <row r="1353" spans="1:15" ht="31.5">
      <c r="A1353" s="296">
        <v>33</v>
      </c>
      <c r="B1353" s="540"/>
      <c r="C1353" s="578" t="s">
        <v>1595</v>
      </c>
      <c r="D1353" s="528" t="s">
        <v>1585</v>
      </c>
      <c r="E1353" s="558">
        <v>80756.58</v>
      </c>
      <c r="F1353" s="579">
        <v>7.4800000000000005E-2</v>
      </c>
      <c r="G1353" s="543">
        <f t="shared" si="68"/>
        <v>6040.592184000001</v>
      </c>
      <c r="H1353" s="543">
        <v>0</v>
      </c>
      <c r="I1353" s="543">
        <f t="shared" si="69"/>
        <v>0</v>
      </c>
      <c r="J1353" s="543">
        <v>0</v>
      </c>
      <c r="K1353" s="543">
        <f t="shared" si="70"/>
        <v>0</v>
      </c>
      <c r="L1353" s="543">
        <v>0</v>
      </c>
      <c r="M1353" s="543">
        <f t="shared" si="71"/>
        <v>0</v>
      </c>
      <c r="N1353" s="543">
        <v>0</v>
      </c>
      <c r="O1353" s="543">
        <f t="shared" si="72"/>
        <v>0</v>
      </c>
    </row>
    <row r="1354" spans="1:15" ht="31.5">
      <c r="A1354" s="296">
        <v>34</v>
      </c>
      <c r="B1354" s="540"/>
      <c r="C1354" s="578" t="s">
        <v>1596</v>
      </c>
      <c r="D1354" s="529" t="s">
        <v>7</v>
      </c>
      <c r="E1354" s="558">
        <v>5</v>
      </c>
      <c r="F1354" s="579" t="s">
        <v>1597</v>
      </c>
      <c r="G1354" s="543">
        <f t="shared" si="68"/>
        <v>51200</v>
      </c>
      <c r="H1354" s="543">
        <v>0</v>
      </c>
      <c r="I1354" s="543">
        <f t="shared" si="69"/>
        <v>0</v>
      </c>
      <c r="J1354" s="543">
        <v>0</v>
      </c>
      <c r="K1354" s="543">
        <f t="shared" si="70"/>
        <v>0</v>
      </c>
      <c r="L1354" s="543">
        <v>0</v>
      </c>
      <c r="M1354" s="543">
        <f t="shared" si="71"/>
        <v>0</v>
      </c>
      <c r="N1354" s="543">
        <v>0</v>
      </c>
      <c r="O1354" s="543">
        <f t="shared" si="72"/>
        <v>0</v>
      </c>
    </row>
    <row r="1355" spans="1:15" ht="31.5">
      <c r="A1355" s="296">
        <v>35</v>
      </c>
      <c r="B1355" s="540"/>
      <c r="C1355" s="578" t="s">
        <v>1598</v>
      </c>
      <c r="D1355" s="527" t="s">
        <v>40</v>
      </c>
      <c r="E1355" s="558">
        <v>10.92</v>
      </c>
      <c r="F1355" s="559">
        <v>815</v>
      </c>
      <c r="G1355" s="543">
        <f t="shared" si="68"/>
        <v>8899.7999999999993</v>
      </c>
      <c r="H1355" s="543">
        <v>0</v>
      </c>
      <c r="I1355" s="543">
        <f t="shared" si="69"/>
        <v>0</v>
      </c>
      <c r="J1355" s="543">
        <v>0</v>
      </c>
      <c r="K1355" s="543">
        <f t="shared" si="70"/>
        <v>0</v>
      </c>
      <c r="L1355" s="543">
        <v>0</v>
      </c>
      <c r="M1355" s="543">
        <f t="shared" si="71"/>
        <v>0</v>
      </c>
      <c r="N1355" s="543">
        <v>0</v>
      </c>
      <c r="O1355" s="543">
        <f t="shared" si="72"/>
        <v>0</v>
      </c>
    </row>
    <row r="1356" spans="1:15" ht="31.5">
      <c r="A1356" s="296">
        <v>36</v>
      </c>
      <c r="B1356" s="540"/>
      <c r="C1356" s="578" t="s">
        <v>1599</v>
      </c>
      <c r="D1356" s="527" t="s">
        <v>40</v>
      </c>
      <c r="E1356" s="558">
        <v>11.35</v>
      </c>
      <c r="F1356" s="559">
        <v>204</v>
      </c>
      <c r="G1356" s="543">
        <f t="shared" si="68"/>
        <v>2315.4</v>
      </c>
      <c r="H1356" s="543">
        <v>0</v>
      </c>
      <c r="I1356" s="543">
        <f t="shared" si="69"/>
        <v>0</v>
      </c>
      <c r="J1356" s="543">
        <v>0</v>
      </c>
      <c r="K1356" s="543">
        <f t="shared" si="70"/>
        <v>0</v>
      </c>
      <c r="L1356" s="543">
        <v>0</v>
      </c>
      <c r="M1356" s="543">
        <f t="shared" si="71"/>
        <v>0</v>
      </c>
      <c r="N1356" s="543">
        <v>0</v>
      </c>
      <c r="O1356" s="543">
        <f t="shared" si="72"/>
        <v>0</v>
      </c>
    </row>
    <row r="1357" spans="1:15" ht="31.5">
      <c r="A1357" s="296">
        <v>37</v>
      </c>
      <c r="B1357" s="540"/>
      <c r="C1357" s="578" t="s">
        <v>1600</v>
      </c>
      <c r="D1357" s="527" t="s">
        <v>40</v>
      </c>
      <c r="E1357" s="558">
        <v>15.35</v>
      </c>
      <c r="F1357" s="559">
        <v>53</v>
      </c>
      <c r="G1357" s="543">
        <f t="shared" si="68"/>
        <v>813.55</v>
      </c>
      <c r="H1357" s="543">
        <v>0</v>
      </c>
      <c r="I1357" s="543">
        <f t="shared" si="69"/>
        <v>0</v>
      </c>
      <c r="J1357" s="543">
        <v>0</v>
      </c>
      <c r="K1357" s="543">
        <f t="shared" si="70"/>
        <v>0</v>
      </c>
      <c r="L1357" s="543">
        <v>0</v>
      </c>
      <c r="M1357" s="543">
        <f t="shared" si="71"/>
        <v>0</v>
      </c>
      <c r="N1357" s="543">
        <v>0</v>
      </c>
      <c r="O1357" s="543">
        <f t="shared" si="72"/>
        <v>0</v>
      </c>
    </row>
    <row r="1358" spans="1:15" ht="31.5">
      <c r="A1358" s="296">
        <v>38</v>
      </c>
      <c r="B1358" s="540"/>
      <c r="C1358" s="578" t="s">
        <v>1601</v>
      </c>
      <c r="D1358" s="527" t="s">
        <v>40</v>
      </c>
      <c r="E1358" s="558">
        <v>3.38</v>
      </c>
      <c r="F1358" s="579">
        <v>860</v>
      </c>
      <c r="G1358" s="543">
        <f t="shared" si="68"/>
        <v>2906.7999999999997</v>
      </c>
      <c r="H1358" s="543">
        <v>0</v>
      </c>
      <c r="I1358" s="543">
        <f t="shared" si="69"/>
        <v>0</v>
      </c>
      <c r="J1358" s="543">
        <v>0</v>
      </c>
      <c r="K1358" s="543">
        <f t="shared" si="70"/>
        <v>0</v>
      </c>
      <c r="L1358" s="543">
        <v>0</v>
      </c>
      <c r="M1358" s="543">
        <f t="shared" si="71"/>
        <v>0</v>
      </c>
      <c r="N1358" s="543">
        <v>0</v>
      </c>
      <c r="O1358" s="543">
        <f t="shared" si="72"/>
        <v>0</v>
      </c>
    </row>
    <row r="1359" spans="1:15" ht="31.5">
      <c r="A1359" s="296">
        <v>39</v>
      </c>
      <c r="B1359" s="540"/>
      <c r="C1359" s="578" t="s">
        <v>1602</v>
      </c>
      <c r="D1359" s="527" t="s">
        <v>40</v>
      </c>
      <c r="E1359" s="558">
        <v>4.26</v>
      </c>
      <c r="F1359" s="579">
        <v>1974</v>
      </c>
      <c r="G1359" s="543">
        <f t="shared" si="68"/>
        <v>8409.24</v>
      </c>
      <c r="H1359" s="543">
        <v>0</v>
      </c>
      <c r="I1359" s="543">
        <f t="shared" si="69"/>
        <v>0</v>
      </c>
      <c r="J1359" s="543">
        <v>0</v>
      </c>
      <c r="K1359" s="543">
        <f t="shared" si="70"/>
        <v>0</v>
      </c>
      <c r="L1359" s="543">
        <v>0</v>
      </c>
      <c r="M1359" s="543">
        <f t="shared" si="71"/>
        <v>0</v>
      </c>
      <c r="N1359" s="543">
        <v>0</v>
      </c>
      <c r="O1359" s="543">
        <f t="shared" si="72"/>
        <v>0</v>
      </c>
    </row>
    <row r="1360" spans="1:15" ht="31.5">
      <c r="A1360" s="296">
        <v>40</v>
      </c>
      <c r="B1360" s="540"/>
      <c r="C1360" s="578" t="s">
        <v>1603</v>
      </c>
      <c r="D1360" s="527" t="s">
        <v>40</v>
      </c>
      <c r="E1360" s="558">
        <v>113.44</v>
      </c>
      <c r="F1360" s="579">
        <v>3</v>
      </c>
      <c r="G1360" s="543">
        <f t="shared" si="68"/>
        <v>340.32</v>
      </c>
      <c r="H1360" s="543">
        <v>0</v>
      </c>
      <c r="I1360" s="543">
        <f t="shared" si="69"/>
        <v>0</v>
      </c>
      <c r="J1360" s="543">
        <v>0</v>
      </c>
      <c r="K1360" s="543">
        <f t="shared" si="70"/>
        <v>0</v>
      </c>
      <c r="L1360" s="543">
        <v>0</v>
      </c>
      <c r="M1360" s="543">
        <f t="shared" si="71"/>
        <v>0</v>
      </c>
      <c r="N1360" s="543">
        <v>0</v>
      </c>
      <c r="O1360" s="543">
        <f t="shared" si="72"/>
        <v>0</v>
      </c>
    </row>
    <row r="1361" spans="1:15" ht="31.5">
      <c r="A1361" s="296">
        <v>41</v>
      </c>
      <c r="B1361" s="540"/>
      <c r="C1361" s="578" t="s">
        <v>236</v>
      </c>
      <c r="D1361" s="527" t="s">
        <v>40</v>
      </c>
      <c r="E1361" s="558">
        <v>315.45</v>
      </c>
      <c r="F1361" s="559">
        <v>10</v>
      </c>
      <c r="G1361" s="543">
        <f t="shared" si="68"/>
        <v>3154.5</v>
      </c>
      <c r="H1361" s="543">
        <v>0</v>
      </c>
      <c r="I1361" s="543">
        <f t="shared" si="69"/>
        <v>0</v>
      </c>
      <c r="J1361" s="543">
        <v>0</v>
      </c>
      <c r="K1361" s="543">
        <f t="shared" si="70"/>
        <v>0</v>
      </c>
      <c r="L1361" s="543">
        <v>0</v>
      </c>
      <c r="M1361" s="543">
        <f t="shared" si="71"/>
        <v>0</v>
      </c>
      <c r="N1361" s="543">
        <v>0</v>
      </c>
      <c r="O1361" s="543">
        <f t="shared" si="72"/>
        <v>0</v>
      </c>
    </row>
    <row r="1362" spans="1:15" ht="15.75">
      <c r="A1362" s="296">
        <v>42</v>
      </c>
      <c r="B1362" s="540"/>
      <c r="C1362" s="578" t="s">
        <v>1604</v>
      </c>
      <c r="D1362" s="527" t="s">
        <v>40</v>
      </c>
      <c r="E1362" s="558">
        <v>15.32</v>
      </c>
      <c r="F1362" s="579">
        <v>35</v>
      </c>
      <c r="G1362" s="543">
        <f t="shared" si="68"/>
        <v>536.20000000000005</v>
      </c>
      <c r="H1362" s="543">
        <v>0</v>
      </c>
      <c r="I1362" s="543">
        <f t="shared" si="69"/>
        <v>0</v>
      </c>
      <c r="J1362" s="543">
        <v>0</v>
      </c>
      <c r="K1362" s="543">
        <f t="shared" si="70"/>
        <v>0</v>
      </c>
      <c r="L1362" s="543">
        <v>0</v>
      </c>
      <c r="M1362" s="543">
        <f t="shared" si="71"/>
        <v>0</v>
      </c>
      <c r="N1362" s="543">
        <v>0</v>
      </c>
      <c r="O1362" s="543">
        <f t="shared" si="72"/>
        <v>0</v>
      </c>
    </row>
    <row r="1363" spans="1:15" ht="15.75">
      <c r="A1363" s="296">
        <v>43</v>
      </c>
      <c r="B1363" s="540"/>
      <c r="C1363" s="578" t="s">
        <v>1605</v>
      </c>
      <c r="D1363" s="527" t="s">
        <v>1545</v>
      </c>
      <c r="E1363" s="558">
        <v>20</v>
      </c>
      <c r="F1363" s="579">
        <v>46.4</v>
      </c>
      <c r="G1363" s="543">
        <f t="shared" si="68"/>
        <v>928</v>
      </c>
      <c r="H1363" s="543">
        <v>0</v>
      </c>
      <c r="I1363" s="543">
        <f t="shared" si="69"/>
        <v>0</v>
      </c>
      <c r="J1363" s="543">
        <v>0</v>
      </c>
      <c r="K1363" s="543">
        <f t="shared" si="70"/>
        <v>0</v>
      </c>
      <c r="L1363" s="543">
        <v>0</v>
      </c>
      <c r="M1363" s="543">
        <f t="shared" si="71"/>
        <v>0</v>
      </c>
      <c r="N1363" s="543">
        <v>0</v>
      </c>
      <c r="O1363" s="543">
        <f t="shared" si="72"/>
        <v>0</v>
      </c>
    </row>
    <row r="1364" spans="1:15" ht="78.75">
      <c r="A1364" s="296">
        <v>44</v>
      </c>
      <c r="B1364" s="540"/>
      <c r="C1364" s="578" t="s">
        <v>1606</v>
      </c>
      <c r="D1364" s="527" t="s">
        <v>40</v>
      </c>
      <c r="E1364" s="558">
        <v>7.26</v>
      </c>
      <c r="F1364" s="579">
        <v>424</v>
      </c>
      <c r="G1364" s="543">
        <f t="shared" si="68"/>
        <v>3078.24</v>
      </c>
      <c r="H1364" s="543">
        <v>0</v>
      </c>
      <c r="I1364" s="543">
        <f t="shared" si="69"/>
        <v>0</v>
      </c>
      <c r="J1364" s="543">
        <v>0</v>
      </c>
      <c r="K1364" s="543">
        <f t="shared" si="70"/>
        <v>0</v>
      </c>
      <c r="L1364" s="543">
        <v>0</v>
      </c>
      <c r="M1364" s="543">
        <f t="shared" si="71"/>
        <v>0</v>
      </c>
      <c r="N1364" s="543">
        <v>0</v>
      </c>
      <c r="O1364" s="543">
        <f t="shared" si="72"/>
        <v>0</v>
      </c>
    </row>
    <row r="1365" spans="1:15" ht="78.75">
      <c r="A1365" s="296">
        <v>45</v>
      </c>
      <c r="B1365" s="540"/>
      <c r="C1365" s="578" t="s">
        <v>1607</v>
      </c>
      <c r="D1365" s="527" t="s">
        <v>40</v>
      </c>
      <c r="E1365" s="558">
        <v>8.4</v>
      </c>
      <c r="F1365" s="579">
        <v>336</v>
      </c>
      <c r="G1365" s="543">
        <f t="shared" si="68"/>
        <v>2822.4</v>
      </c>
      <c r="H1365" s="543">
        <v>0</v>
      </c>
      <c r="I1365" s="543">
        <f t="shared" si="69"/>
        <v>0</v>
      </c>
      <c r="J1365" s="543">
        <v>0</v>
      </c>
      <c r="K1365" s="543">
        <f t="shared" si="70"/>
        <v>0</v>
      </c>
      <c r="L1365" s="543">
        <v>0</v>
      </c>
      <c r="M1365" s="543">
        <f t="shared" si="71"/>
        <v>0</v>
      </c>
      <c r="N1365" s="543">
        <v>0</v>
      </c>
      <c r="O1365" s="543">
        <f t="shared" si="72"/>
        <v>0</v>
      </c>
    </row>
    <row r="1366" spans="1:15" ht="78.75">
      <c r="A1366" s="296">
        <v>46</v>
      </c>
      <c r="B1366" s="540"/>
      <c r="C1366" s="578" t="s">
        <v>1608</v>
      </c>
      <c r="D1366" s="527" t="s">
        <v>40</v>
      </c>
      <c r="E1366" s="558">
        <v>10.67</v>
      </c>
      <c r="F1366" s="579">
        <v>500</v>
      </c>
      <c r="G1366" s="543">
        <f t="shared" si="68"/>
        <v>5335</v>
      </c>
      <c r="H1366" s="543">
        <v>0</v>
      </c>
      <c r="I1366" s="543">
        <f t="shared" si="69"/>
        <v>0</v>
      </c>
      <c r="J1366" s="543">
        <v>0</v>
      </c>
      <c r="K1366" s="543">
        <f t="shared" si="70"/>
        <v>0</v>
      </c>
      <c r="L1366" s="543">
        <v>0</v>
      </c>
      <c r="M1366" s="543">
        <f t="shared" si="71"/>
        <v>0</v>
      </c>
      <c r="N1366" s="543">
        <v>0</v>
      </c>
      <c r="O1366" s="543">
        <f t="shared" si="72"/>
        <v>0</v>
      </c>
    </row>
    <row r="1367" spans="1:15" ht="78.75">
      <c r="A1367" s="296">
        <v>47</v>
      </c>
      <c r="B1367" s="540"/>
      <c r="C1367" s="578" t="s">
        <v>1609</v>
      </c>
      <c r="D1367" s="527" t="s">
        <v>40</v>
      </c>
      <c r="E1367" s="558">
        <v>8.91</v>
      </c>
      <c r="F1367" s="559">
        <v>224</v>
      </c>
      <c r="G1367" s="543">
        <f t="shared" si="68"/>
        <v>1995.8400000000001</v>
      </c>
      <c r="H1367" s="543">
        <v>0</v>
      </c>
      <c r="I1367" s="543">
        <f t="shared" si="69"/>
        <v>0</v>
      </c>
      <c r="J1367" s="543">
        <v>0</v>
      </c>
      <c r="K1367" s="543">
        <f t="shared" si="70"/>
        <v>0</v>
      </c>
      <c r="L1367" s="543">
        <v>0</v>
      </c>
      <c r="M1367" s="543">
        <f t="shared" si="71"/>
        <v>0</v>
      </c>
      <c r="N1367" s="543">
        <v>0</v>
      </c>
      <c r="O1367" s="543">
        <f t="shared" si="72"/>
        <v>0</v>
      </c>
    </row>
    <row r="1368" spans="1:15" ht="78.75">
      <c r="A1368" s="296">
        <v>48</v>
      </c>
      <c r="B1368" s="540"/>
      <c r="C1368" s="578" t="s">
        <v>1610</v>
      </c>
      <c r="D1368" s="527" t="s">
        <v>40</v>
      </c>
      <c r="E1368" s="558">
        <v>11.24</v>
      </c>
      <c r="F1368" s="579">
        <v>792</v>
      </c>
      <c r="G1368" s="543">
        <f t="shared" si="68"/>
        <v>8902.08</v>
      </c>
      <c r="H1368" s="543">
        <v>0</v>
      </c>
      <c r="I1368" s="543">
        <f t="shared" si="69"/>
        <v>0</v>
      </c>
      <c r="J1368" s="543">
        <v>0</v>
      </c>
      <c r="K1368" s="543">
        <f t="shared" si="70"/>
        <v>0</v>
      </c>
      <c r="L1368" s="543">
        <v>0</v>
      </c>
      <c r="M1368" s="543">
        <f t="shared" si="71"/>
        <v>0</v>
      </c>
      <c r="N1368" s="543">
        <v>0</v>
      </c>
      <c r="O1368" s="543">
        <f t="shared" si="72"/>
        <v>0</v>
      </c>
    </row>
    <row r="1369" spans="1:15" ht="78.75">
      <c r="A1369" s="296">
        <v>49</v>
      </c>
      <c r="B1369" s="540"/>
      <c r="C1369" s="578" t="s">
        <v>1611</v>
      </c>
      <c r="D1369" s="527" t="s">
        <v>40</v>
      </c>
      <c r="E1369" s="558">
        <v>13.51</v>
      </c>
      <c r="F1369" s="559">
        <v>860</v>
      </c>
      <c r="G1369" s="543">
        <f t="shared" si="68"/>
        <v>11618.6</v>
      </c>
      <c r="H1369" s="543">
        <v>0</v>
      </c>
      <c r="I1369" s="543">
        <f t="shared" si="69"/>
        <v>0</v>
      </c>
      <c r="J1369" s="543">
        <v>0</v>
      </c>
      <c r="K1369" s="543">
        <f t="shared" si="70"/>
        <v>0</v>
      </c>
      <c r="L1369" s="543">
        <v>0</v>
      </c>
      <c r="M1369" s="543">
        <f t="shared" si="71"/>
        <v>0</v>
      </c>
      <c r="N1369" s="543">
        <v>0</v>
      </c>
      <c r="O1369" s="543">
        <f t="shared" si="72"/>
        <v>0</v>
      </c>
    </row>
    <row r="1370" spans="1:15" ht="78.75">
      <c r="A1370" s="296">
        <v>50</v>
      </c>
      <c r="B1370" s="540"/>
      <c r="C1370" s="578" t="s">
        <v>1612</v>
      </c>
      <c r="D1370" s="527" t="s">
        <v>40</v>
      </c>
      <c r="E1370" s="558">
        <v>14.64</v>
      </c>
      <c r="F1370" s="579">
        <v>961</v>
      </c>
      <c r="G1370" s="543">
        <f t="shared" si="68"/>
        <v>14069.04</v>
      </c>
      <c r="H1370" s="543">
        <v>0</v>
      </c>
      <c r="I1370" s="543">
        <f t="shared" si="69"/>
        <v>0</v>
      </c>
      <c r="J1370" s="543">
        <v>0</v>
      </c>
      <c r="K1370" s="543">
        <f t="shared" si="70"/>
        <v>0</v>
      </c>
      <c r="L1370" s="543">
        <v>0</v>
      </c>
      <c r="M1370" s="543">
        <f t="shared" si="71"/>
        <v>0</v>
      </c>
      <c r="N1370" s="543">
        <v>0</v>
      </c>
      <c r="O1370" s="543">
        <f t="shared" si="72"/>
        <v>0</v>
      </c>
    </row>
    <row r="1371" spans="1:15" ht="78.75">
      <c r="A1371" s="296">
        <v>51</v>
      </c>
      <c r="B1371" s="540"/>
      <c r="C1371" s="578" t="s">
        <v>1613</v>
      </c>
      <c r="D1371" s="527" t="s">
        <v>40</v>
      </c>
      <c r="E1371" s="558">
        <v>20.32</v>
      </c>
      <c r="F1371" s="579">
        <v>56</v>
      </c>
      <c r="G1371" s="543">
        <f t="shared" si="68"/>
        <v>1137.92</v>
      </c>
      <c r="H1371" s="543">
        <v>0</v>
      </c>
      <c r="I1371" s="543">
        <f t="shared" si="69"/>
        <v>0</v>
      </c>
      <c r="J1371" s="543">
        <v>0</v>
      </c>
      <c r="K1371" s="543">
        <f t="shared" si="70"/>
        <v>0</v>
      </c>
      <c r="L1371" s="543">
        <v>0</v>
      </c>
      <c r="M1371" s="543">
        <f t="shared" si="71"/>
        <v>0</v>
      </c>
      <c r="N1371" s="543">
        <v>0</v>
      </c>
      <c r="O1371" s="543">
        <f t="shared" si="72"/>
        <v>0</v>
      </c>
    </row>
    <row r="1372" spans="1:15" ht="78.75">
      <c r="A1372" s="296">
        <v>52</v>
      </c>
      <c r="B1372" s="540"/>
      <c r="C1372" s="578" t="s">
        <v>1614</v>
      </c>
      <c r="D1372" s="527" t="s">
        <v>40</v>
      </c>
      <c r="E1372" s="558">
        <v>22.59</v>
      </c>
      <c r="F1372" s="579" t="s">
        <v>1615</v>
      </c>
      <c r="G1372" s="543">
        <f t="shared" si="68"/>
        <v>9171.5399999999991</v>
      </c>
      <c r="H1372" s="543">
        <v>0</v>
      </c>
      <c r="I1372" s="543">
        <f t="shared" si="69"/>
        <v>0</v>
      </c>
      <c r="J1372" s="543">
        <v>0</v>
      </c>
      <c r="K1372" s="543">
        <f t="shared" si="70"/>
        <v>0</v>
      </c>
      <c r="L1372" s="543">
        <v>0</v>
      </c>
      <c r="M1372" s="543">
        <f t="shared" si="71"/>
        <v>0</v>
      </c>
      <c r="N1372" s="543">
        <v>0</v>
      </c>
      <c r="O1372" s="543">
        <f t="shared" si="72"/>
        <v>0</v>
      </c>
    </row>
    <row r="1373" spans="1:15" ht="78.75">
      <c r="A1373" s="296">
        <v>53</v>
      </c>
      <c r="B1373" s="540"/>
      <c r="C1373" s="578" t="s">
        <v>1616</v>
      </c>
      <c r="D1373" s="527" t="s">
        <v>40</v>
      </c>
      <c r="E1373" s="558">
        <v>27.13</v>
      </c>
      <c r="F1373" s="579" t="s">
        <v>1617</v>
      </c>
      <c r="G1373" s="543">
        <f t="shared" si="68"/>
        <v>6809.63</v>
      </c>
      <c r="H1373" s="543">
        <v>0</v>
      </c>
      <c r="I1373" s="543">
        <f t="shared" si="69"/>
        <v>0</v>
      </c>
      <c r="J1373" s="543">
        <v>0</v>
      </c>
      <c r="K1373" s="543">
        <f t="shared" si="70"/>
        <v>0</v>
      </c>
      <c r="L1373" s="543">
        <v>0</v>
      </c>
      <c r="M1373" s="543">
        <f t="shared" si="71"/>
        <v>0</v>
      </c>
      <c r="N1373" s="543">
        <v>0</v>
      </c>
      <c r="O1373" s="543">
        <f t="shared" si="72"/>
        <v>0</v>
      </c>
    </row>
    <row r="1374" spans="1:15" ht="78.75">
      <c r="A1374" s="296">
        <v>54</v>
      </c>
      <c r="B1374" s="540"/>
      <c r="C1374" s="578" t="s">
        <v>1618</v>
      </c>
      <c r="D1374" s="527" t="s">
        <v>40</v>
      </c>
      <c r="E1374" s="558">
        <v>11.35</v>
      </c>
      <c r="F1374" s="559">
        <v>530</v>
      </c>
      <c r="G1374" s="543">
        <f t="shared" si="68"/>
        <v>6015.5</v>
      </c>
      <c r="H1374" s="543">
        <v>0</v>
      </c>
      <c r="I1374" s="543">
        <f t="shared" si="69"/>
        <v>0</v>
      </c>
      <c r="J1374" s="543">
        <v>0</v>
      </c>
      <c r="K1374" s="543">
        <f t="shared" si="70"/>
        <v>0</v>
      </c>
      <c r="L1374" s="543">
        <v>0</v>
      </c>
      <c r="M1374" s="543">
        <f t="shared" si="71"/>
        <v>0</v>
      </c>
      <c r="N1374" s="543">
        <v>0</v>
      </c>
      <c r="O1374" s="543">
        <f t="shared" si="72"/>
        <v>0</v>
      </c>
    </row>
    <row r="1375" spans="1:15" ht="78.75">
      <c r="A1375" s="296">
        <v>55</v>
      </c>
      <c r="B1375" s="540"/>
      <c r="C1375" s="578" t="s">
        <v>1619</v>
      </c>
      <c r="D1375" s="527" t="s">
        <v>40</v>
      </c>
      <c r="E1375" s="558">
        <v>12.48</v>
      </c>
      <c r="F1375" s="559">
        <v>340</v>
      </c>
      <c r="G1375" s="543">
        <f t="shared" si="68"/>
        <v>4243.2</v>
      </c>
      <c r="H1375" s="543">
        <v>0</v>
      </c>
      <c r="I1375" s="543">
        <f t="shared" si="69"/>
        <v>0</v>
      </c>
      <c r="J1375" s="543">
        <v>0</v>
      </c>
      <c r="K1375" s="543">
        <f t="shared" si="70"/>
        <v>0</v>
      </c>
      <c r="L1375" s="543">
        <v>0</v>
      </c>
      <c r="M1375" s="543">
        <f t="shared" si="71"/>
        <v>0</v>
      </c>
      <c r="N1375" s="543">
        <v>0</v>
      </c>
      <c r="O1375" s="543">
        <f t="shared" si="72"/>
        <v>0</v>
      </c>
    </row>
    <row r="1376" spans="1:15" ht="78.75">
      <c r="A1376" s="296">
        <v>56</v>
      </c>
      <c r="B1376" s="540"/>
      <c r="C1376" s="578" t="s">
        <v>1620</v>
      </c>
      <c r="D1376" s="527" t="s">
        <v>40</v>
      </c>
      <c r="E1376" s="558">
        <v>12.48</v>
      </c>
      <c r="F1376" s="559">
        <v>300</v>
      </c>
      <c r="G1376" s="543">
        <f t="shared" si="68"/>
        <v>3744</v>
      </c>
      <c r="H1376" s="543">
        <v>0</v>
      </c>
      <c r="I1376" s="543">
        <f t="shared" si="69"/>
        <v>0</v>
      </c>
      <c r="J1376" s="543">
        <v>0</v>
      </c>
      <c r="K1376" s="543">
        <f t="shared" si="70"/>
        <v>0</v>
      </c>
      <c r="L1376" s="543">
        <v>0</v>
      </c>
      <c r="M1376" s="543">
        <f t="shared" si="71"/>
        <v>0</v>
      </c>
      <c r="N1376" s="543">
        <v>0</v>
      </c>
      <c r="O1376" s="543">
        <f t="shared" si="72"/>
        <v>0</v>
      </c>
    </row>
    <row r="1377" spans="1:15" ht="15.75">
      <c r="A1377" s="296">
        <v>57</v>
      </c>
      <c r="B1377" s="540"/>
      <c r="C1377" s="578" t="s">
        <v>1621</v>
      </c>
      <c r="D1377" s="530" t="s">
        <v>40</v>
      </c>
      <c r="E1377" s="558">
        <v>6.24</v>
      </c>
      <c r="F1377" s="559">
        <v>1640</v>
      </c>
      <c r="G1377" s="543">
        <f t="shared" si="68"/>
        <v>10233.6</v>
      </c>
      <c r="H1377" s="543">
        <v>0</v>
      </c>
      <c r="I1377" s="543">
        <f t="shared" si="69"/>
        <v>0</v>
      </c>
      <c r="J1377" s="543">
        <v>0</v>
      </c>
      <c r="K1377" s="543">
        <f t="shared" si="70"/>
        <v>0</v>
      </c>
      <c r="L1377" s="543">
        <v>0</v>
      </c>
      <c r="M1377" s="543">
        <f t="shared" si="71"/>
        <v>0</v>
      </c>
      <c r="N1377" s="543">
        <v>0</v>
      </c>
      <c r="O1377" s="543">
        <f t="shared" si="72"/>
        <v>0</v>
      </c>
    </row>
    <row r="1378" spans="1:15" ht="15.75">
      <c r="A1378" s="571"/>
      <c r="B1378" s="572"/>
      <c r="C1378" s="573"/>
      <c r="D1378" s="574"/>
      <c r="E1378" s="575"/>
      <c r="F1378" s="576"/>
      <c r="G1378" s="577">
        <f>SUM(G1321:G1377)</f>
        <v>1179765.811126</v>
      </c>
      <c r="H1378" s="575"/>
      <c r="I1378" s="575"/>
      <c r="J1378" s="575"/>
      <c r="K1378" s="575"/>
      <c r="L1378" s="575"/>
      <c r="M1378" s="575"/>
      <c r="N1378" s="575"/>
      <c r="O1378" s="575"/>
    </row>
    <row r="1379" spans="1:15" ht="15.75">
      <c r="A1379" s="571"/>
      <c r="B1379" s="572"/>
      <c r="C1379" s="573"/>
      <c r="D1379" s="574"/>
      <c r="E1379" s="575"/>
      <c r="F1379" s="576"/>
      <c r="G1379" s="575"/>
      <c r="H1379" s="575"/>
      <c r="I1379" s="575"/>
      <c r="J1379" s="575"/>
      <c r="K1379" s="575"/>
      <c r="L1379" s="575"/>
      <c r="M1379" s="575"/>
      <c r="N1379" s="575"/>
      <c r="O1379" s="575"/>
    </row>
    <row r="1380" spans="1:15" ht="15.75">
      <c r="A1380" s="571"/>
      <c r="B1380" s="572"/>
      <c r="C1380" s="573"/>
      <c r="D1380" s="574"/>
      <c r="E1380" s="575"/>
      <c r="F1380" s="576"/>
      <c r="G1380" s="575"/>
      <c r="H1380" s="575"/>
      <c r="I1380" s="575"/>
      <c r="J1380" s="575"/>
      <c r="K1380" s="575"/>
      <c r="L1380" s="575"/>
      <c r="M1380" s="575"/>
      <c r="N1380" s="575"/>
      <c r="O1380" s="575"/>
    </row>
    <row r="1381" spans="1:15" ht="15.75">
      <c r="A1381" s="571"/>
      <c r="B1381" s="572"/>
      <c r="C1381" s="573"/>
      <c r="D1381" s="574"/>
      <c r="E1381" s="575"/>
      <c r="F1381" s="576"/>
      <c r="G1381" s="575"/>
      <c r="H1381" s="575"/>
      <c r="I1381" s="575"/>
      <c r="J1381" s="575"/>
      <c r="K1381" s="575"/>
      <c r="L1381" s="575"/>
      <c r="M1381" s="575"/>
      <c r="N1381" s="575"/>
      <c r="O1381" s="575"/>
    </row>
    <row r="1382" spans="1:15">
      <c r="A1382" s="1243" t="s">
        <v>1624</v>
      </c>
      <c r="B1382" s="1243"/>
      <c r="C1382" s="1243"/>
      <c r="D1382" s="1243"/>
      <c r="E1382" s="1243"/>
      <c r="F1382" s="1243"/>
      <c r="G1382" s="1243"/>
      <c r="H1382" s="1243"/>
      <c r="I1382" s="1243"/>
      <c r="J1382" s="1243"/>
      <c r="K1382" s="1243"/>
    </row>
    <row r="1383" spans="1:15">
      <c r="A1383" s="1243"/>
      <c r="B1383" s="1243"/>
      <c r="C1383" s="1243"/>
      <c r="D1383" s="1243"/>
      <c r="E1383" s="1243"/>
      <c r="F1383" s="1243"/>
      <c r="G1383" s="1243"/>
      <c r="H1383" s="1243"/>
      <c r="I1383" s="1243"/>
      <c r="J1383" s="1243"/>
      <c r="K1383" s="1243"/>
    </row>
    <row r="1384" spans="1:15">
      <c r="A1384" s="585"/>
      <c r="B1384" s="147"/>
      <c r="C1384" s="147"/>
      <c r="D1384" s="147"/>
      <c r="E1384" s="147"/>
      <c r="F1384" s="147"/>
      <c r="G1384" s="147"/>
      <c r="H1384" s="147"/>
      <c r="I1384" s="147"/>
      <c r="J1384" s="147"/>
      <c r="K1384" s="147"/>
    </row>
    <row r="1385" spans="1:15">
      <c r="A1385" s="1244" t="s">
        <v>1625</v>
      </c>
      <c r="B1385" s="1245"/>
      <c r="C1385" s="1245"/>
      <c r="D1385" s="148"/>
      <c r="E1385" s="147"/>
      <c r="F1385" s="147"/>
      <c r="G1385" s="1244" t="s">
        <v>1626</v>
      </c>
      <c r="H1385" s="1245"/>
      <c r="I1385" s="1245"/>
      <c r="J1385" s="1245"/>
      <c r="K1385" s="147"/>
    </row>
    <row r="1386" spans="1:15">
      <c r="A1386" s="1246" t="s">
        <v>1627</v>
      </c>
      <c r="B1386" s="1247"/>
      <c r="C1386" s="1247"/>
      <c r="D1386" s="148"/>
      <c r="E1386" s="147"/>
      <c r="F1386" s="147"/>
      <c r="G1386" s="147"/>
      <c r="H1386" s="1246" t="s">
        <v>1628</v>
      </c>
      <c r="I1386" s="1247"/>
      <c r="J1386" s="1247"/>
      <c r="K1386" s="147"/>
    </row>
    <row r="1387" spans="1:15">
      <c r="A1387" s="1248" t="s">
        <v>209</v>
      </c>
      <c r="B1387" s="1250" t="s">
        <v>210</v>
      </c>
      <c r="C1387" s="1250" t="s">
        <v>211</v>
      </c>
      <c r="D1387" s="1250" t="s">
        <v>112</v>
      </c>
      <c r="E1387" s="1250" t="s">
        <v>212</v>
      </c>
      <c r="F1387" s="1249"/>
      <c r="G1387" s="1249"/>
      <c r="H1387" s="1249"/>
      <c r="I1387" s="1249"/>
      <c r="J1387" s="1251" t="s">
        <v>1629</v>
      </c>
      <c r="K1387" s="1252" t="s">
        <v>214</v>
      </c>
    </row>
    <row r="1388" spans="1:15">
      <c r="A1388" s="1249"/>
      <c r="B1388" s="1249"/>
      <c r="C1388" s="1249"/>
      <c r="D1388" s="1249"/>
      <c r="E1388" s="586" t="s">
        <v>114</v>
      </c>
      <c r="F1388" s="587" t="s">
        <v>215</v>
      </c>
      <c r="G1388" s="587" t="s">
        <v>1</v>
      </c>
      <c r="H1388" s="587" t="s">
        <v>216</v>
      </c>
      <c r="I1388" s="586" t="s">
        <v>217</v>
      </c>
      <c r="J1388" s="1249"/>
      <c r="K1388" s="1249"/>
    </row>
    <row r="1389" spans="1:15">
      <c r="A1389" s="1237" t="s">
        <v>1630</v>
      </c>
      <c r="B1389" s="1238"/>
      <c r="C1389" s="588"/>
      <c r="D1389" s="588"/>
      <c r="E1389" s="586"/>
      <c r="F1389" s="587"/>
      <c r="G1389" s="587"/>
      <c r="H1389" s="586"/>
      <c r="I1389" s="586"/>
      <c r="J1389" s="588"/>
      <c r="K1389" s="588"/>
    </row>
    <row r="1390" spans="1:15">
      <c r="A1390" s="589">
        <v>1</v>
      </c>
      <c r="B1390" s="590" t="s">
        <v>637</v>
      </c>
      <c r="C1390" s="591" t="s">
        <v>1631</v>
      </c>
      <c r="D1390" s="592" t="s">
        <v>4</v>
      </c>
      <c r="E1390" s="593"/>
      <c r="F1390" s="589"/>
      <c r="G1390" s="589"/>
      <c r="H1390" s="593">
        <v>2.83</v>
      </c>
      <c r="I1390" s="589"/>
      <c r="J1390" s="594">
        <v>108393.303</v>
      </c>
      <c r="K1390" s="589">
        <f t="shared" ref="K1390:K1408" si="73">(E1390+F1390+G1390+H1390+I1390)*J1390</f>
        <v>306753.04749000003</v>
      </c>
    </row>
    <row r="1391" spans="1:15">
      <c r="A1391" s="589">
        <v>2</v>
      </c>
      <c r="B1391" s="590" t="s">
        <v>1632</v>
      </c>
      <c r="C1391" s="591" t="s">
        <v>1633</v>
      </c>
      <c r="D1391" s="592" t="s">
        <v>4</v>
      </c>
      <c r="E1391" s="593"/>
      <c r="F1391" s="589"/>
      <c r="G1391" s="589"/>
      <c r="H1391" s="593">
        <v>0.62572000000000005</v>
      </c>
      <c r="I1391" s="589"/>
      <c r="J1391" s="594">
        <v>67296</v>
      </c>
      <c r="K1391" s="589">
        <f t="shared" si="73"/>
        <v>42108.453120000006</v>
      </c>
    </row>
    <row r="1392" spans="1:15">
      <c r="A1392" s="589">
        <v>3</v>
      </c>
      <c r="B1392" s="590" t="s">
        <v>1634</v>
      </c>
      <c r="C1392" s="591" t="s">
        <v>1635</v>
      </c>
      <c r="D1392" s="592" t="s">
        <v>4</v>
      </c>
      <c r="E1392" s="593"/>
      <c r="F1392" s="589"/>
      <c r="G1392" s="589"/>
      <c r="H1392" s="593">
        <v>1.99247</v>
      </c>
      <c r="I1392" s="589"/>
      <c r="J1392" s="594">
        <v>67296</v>
      </c>
      <c r="K1392" s="589">
        <f t="shared" si="73"/>
        <v>134085.26112000001</v>
      </c>
    </row>
    <row r="1393" spans="1:11" ht="25.5">
      <c r="A1393" s="589">
        <v>4</v>
      </c>
      <c r="B1393" s="590" t="s">
        <v>1636</v>
      </c>
      <c r="C1393" s="591" t="s">
        <v>1637</v>
      </c>
      <c r="D1393" s="592" t="s">
        <v>195</v>
      </c>
      <c r="E1393" s="595"/>
      <c r="F1393" s="589"/>
      <c r="G1393" s="589"/>
      <c r="H1393" s="595">
        <v>240.92</v>
      </c>
      <c r="I1393" s="589"/>
      <c r="J1393" s="595">
        <v>30</v>
      </c>
      <c r="K1393" s="596">
        <f t="shared" si="73"/>
        <v>7227.5999999999995</v>
      </c>
    </row>
    <row r="1394" spans="1:11">
      <c r="A1394" s="589">
        <v>5</v>
      </c>
      <c r="B1394" s="590" t="s">
        <v>635</v>
      </c>
      <c r="C1394" s="591" t="s">
        <v>1638</v>
      </c>
      <c r="D1394" s="592" t="s">
        <v>4</v>
      </c>
      <c r="E1394" s="593"/>
      <c r="F1394" s="589"/>
      <c r="G1394" s="589"/>
      <c r="H1394" s="589">
        <v>1.5</v>
      </c>
      <c r="I1394" s="589"/>
      <c r="J1394" s="594">
        <v>38480</v>
      </c>
      <c r="K1394" s="589">
        <f t="shared" si="73"/>
        <v>57720</v>
      </c>
    </row>
    <row r="1395" spans="1:11" ht="25.5">
      <c r="A1395" s="589">
        <v>6</v>
      </c>
      <c r="B1395" s="597" t="s">
        <v>1639</v>
      </c>
      <c r="C1395" s="591" t="s">
        <v>1640</v>
      </c>
      <c r="D1395" s="598" t="s">
        <v>40</v>
      </c>
      <c r="E1395" s="593"/>
      <c r="F1395" s="589"/>
      <c r="G1395" s="589"/>
      <c r="H1395" s="597">
        <v>4</v>
      </c>
      <c r="I1395" s="589"/>
      <c r="J1395" s="599">
        <v>9363.75</v>
      </c>
      <c r="K1395" s="589">
        <f t="shared" si="73"/>
        <v>37455</v>
      </c>
    </row>
    <row r="1396" spans="1:11">
      <c r="A1396" s="589">
        <v>7</v>
      </c>
      <c r="B1396" s="590" t="s">
        <v>226</v>
      </c>
      <c r="C1396" s="591" t="s">
        <v>1641</v>
      </c>
      <c r="D1396" s="592" t="s">
        <v>40</v>
      </c>
      <c r="E1396" s="593"/>
      <c r="F1396" s="589"/>
      <c r="G1396" s="589"/>
      <c r="H1396" s="597">
        <v>368</v>
      </c>
      <c r="I1396" s="589"/>
      <c r="J1396" s="594">
        <v>280</v>
      </c>
      <c r="K1396" s="589">
        <f t="shared" si="73"/>
        <v>103040</v>
      </c>
    </row>
    <row r="1397" spans="1:11" ht="25.5">
      <c r="A1397" s="589">
        <v>8</v>
      </c>
      <c r="B1397" s="590" t="s">
        <v>1319</v>
      </c>
      <c r="C1397" s="600" t="s">
        <v>1642</v>
      </c>
      <c r="D1397" s="593" t="s">
        <v>40</v>
      </c>
      <c r="E1397" s="593"/>
      <c r="F1397" s="589"/>
      <c r="G1397" s="589"/>
      <c r="H1397" s="597">
        <v>46</v>
      </c>
      <c r="I1397" s="589"/>
      <c r="J1397" s="601">
        <v>2340</v>
      </c>
      <c r="K1397" s="589">
        <f t="shared" si="73"/>
        <v>107640</v>
      </c>
    </row>
    <row r="1398" spans="1:11" ht="25.5">
      <c r="A1398" s="589">
        <v>9</v>
      </c>
      <c r="B1398" s="590" t="s">
        <v>237</v>
      </c>
      <c r="C1398" s="600" t="s">
        <v>1643</v>
      </c>
      <c r="D1398" s="593" t="s">
        <v>40</v>
      </c>
      <c r="E1398" s="593"/>
      <c r="F1398" s="589"/>
      <c r="G1398" s="589"/>
      <c r="H1398" s="597">
        <v>6</v>
      </c>
      <c r="I1398" s="589"/>
      <c r="J1398" s="602">
        <v>3977.0277999999998</v>
      </c>
      <c r="K1398" s="589">
        <f t="shared" si="73"/>
        <v>23862.166799999999</v>
      </c>
    </row>
    <row r="1399" spans="1:11" ht="25.5">
      <c r="A1399" s="589">
        <v>10</v>
      </c>
      <c r="B1399" s="590" t="s">
        <v>1644</v>
      </c>
      <c r="C1399" s="600" t="s">
        <v>1645</v>
      </c>
      <c r="D1399" s="593" t="s">
        <v>40</v>
      </c>
      <c r="E1399" s="593"/>
      <c r="F1399" s="589"/>
      <c r="G1399" s="589"/>
      <c r="H1399" s="589">
        <v>19</v>
      </c>
      <c r="I1399" s="589"/>
      <c r="J1399" s="601">
        <v>1133</v>
      </c>
      <c r="K1399" s="589">
        <f t="shared" si="73"/>
        <v>21527</v>
      </c>
    </row>
    <row r="1400" spans="1:11">
      <c r="A1400" s="589">
        <v>11</v>
      </c>
      <c r="B1400" s="603" t="s">
        <v>421</v>
      </c>
      <c r="C1400" s="604" t="s">
        <v>1646</v>
      </c>
      <c r="D1400" s="605" t="s">
        <v>40</v>
      </c>
      <c r="E1400" s="606">
        <v>14</v>
      </c>
      <c r="F1400" s="607"/>
      <c r="G1400" s="607"/>
      <c r="H1400" s="607"/>
      <c r="I1400" s="606"/>
      <c r="J1400" s="608">
        <v>1500</v>
      </c>
      <c r="K1400" s="596">
        <f t="shared" si="73"/>
        <v>21000</v>
      </c>
    </row>
    <row r="1401" spans="1:11">
      <c r="A1401" s="589">
        <v>12</v>
      </c>
      <c r="B1401" s="603" t="s">
        <v>42</v>
      </c>
      <c r="C1401" s="604" t="s">
        <v>1647</v>
      </c>
      <c r="D1401" s="605" t="s">
        <v>40</v>
      </c>
      <c r="E1401" s="606">
        <v>9</v>
      </c>
      <c r="F1401" s="607"/>
      <c r="G1401" s="607"/>
      <c r="H1401" s="607"/>
      <c r="I1401" s="606"/>
      <c r="J1401" s="608">
        <v>500</v>
      </c>
      <c r="K1401" s="596">
        <f t="shared" si="73"/>
        <v>4500</v>
      </c>
    </row>
    <row r="1402" spans="1:11" ht="25.5">
      <c r="A1402" s="589">
        <v>13</v>
      </c>
      <c r="B1402" s="590" t="s">
        <v>1648</v>
      </c>
      <c r="C1402" s="591" t="s">
        <v>1649</v>
      </c>
      <c r="D1402" s="592" t="s">
        <v>40</v>
      </c>
      <c r="E1402" s="593">
        <v>1</v>
      </c>
      <c r="F1402" s="589"/>
      <c r="G1402" s="589"/>
      <c r="H1402" s="589"/>
      <c r="I1402" s="589"/>
      <c r="J1402" s="594">
        <v>100000</v>
      </c>
      <c r="K1402" s="589">
        <f t="shared" si="73"/>
        <v>100000</v>
      </c>
    </row>
    <row r="1403" spans="1:11" ht="25.5">
      <c r="A1403" s="589">
        <v>14</v>
      </c>
      <c r="B1403" s="590" t="s">
        <v>1650</v>
      </c>
      <c r="C1403" s="591" t="s">
        <v>1651</v>
      </c>
      <c r="D1403" s="592" t="s">
        <v>40</v>
      </c>
      <c r="E1403" s="593"/>
      <c r="F1403" s="589"/>
      <c r="G1403" s="589"/>
      <c r="H1403" s="589">
        <v>1</v>
      </c>
      <c r="I1403" s="589"/>
      <c r="J1403" s="594">
        <v>15000</v>
      </c>
      <c r="K1403" s="589">
        <f t="shared" si="73"/>
        <v>15000</v>
      </c>
    </row>
    <row r="1404" spans="1:11" ht="26.25">
      <c r="A1404" s="589">
        <v>15</v>
      </c>
      <c r="B1404" s="609" t="s">
        <v>689</v>
      </c>
      <c r="C1404" s="610" t="s">
        <v>1652</v>
      </c>
      <c r="D1404" s="592" t="s">
        <v>40</v>
      </c>
      <c r="E1404" s="595">
        <v>1</v>
      </c>
      <c r="F1404" s="589"/>
      <c r="G1404" s="589"/>
      <c r="H1404" s="589"/>
      <c r="I1404" s="589"/>
      <c r="J1404" s="594">
        <v>178180</v>
      </c>
      <c r="K1404" s="596">
        <f t="shared" si="73"/>
        <v>178180</v>
      </c>
    </row>
    <row r="1405" spans="1:11">
      <c r="A1405" s="589">
        <v>16</v>
      </c>
      <c r="B1405" s="590" t="s">
        <v>484</v>
      </c>
      <c r="C1405" s="591" t="s">
        <v>1653</v>
      </c>
      <c r="D1405" s="592" t="s">
        <v>40</v>
      </c>
      <c r="E1405" s="593">
        <v>1</v>
      </c>
      <c r="F1405" s="589"/>
      <c r="G1405" s="589"/>
      <c r="H1405" s="589"/>
      <c r="I1405" s="589"/>
      <c r="J1405" s="594">
        <v>56455</v>
      </c>
      <c r="K1405" s="589">
        <f t="shared" si="73"/>
        <v>56455</v>
      </c>
    </row>
    <row r="1406" spans="1:11">
      <c r="A1406" s="589">
        <v>17</v>
      </c>
      <c r="B1406" s="590" t="s">
        <v>1654</v>
      </c>
      <c r="C1406" s="591" t="s">
        <v>1655</v>
      </c>
      <c r="D1406" s="592" t="s">
        <v>40</v>
      </c>
      <c r="E1406" s="593">
        <v>1</v>
      </c>
      <c r="F1406" s="589"/>
      <c r="G1406" s="589"/>
      <c r="H1406" s="597"/>
      <c r="I1406" s="589"/>
      <c r="J1406" s="594">
        <v>25470</v>
      </c>
      <c r="K1406" s="589">
        <f t="shared" si="73"/>
        <v>25470</v>
      </c>
    </row>
    <row r="1407" spans="1:11" ht="25.5">
      <c r="A1407" s="589">
        <v>18</v>
      </c>
      <c r="B1407" s="590" t="s">
        <v>651</v>
      </c>
      <c r="C1407" s="591" t="s">
        <v>1656</v>
      </c>
      <c r="D1407" s="592" t="s">
        <v>40</v>
      </c>
      <c r="E1407" s="593">
        <v>6</v>
      </c>
      <c r="F1407" s="589"/>
      <c r="G1407" s="589"/>
      <c r="H1407" s="597"/>
      <c r="I1407" s="589"/>
      <c r="J1407" s="594">
        <v>19000</v>
      </c>
      <c r="K1407" s="589">
        <f t="shared" si="73"/>
        <v>114000</v>
      </c>
    </row>
    <row r="1408" spans="1:11" ht="26.25">
      <c r="A1408" s="589">
        <v>19</v>
      </c>
      <c r="B1408" s="590" t="s">
        <v>1657</v>
      </c>
      <c r="C1408" s="610" t="s">
        <v>1658</v>
      </c>
      <c r="D1408" s="592" t="s">
        <v>40</v>
      </c>
      <c r="E1408" s="595"/>
      <c r="F1408" s="589"/>
      <c r="G1408" s="589">
        <v>5</v>
      </c>
      <c r="H1408" s="589"/>
      <c r="I1408" s="589"/>
      <c r="J1408" s="608">
        <v>15000</v>
      </c>
      <c r="K1408" s="596">
        <f t="shared" si="73"/>
        <v>75000</v>
      </c>
    </row>
    <row r="1409" spans="1:11">
      <c r="A1409" s="1239" t="s">
        <v>1659</v>
      </c>
      <c r="B1409" s="1240"/>
      <c r="C1409" s="604"/>
      <c r="D1409" s="605"/>
      <c r="E1409" s="606"/>
      <c r="F1409" s="607"/>
      <c r="G1409" s="607"/>
      <c r="H1409" s="607"/>
      <c r="I1409" s="606"/>
      <c r="J1409" s="608"/>
      <c r="K1409" s="596"/>
    </row>
    <row r="1410" spans="1:11">
      <c r="A1410" s="589">
        <v>1</v>
      </c>
      <c r="B1410" s="590" t="s">
        <v>411</v>
      </c>
      <c r="C1410" s="611" t="s">
        <v>1660</v>
      </c>
      <c r="D1410" s="592" t="s">
        <v>46</v>
      </c>
      <c r="E1410" s="593">
        <v>160</v>
      </c>
      <c r="F1410" s="589"/>
      <c r="G1410" s="589"/>
      <c r="H1410" s="589"/>
      <c r="I1410" s="589"/>
      <c r="J1410" s="594">
        <v>118</v>
      </c>
      <c r="K1410" s="589">
        <f t="shared" ref="K1410:K1520" si="74">(E1410+F1410+G1410+H1410+I1410)*J1410</f>
        <v>18880</v>
      </c>
    </row>
    <row r="1411" spans="1:11">
      <c r="A1411" s="589">
        <v>2</v>
      </c>
      <c r="B1411" s="590" t="s">
        <v>322</v>
      </c>
      <c r="C1411" s="611" t="s">
        <v>1661</v>
      </c>
      <c r="D1411" s="598" t="s">
        <v>46</v>
      </c>
      <c r="E1411" s="593">
        <v>1410</v>
      </c>
      <c r="F1411" s="589"/>
      <c r="G1411" s="589"/>
      <c r="H1411" s="589"/>
      <c r="I1411" s="589"/>
      <c r="J1411" s="612">
        <v>15.3225</v>
      </c>
      <c r="K1411" s="589">
        <f t="shared" si="74"/>
        <v>21604.724999999999</v>
      </c>
    </row>
    <row r="1412" spans="1:11">
      <c r="A1412" s="589">
        <v>3</v>
      </c>
      <c r="B1412" s="597" t="s">
        <v>1662</v>
      </c>
      <c r="C1412" s="611" t="s">
        <v>1663</v>
      </c>
      <c r="D1412" s="598" t="s">
        <v>266</v>
      </c>
      <c r="E1412" s="593">
        <v>5</v>
      </c>
      <c r="F1412" s="589"/>
      <c r="G1412" s="589"/>
      <c r="H1412" s="613"/>
      <c r="I1412" s="589"/>
      <c r="J1412" s="599">
        <v>807.60500000000002</v>
      </c>
      <c r="K1412" s="589">
        <f t="shared" si="74"/>
        <v>4038.0250000000001</v>
      </c>
    </row>
    <row r="1413" spans="1:11">
      <c r="A1413" s="589">
        <v>4</v>
      </c>
      <c r="B1413" s="603" t="s">
        <v>1664</v>
      </c>
      <c r="C1413" s="611" t="s">
        <v>1665</v>
      </c>
      <c r="D1413" s="592" t="s">
        <v>46</v>
      </c>
      <c r="E1413" s="595">
        <v>234</v>
      </c>
      <c r="F1413" s="589"/>
      <c r="G1413" s="589"/>
      <c r="H1413" s="589"/>
      <c r="I1413" s="589"/>
      <c r="J1413" s="595">
        <v>40.86</v>
      </c>
      <c r="K1413" s="589">
        <f t="shared" si="74"/>
        <v>9561.24</v>
      </c>
    </row>
    <row r="1414" spans="1:11" ht="25.5">
      <c r="A1414" s="589">
        <v>5</v>
      </c>
      <c r="B1414" s="614" t="s">
        <v>395</v>
      </c>
      <c r="C1414" s="615" t="s">
        <v>1666</v>
      </c>
      <c r="D1414" s="616" t="s">
        <v>1667</v>
      </c>
      <c r="E1414" s="606">
        <v>0.43</v>
      </c>
      <c r="F1414" s="607"/>
      <c r="G1414" s="607"/>
      <c r="H1414" s="607"/>
      <c r="I1414" s="606"/>
      <c r="J1414" s="608">
        <v>239776</v>
      </c>
      <c r="K1414" s="596">
        <f>(E1414+F1414+G1414+H1414+I1414)*J1414</f>
        <v>103103.67999999999</v>
      </c>
    </row>
    <row r="1415" spans="1:11" ht="25.5">
      <c r="A1415" s="589">
        <v>6</v>
      </c>
      <c r="B1415" s="614" t="s">
        <v>1668</v>
      </c>
      <c r="C1415" s="615" t="s">
        <v>1669</v>
      </c>
      <c r="D1415" s="616" t="s">
        <v>1667</v>
      </c>
      <c r="E1415" s="606">
        <v>0.39</v>
      </c>
      <c r="F1415" s="607"/>
      <c r="G1415" s="607"/>
      <c r="H1415" s="607"/>
      <c r="I1415" s="606"/>
      <c r="J1415" s="608">
        <v>555201.80000000005</v>
      </c>
      <c r="K1415" s="596">
        <f t="shared" si="74"/>
        <v>216528.70200000002</v>
      </c>
    </row>
    <row r="1416" spans="1:11" ht="25.5">
      <c r="A1416" s="589">
        <v>7</v>
      </c>
      <c r="B1416" s="614" t="s">
        <v>1670</v>
      </c>
      <c r="C1416" s="615" t="s">
        <v>1671</v>
      </c>
      <c r="D1416" s="616" t="s">
        <v>1667</v>
      </c>
      <c r="E1416" s="606">
        <v>0.27500000000000002</v>
      </c>
      <c r="F1416" s="607"/>
      <c r="G1416" s="607"/>
      <c r="H1416" s="607"/>
      <c r="I1416" s="606"/>
      <c r="J1416" s="608">
        <v>206298.22</v>
      </c>
      <c r="K1416" s="596">
        <f t="shared" si="74"/>
        <v>56732.010500000004</v>
      </c>
    </row>
    <row r="1417" spans="1:11" ht="51">
      <c r="A1417" s="589">
        <v>8</v>
      </c>
      <c r="B1417" s="614" t="s">
        <v>1672</v>
      </c>
      <c r="C1417" s="615" t="s">
        <v>1673</v>
      </c>
      <c r="D1417" s="617" t="s">
        <v>40</v>
      </c>
      <c r="E1417" s="606">
        <v>1</v>
      </c>
      <c r="F1417" s="607"/>
      <c r="G1417" s="607"/>
      <c r="H1417" s="607"/>
      <c r="I1417" s="606"/>
      <c r="J1417" s="608">
        <v>69561</v>
      </c>
      <c r="K1417" s="596">
        <f t="shared" si="74"/>
        <v>69561</v>
      </c>
    </row>
    <row r="1418" spans="1:11" ht="25.5">
      <c r="A1418" s="589">
        <v>9</v>
      </c>
      <c r="B1418" s="614" t="s">
        <v>1674</v>
      </c>
      <c r="C1418" s="615" t="s">
        <v>1675</v>
      </c>
      <c r="D1418" s="617" t="s">
        <v>40</v>
      </c>
      <c r="E1418" s="606">
        <v>1</v>
      </c>
      <c r="F1418" s="607"/>
      <c r="G1418" s="607"/>
      <c r="H1418" s="607"/>
      <c r="I1418" s="606"/>
      <c r="J1418" s="608">
        <v>1115.0999999999999</v>
      </c>
      <c r="K1418" s="596">
        <f t="shared" si="74"/>
        <v>1115.0999999999999</v>
      </c>
    </row>
    <row r="1419" spans="1:11" ht="25.5">
      <c r="A1419" s="589">
        <v>10</v>
      </c>
      <c r="B1419" s="614" t="s">
        <v>1676</v>
      </c>
      <c r="C1419" s="615" t="s">
        <v>1677</v>
      </c>
      <c r="D1419" s="616" t="s">
        <v>195</v>
      </c>
      <c r="E1419" s="606">
        <v>22</v>
      </c>
      <c r="F1419" s="607"/>
      <c r="G1419" s="607"/>
      <c r="H1419" s="607"/>
      <c r="I1419" s="606"/>
      <c r="J1419" s="608">
        <v>354</v>
      </c>
      <c r="K1419" s="596">
        <f>(E1419+F1419+G1419+H1419+I1419)*J1419</f>
        <v>7788</v>
      </c>
    </row>
    <row r="1420" spans="1:11" ht="25.5">
      <c r="A1420" s="589">
        <v>11</v>
      </c>
      <c r="B1420" s="590" t="s">
        <v>1678</v>
      </c>
      <c r="C1420" s="591" t="s">
        <v>1679</v>
      </c>
      <c r="D1420" s="592" t="s">
        <v>601</v>
      </c>
      <c r="E1420" s="589">
        <v>67</v>
      </c>
      <c r="F1420" s="589"/>
      <c r="G1420" s="589"/>
      <c r="H1420" s="618"/>
      <c r="I1420" s="589"/>
      <c r="J1420" s="594">
        <v>260</v>
      </c>
      <c r="K1420" s="589">
        <f t="shared" si="74"/>
        <v>17420</v>
      </c>
    </row>
    <row r="1421" spans="1:11" ht="30">
      <c r="A1421" s="589">
        <v>12</v>
      </c>
      <c r="B1421" s="603" t="s">
        <v>1680</v>
      </c>
      <c r="C1421" s="619" t="s">
        <v>1681</v>
      </c>
      <c r="D1421" s="592" t="s">
        <v>40</v>
      </c>
      <c r="E1421" s="595"/>
      <c r="F1421" s="589"/>
      <c r="G1421" s="589"/>
      <c r="H1421" s="597">
        <v>1</v>
      </c>
      <c r="I1421" s="589"/>
      <c r="J1421" s="595">
        <v>350</v>
      </c>
      <c r="K1421" s="589">
        <f>(E1421+F1421+G1421+H1421+I1421)*J1421</f>
        <v>350</v>
      </c>
    </row>
    <row r="1422" spans="1:11">
      <c r="A1422" s="589">
        <v>13</v>
      </c>
      <c r="B1422" s="590" t="s">
        <v>1682</v>
      </c>
      <c r="C1422" s="591" t="s">
        <v>1683</v>
      </c>
      <c r="D1422" s="592" t="s">
        <v>601</v>
      </c>
      <c r="E1422" s="593">
        <v>7.5</v>
      </c>
      <c r="F1422" s="589"/>
      <c r="G1422" s="589"/>
      <c r="H1422" s="589"/>
      <c r="I1422" s="589"/>
      <c r="J1422" s="601">
        <v>448.32499999999999</v>
      </c>
      <c r="K1422" s="589">
        <f t="shared" si="74"/>
        <v>3362.4375</v>
      </c>
    </row>
    <row r="1423" spans="1:11">
      <c r="A1423" s="589">
        <v>14</v>
      </c>
      <c r="B1423" s="614" t="s">
        <v>1684</v>
      </c>
      <c r="C1423" s="615" t="s">
        <v>1685</v>
      </c>
      <c r="D1423" s="617" t="s">
        <v>40</v>
      </c>
      <c r="E1423" s="606">
        <v>2</v>
      </c>
      <c r="F1423" s="607"/>
      <c r="G1423" s="607"/>
      <c r="H1423" s="607"/>
      <c r="I1423" s="606"/>
      <c r="J1423" s="608">
        <v>764.64</v>
      </c>
      <c r="K1423" s="596">
        <f>(E1423+F1423+G1423+H1423+I1423)*J1423</f>
        <v>1529.28</v>
      </c>
    </row>
    <row r="1424" spans="1:11">
      <c r="A1424" s="589">
        <v>15</v>
      </c>
      <c r="B1424" s="609" t="s">
        <v>1686</v>
      </c>
      <c r="C1424" s="610" t="s">
        <v>1687</v>
      </c>
      <c r="D1424" s="592" t="s">
        <v>7</v>
      </c>
      <c r="E1424" s="595">
        <v>0.1</v>
      </c>
      <c r="F1424" s="589"/>
      <c r="G1424" s="589"/>
      <c r="H1424" s="589"/>
      <c r="I1424" s="589"/>
      <c r="J1424" s="594">
        <v>590</v>
      </c>
      <c r="K1424" s="589">
        <f>(E1424+F1424+G1424+H1424+I1424)*J1424</f>
        <v>59</v>
      </c>
    </row>
    <row r="1425" spans="1:11" ht="25.5">
      <c r="A1425" s="589">
        <v>16</v>
      </c>
      <c r="B1425" s="590" t="s">
        <v>390</v>
      </c>
      <c r="C1425" s="611" t="s">
        <v>1688</v>
      </c>
      <c r="D1425" s="592" t="s">
        <v>40</v>
      </c>
      <c r="E1425" s="593">
        <v>32</v>
      </c>
      <c r="F1425" s="589"/>
      <c r="G1425" s="589"/>
      <c r="H1425" s="589"/>
      <c r="I1425" s="589"/>
      <c r="J1425" s="601">
        <v>464</v>
      </c>
      <c r="K1425" s="589">
        <f t="shared" si="74"/>
        <v>14848</v>
      </c>
    </row>
    <row r="1426" spans="1:11">
      <c r="A1426" s="589">
        <v>17</v>
      </c>
      <c r="B1426" s="590" t="s">
        <v>342</v>
      </c>
      <c r="C1426" s="611" t="s">
        <v>1689</v>
      </c>
      <c r="D1426" s="592" t="s">
        <v>40</v>
      </c>
      <c r="E1426" s="593">
        <v>6</v>
      </c>
      <c r="F1426" s="589"/>
      <c r="G1426" s="589"/>
      <c r="H1426" s="597"/>
      <c r="I1426" s="589"/>
      <c r="J1426" s="594">
        <v>1049.875</v>
      </c>
      <c r="K1426" s="589">
        <f t="shared" si="74"/>
        <v>6299.25</v>
      </c>
    </row>
    <row r="1427" spans="1:11" ht="25.5">
      <c r="A1427" s="589">
        <v>18</v>
      </c>
      <c r="B1427" s="614" t="s">
        <v>746</v>
      </c>
      <c r="C1427" s="615" t="s">
        <v>1690</v>
      </c>
      <c r="D1427" s="616" t="s">
        <v>40</v>
      </c>
      <c r="E1427" s="606">
        <v>10</v>
      </c>
      <c r="F1427" s="607"/>
      <c r="G1427" s="607"/>
      <c r="H1427" s="607"/>
      <c r="I1427" s="606"/>
      <c r="J1427" s="608">
        <v>1660.26</v>
      </c>
      <c r="K1427" s="596">
        <f>(E1427+F1427+G1427+H1427+I1427)*J1427</f>
        <v>16602.599999999999</v>
      </c>
    </row>
    <row r="1428" spans="1:11" ht="25.5">
      <c r="A1428" s="589">
        <v>19</v>
      </c>
      <c r="B1428" s="590" t="s">
        <v>417</v>
      </c>
      <c r="C1428" s="611" t="s">
        <v>1691</v>
      </c>
      <c r="D1428" s="592" t="s">
        <v>40</v>
      </c>
      <c r="E1428" s="593">
        <v>7</v>
      </c>
      <c r="F1428" s="589"/>
      <c r="G1428" s="589"/>
      <c r="H1428" s="597"/>
      <c r="I1428" s="589"/>
      <c r="J1428" s="620">
        <v>3229.0749999999998</v>
      </c>
      <c r="K1428" s="589">
        <f t="shared" si="74"/>
        <v>22603.524999999998</v>
      </c>
    </row>
    <row r="1429" spans="1:11" ht="25.5">
      <c r="A1429" s="589">
        <v>20</v>
      </c>
      <c r="B1429" s="590" t="s">
        <v>260</v>
      </c>
      <c r="C1429" s="611" t="s">
        <v>1692</v>
      </c>
      <c r="D1429" s="592" t="s">
        <v>40</v>
      </c>
      <c r="E1429" s="593">
        <v>9</v>
      </c>
      <c r="F1429" s="589"/>
      <c r="G1429" s="589"/>
      <c r="H1429" s="597"/>
      <c r="I1429" s="589"/>
      <c r="J1429" s="620">
        <v>2252.9749999999999</v>
      </c>
      <c r="K1429" s="589">
        <f t="shared" si="74"/>
        <v>20276.774999999998</v>
      </c>
    </row>
    <row r="1430" spans="1:11">
      <c r="A1430" s="589">
        <v>21</v>
      </c>
      <c r="B1430" s="590" t="s">
        <v>1693</v>
      </c>
      <c r="C1430" s="611" t="s">
        <v>1694</v>
      </c>
      <c r="D1430" s="617" t="s">
        <v>40</v>
      </c>
      <c r="E1430" s="593"/>
      <c r="F1430" s="589"/>
      <c r="G1430" s="589"/>
      <c r="H1430" s="597">
        <v>9</v>
      </c>
      <c r="I1430" s="589"/>
      <c r="J1430" s="621">
        <v>186.62334000000001</v>
      </c>
      <c r="K1430" s="589">
        <f t="shared" si="74"/>
        <v>1679.6100600000002</v>
      </c>
    </row>
    <row r="1431" spans="1:11" ht="51">
      <c r="A1431" s="589">
        <v>22</v>
      </c>
      <c r="B1431" s="622" t="s">
        <v>1695</v>
      </c>
      <c r="C1431" s="611" t="s">
        <v>1696</v>
      </c>
      <c r="D1431" s="592" t="s">
        <v>40</v>
      </c>
      <c r="E1431" s="595">
        <v>3</v>
      </c>
      <c r="F1431" s="589"/>
      <c r="G1431" s="589"/>
      <c r="H1431" s="589"/>
      <c r="I1431" s="589"/>
      <c r="J1431" s="594">
        <v>1371.71</v>
      </c>
      <c r="K1431" s="589">
        <f>(E1431+F1431+G1431+H1431+I1431)*J1431</f>
        <v>4115.13</v>
      </c>
    </row>
    <row r="1432" spans="1:11" ht="25.5">
      <c r="A1432" s="589">
        <v>23</v>
      </c>
      <c r="B1432" s="590" t="s">
        <v>235</v>
      </c>
      <c r="C1432" s="623" t="s">
        <v>1697</v>
      </c>
      <c r="D1432" s="592" t="s">
        <v>40</v>
      </c>
      <c r="E1432" s="593"/>
      <c r="F1432" s="589"/>
      <c r="G1432" s="589"/>
      <c r="H1432" s="589">
        <v>15</v>
      </c>
      <c r="I1432" s="589"/>
      <c r="J1432" s="624">
        <v>1223.53</v>
      </c>
      <c r="K1432" s="589">
        <f t="shared" si="74"/>
        <v>18352.95</v>
      </c>
    </row>
    <row r="1433" spans="1:11" ht="25.5">
      <c r="A1433" s="589">
        <v>24</v>
      </c>
      <c r="B1433" s="590" t="s">
        <v>251</v>
      </c>
      <c r="C1433" s="611" t="s">
        <v>1698</v>
      </c>
      <c r="D1433" s="592" t="s">
        <v>40</v>
      </c>
      <c r="E1433" s="593"/>
      <c r="F1433" s="589"/>
      <c r="G1433" s="589"/>
      <c r="H1433" s="589">
        <v>10</v>
      </c>
      <c r="I1433" s="589"/>
      <c r="J1433" s="601">
        <v>508.48</v>
      </c>
      <c r="K1433" s="589">
        <f t="shared" si="74"/>
        <v>5084.8</v>
      </c>
    </row>
    <row r="1434" spans="1:11" ht="25.5">
      <c r="A1434" s="589">
        <v>25</v>
      </c>
      <c r="B1434" s="590" t="s">
        <v>613</v>
      </c>
      <c r="C1434" s="611" t="s">
        <v>1699</v>
      </c>
      <c r="D1434" s="592" t="s">
        <v>40</v>
      </c>
      <c r="E1434" s="593"/>
      <c r="F1434" s="589"/>
      <c r="G1434" s="589"/>
      <c r="H1434" s="597">
        <v>10</v>
      </c>
      <c r="I1434" s="589"/>
      <c r="J1434" s="601">
        <v>561.82500000000005</v>
      </c>
      <c r="K1434" s="589">
        <f t="shared" si="74"/>
        <v>5618.25</v>
      </c>
    </row>
    <row r="1435" spans="1:11" ht="25.5">
      <c r="A1435" s="589">
        <v>26</v>
      </c>
      <c r="B1435" s="590" t="s">
        <v>405</v>
      </c>
      <c r="C1435" s="623" t="s">
        <v>1700</v>
      </c>
      <c r="D1435" s="593" t="s">
        <v>40</v>
      </c>
      <c r="E1435" s="593">
        <v>2</v>
      </c>
      <c r="F1435" s="589"/>
      <c r="G1435" s="589"/>
      <c r="H1435" s="589"/>
      <c r="I1435" s="589"/>
      <c r="J1435" s="601">
        <v>11293.25</v>
      </c>
      <c r="K1435" s="589">
        <f t="shared" si="74"/>
        <v>22586.5</v>
      </c>
    </row>
    <row r="1436" spans="1:11" ht="25.5">
      <c r="A1436" s="589">
        <v>27</v>
      </c>
      <c r="B1436" s="590" t="s">
        <v>1701</v>
      </c>
      <c r="C1436" s="611" t="s">
        <v>1702</v>
      </c>
      <c r="D1436" s="592" t="s">
        <v>40</v>
      </c>
      <c r="E1436" s="593">
        <v>2</v>
      </c>
      <c r="F1436" s="589"/>
      <c r="G1436" s="589"/>
      <c r="H1436" s="589"/>
      <c r="I1436" s="589"/>
      <c r="J1436" s="594">
        <v>9023.25</v>
      </c>
      <c r="K1436" s="589">
        <f t="shared" si="74"/>
        <v>18046.5</v>
      </c>
    </row>
    <row r="1437" spans="1:11" ht="25.5">
      <c r="A1437" s="589">
        <v>28</v>
      </c>
      <c r="B1437" s="590" t="s">
        <v>1703</v>
      </c>
      <c r="C1437" s="611" t="s">
        <v>1704</v>
      </c>
      <c r="D1437" s="592" t="s">
        <v>40</v>
      </c>
      <c r="E1437" s="593">
        <v>1</v>
      </c>
      <c r="F1437" s="589"/>
      <c r="G1437" s="589"/>
      <c r="H1437" s="589"/>
      <c r="I1437" s="589"/>
      <c r="J1437" s="594">
        <v>28329.599999999999</v>
      </c>
      <c r="K1437" s="589">
        <f t="shared" si="74"/>
        <v>28329.599999999999</v>
      </c>
    </row>
    <row r="1438" spans="1:11" ht="38.25">
      <c r="A1438" s="589">
        <v>29</v>
      </c>
      <c r="B1438" s="590" t="s">
        <v>1347</v>
      </c>
      <c r="C1438" s="611" t="s">
        <v>1705</v>
      </c>
      <c r="D1438" s="592" t="s">
        <v>40</v>
      </c>
      <c r="E1438" s="593">
        <v>2</v>
      </c>
      <c r="F1438" s="589"/>
      <c r="G1438" s="589"/>
      <c r="H1438" s="589"/>
      <c r="I1438" s="589"/>
      <c r="J1438" s="594">
        <v>27217.3</v>
      </c>
      <c r="K1438" s="589">
        <f>(E1438+F1438+G1438+H1438+I1438)*J1438</f>
        <v>54434.6</v>
      </c>
    </row>
    <row r="1439" spans="1:11" ht="25.5">
      <c r="A1439" s="589">
        <v>30</v>
      </c>
      <c r="B1439" s="590" t="s">
        <v>1706</v>
      </c>
      <c r="C1439" s="611" t="s">
        <v>1707</v>
      </c>
      <c r="D1439" s="592" t="s">
        <v>40</v>
      </c>
      <c r="E1439" s="593">
        <v>5</v>
      </c>
      <c r="F1439" s="589"/>
      <c r="G1439" s="589"/>
      <c r="H1439" s="589"/>
      <c r="I1439" s="589"/>
      <c r="J1439" s="625">
        <v>8266.9883000000009</v>
      </c>
      <c r="K1439" s="589">
        <f t="shared" si="74"/>
        <v>41334.941500000001</v>
      </c>
    </row>
    <row r="1440" spans="1:11" ht="25.5">
      <c r="A1440" s="589">
        <v>31</v>
      </c>
      <c r="B1440" s="590" t="s">
        <v>352</v>
      </c>
      <c r="C1440" s="611" t="s">
        <v>1708</v>
      </c>
      <c r="D1440" s="592" t="s">
        <v>40</v>
      </c>
      <c r="E1440" s="593">
        <v>3</v>
      </c>
      <c r="F1440" s="589"/>
      <c r="G1440" s="589"/>
      <c r="H1440" s="597"/>
      <c r="I1440" s="589"/>
      <c r="J1440" s="594">
        <v>7922.3</v>
      </c>
      <c r="K1440" s="589">
        <f t="shared" si="74"/>
        <v>23766.9</v>
      </c>
    </row>
    <row r="1441" spans="1:11" ht="25.5">
      <c r="A1441" s="589">
        <v>32</v>
      </c>
      <c r="B1441" s="590" t="s">
        <v>1709</v>
      </c>
      <c r="C1441" s="611" t="s">
        <v>1710</v>
      </c>
      <c r="D1441" s="592" t="s">
        <v>40</v>
      </c>
      <c r="E1441" s="593">
        <v>12</v>
      </c>
      <c r="F1441" s="589"/>
      <c r="G1441" s="589"/>
      <c r="H1441" s="597"/>
      <c r="I1441" s="589"/>
      <c r="J1441" s="620">
        <v>3489.2150000000001</v>
      </c>
      <c r="K1441" s="589">
        <f t="shared" si="74"/>
        <v>41870.58</v>
      </c>
    </row>
    <row r="1442" spans="1:11" ht="25.5">
      <c r="A1442" s="589">
        <v>33</v>
      </c>
      <c r="B1442" s="590" t="s">
        <v>360</v>
      </c>
      <c r="C1442" s="611" t="s">
        <v>1711</v>
      </c>
      <c r="D1442" s="617" t="s">
        <v>40</v>
      </c>
      <c r="E1442" s="593">
        <v>3</v>
      </c>
      <c r="F1442" s="589"/>
      <c r="G1442" s="589"/>
      <c r="H1442" s="589"/>
      <c r="I1442" s="589"/>
      <c r="J1442" s="626">
        <v>5211.92</v>
      </c>
      <c r="K1442" s="589">
        <f t="shared" si="74"/>
        <v>15635.76</v>
      </c>
    </row>
    <row r="1443" spans="1:11" ht="25.5">
      <c r="A1443" s="589">
        <v>34</v>
      </c>
      <c r="B1443" s="590" t="s">
        <v>1712</v>
      </c>
      <c r="C1443" s="611" t="s">
        <v>1713</v>
      </c>
      <c r="D1443" s="598" t="s">
        <v>40</v>
      </c>
      <c r="E1443" s="593">
        <v>1</v>
      </c>
      <c r="F1443" s="589"/>
      <c r="G1443" s="589"/>
      <c r="H1443" s="589"/>
      <c r="I1443" s="589"/>
      <c r="J1443" s="599">
        <v>13614.325000000001</v>
      </c>
      <c r="K1443" s="589">
        <f t="shared" si="74"/>
        <v>13614.325000000001</v>
      </c>
    </row>
    <row r="1444" spans="1:11" ht="25.5">
      <c r="A1444" s="589">
        <v>35</v>
      </c>
      <c r="B1444" s="590" t="s">
        <v>1714</v>
      </c>
      <c r="C1444" s="611" t="s">
        <v>1715</v>
      </c>
      <c r="D1444" s="592" t="s">
        <v>40</v>
      </c>
      <c r="E1444" s="595">
        <v>3</v>
      </c>
      <c r="F1444" s="589"/>
      <c r="G1444" s="589"/>
      <c r="H1444" s="589"/>
      <c r="I1444" s="589"/>
      <c r="J1444" s="594">
        <v>2831.83</v>
      </c>
      <c r="K1444" s="589">
        <f>(E1444+F1444+G1444+H1444+I1444)*J1444</f>
        <v>8495.49</v>
      </c>
    </row>
    <row r="1445" spans="1:11">
      <c r="A1445" s="589">
        <v>36</v>
      </c>
      <c r="B1445" s="590" t="s">
        <v>698</v>
      </c>
      <c r="C1445" s="611" t="s">
        <v>1716</v>
      </c>
      <c r="D1445" s="592" t="s">
        <v>601</v>
      </c>
      <c r="E1445" s="593">
        <v>17</v>
      </c>
      <c r="F1445" s="589"/>
      <c r="G1445" s="589"/>
      <c r="H1445" s="589"/>
      <c r="I1445" s="589"/>
      <c r="J1445" s="594">
        <v>3852.7</v>
      </c>
      <c r="K1445" s="589">
        <f t="shared" si="74"/>
        <v>65495.899999999994</v>
      </c>
    </row>
    <row r="1446" spans="1:11" ht="25.5">
      <c r="A1446" s="589">
        <v>37</v>
      </c>
      <c r="B1446" s="590" t="s">
        <v>1717</v>
      </c>
      <c r="C1446" s="611" t="s">
        <v>1718</v>
      </c>
      <c r="D1446" s="592" t="s">
        <v>40</v>
      </c>
      <c r="E1446" s="593">
        <v>3</v>
      </c>
      <c r="F1446" s="589"/>
      <c r="G1446" s="589"/>
      <c r="H1446" s="589"/>
      <c r="I1446" s="589"/>
      <c r="J1446" s="594">
        <v>3393.65</v>
      </c>
      <c r="K1446" s="589">
        <f t="shared" si="74"/>
        <v>10180.950000000001</v>
      </c>
    </row>
    <row r="1447" spans="1:11">
      <c r="A1447" s="589">
        <v>38</v>
      </c>
      <c r="B1447" s="614" t="s">
        <v>358</v>
      </c>
      <c r="C1447" s="615" t="s">
        <v>1719</v>
      </c>
      <c r="D1447" s="616" t="s">
        <v>40</v>
      </c>
      <c r="E1447" s="606">
        <v>5</v>
      </c>
      <c r="F1447" s="607"/>
      <c r="G1447" s="607"/>
      <c r="H1447" s="607"/>
      <c r="I1447" s="606"/>
      <c r="J1447" s="608">
        <v>7543.74</v>
      </c>
      <c r="K1447" s="596">
        <f>(E1447+F1447+G1447+H1447+I1447)*J1447</f>
        <v>37718.699999999997</v>
      </c>
    </row>
    <row r="1448" spans="1:11" ht="45">
      <c r="A1448" s="589">
        <v>39</v>
      </c>
      <c r="B1448" s="590" t="s">
        <v>1720</v>
      </c>
      <c r="C1448" s="627" t="s">
        <v>1721</v>
      </c>
      <c r="D1448" s="592" t="s">
        <v>40</v>
      </c>
      <c r="E1448" s="595">
        <v>5</v>
      </c>
      <c r="F1448" s="589"/>
      <c r="G1448" s="589"/>
      <c r="H1448" s="597"/>
      <c r="I1448" s="589"/>
      <c r="J1448" s="595">
        <v>2831.8249999999998</v>
      </c>
      <c r="K1448" s="589">
        <f>(E1448+F1448+G1448+H1448+I1448)*J1448</f>
        <v>14159.125</v>
      </c>
    </row>
    <row r="1449" spans="1:11" ht="38.25">
      <c r="A1449" s="589">
        <v>40</v>
      </c>
      <c r="B1449" s="590" t="s">
        <v>726</v>
      </c>
      <c r="C1449" s="611" t="s">
        <v>1722</v>
      </c>
      <c r="D1449" s="592" t="s">
        <v>40</v>
      </c>
      <c r="E1449" s="595">
        <v>2</v>
      </c>
      <c r="F1449" s="589"/>
      <c r="G1449" s="589"/>
      <c r="H1449" s="589"/>
      <c r="I1449" s="589"/>
      <c r="J1449" s="595">
        <v>1401</v>
      </c>
      <c r="K1449" s="589">
        <f>(E1449+F1449+G1449+H1449+I1449)*J1449</f>
        <v>2802</v>
      </c>
    </row>
    <row r="1450" spans="1:11" ht="38.25">
      <c r="A1450" s="589">
        <v>41</v>
      </c>
      <c r="B1450" s="1241" t="s">
        <v>1723</v>
      </c>
      <c r="C1450" s="611" t="s">
        <v>1724</v>
      </c>
      <c r="D1450" s="592" t="s">
        <v>40</v>
      </c>
      <c r="E1450" s="595">
        <v>1</v>
      </c>
      <c r="F1450" s="589"/>
      <c r="G1450" s="589"/>
      <c r="H1450" s="589"/>
      <c r="I1450" s="589"/>
      <c r="J1450" s="594">
        <v>4301.6499999999996</v>
      </c>
      <c r="K1450" s="589">
        <f>(E1450+F1450+G1450+H1450+I1450)*J1450</f>
        <v>4301.6499999999996</v>
      </c>
    </row>
    <row r="1451" spans="1:11" ht="25.5">
      <c r="A1451" s="589">
        <v>42</v>
      </c>
      <c r="B1451" s="1242"/>
      <c r="C1451" s="611" t="s">
        <v>1725</v>
      </c>
      <c r="D1451" s="592" t="s">
        <v>40</v>
      </c>
      <c r="E1451" s="595">
        <v>5</v>
      </c>
      <c r="F1451" s="589"/>
      <c r="G1451" s="589"/>
      <c r="H1451" s="589"/>
      <c r="I1451" s="589"/>
      <c r="J1451" s="594">
        <v>3382.3</v>
      </c>
      <c r="K1451" s="589">
        <f>(E1451+F1451+G1451+H1451+I1451)*J1451</f>
        <v>16911.5</v>
      </c>
    </row>
    <row r="1452" spans="1:11">
      <c r="A1452" s="589">
        <v>43</v>
      </c>
      <c r="B1452" s="590" t="s">
        <v>421</v>
      </c>
      <c r="C1452" s="611" t="s">
        <v>1726</v>
      </c>
      <c r="D1452" s="592" t="s">
        <v>40</v>
      </c>
      <c r="E1452" s="593">
        <v>1</v>
      </c>
      <c r="F1452" s="589"/>
      <c r="G1452" s="589"/>
      <c r="H1452" s="589"/>
      <c r="I1452" s="589"/>
      <c r="J1452" s="594">
        <v>83178.2</v>
      </c>
      <c r="K1452" s="589">
        <f t="shared" si="74"/>
        <v>83178.2</v>
      </c>
    </row>
    <row r="1453" spans="1:11">
      <c r="A1453" s="589">
        <v>44</v>
      </c>
      <c r="B1453" s="590" t="s">
        <v>42</v>
      </c>
      <c r="C1453" s="611" t="s">
        <v>1727</v>
      </c>
      <c r="D1453" s="617" t="s">
        <v>40</v>
      </c>
      <c r="E1453" s="593">
        <v>1</v>
      </c>
      <c r="F1453" s="589"/>
      <c r="G1453" s="589"/>
      <c r="H1453" s="589"/>
      <c r="I1453" s="589"/>
      <c r="J1453" s="628">
        <v>16720.8</v>
      </c>
      <c r="K1453" s="589">
        <f t="shared" si="74"/>
        <v>16720.8</v>
      </c>
    </row>
    <row r="1454" spans="1:11">
      <c r="A1454" s="589">
        <v>45</v>
      </c>
      <c r="B1454" s="609" t="s">
        <v>1728</v>
      </c>
      <c r="C1454" s="629" t="s">
        <v>1729</v>
      </c>
      <c r="D1454" s="592" t="s">
        <v>40</v>
      </c>
      <c r="E1454" s="595">
        <v>2</v>
      </c>
      <c r="F1454" s="589"/>
      <c r="G1454" s="589"/>
      <c r="H1454" s="589"/>
      <c r="I1454" s="589"/>
      <c r="J1454" s="594">
        <v>6985.6</v>
      </c>
      <c r="K1454" s="589">
        <f t="shared" si="74"/>
        <v>13971.2</v>
      </c>
    </row>
    <row r="1455" spans="1:11">
      <c r="A1455" s="589">
        <v>46</v>
      </c>
      <c r="B1455" s="609" t="s">
        <v>1730</v>
      </c>
      <c r="C1455" s="629" t="s">
        <v>1731</v>
      </c>
      <c r="D1455" s="592" t="s">
        <v>40</v>
      </c>
      <c r="E1455" s="595">
        <v>3</v>
      </c>
      <c r="F1455" s="589"/>
      <c r="G1455" s="589"/>
      <c r="H1455" s="589"/>
      <c r="I1455" s="589"/>
      <c r="J1455" s="594">
        <v>6985.6</v>
      </c>
      <c r="K1455" s="589">
        <f t="shared" si="74"/>
        <v>20956.800000000003</v>
      </c>
    </row>
    <row r="1456" spans="1:11" ht="25.5">
      <c r="A1456" s="589">
        <v>47</v>
      </c>
      <c r="B1456" s="597" t="s">
        <v>1417</v>
      </c>
      <c r="C1456" s="611" t="s">
        <v>1732</v>
      </c>
      <c r="D1456" s="598" t="s">
        <v>40</v>
      </c>
      <c r="E1456" s="593">
        <v>3</v>
      </c>
      <c r="F1456" s="589"/>
      <c r="G1456" s="589"/>
      <c r="H1456" s="589"/>
      <c r="I1456" s="589"/>
      <c r="J1456" s="599">
        <v>5141.05</v>
      </c>
      <c r="K1456" s="589">
        <f t="shared" si="74"/>
        <v>15423.150000000001</v>
      </c>
    </row>
    <row r="1457" spans="1:11" ht="25.5">
      <c r="A1457" s="589">
        <v>48</v>
      </c>
      <c r="B1457" s="597" t="s">
        <v>347</v>
      </c>
      <c r="C1457" s="611" t="s">
        <v>1733</v>
      </c>
      <c r="D1457" s="598" t="s">
        <v>40</v>
      </c>
      <c r="E1457" s="593">
        <v>2</v>
      </c>
      <c r="F1457" s="589"/>
      <c r="G1457" s="589"/>
      <c r="H1457" s="589"/>
      <c r="I1457" s="589"/>
      <c r="J1457" s="599">
        <v>5141.05</v>
      </c>
      <c r="K1457" s="589">
        <f t="shared" si="74"/>
        <v>10282.1</v>
      </c>
    </row>
    <row r="1458" spans="1:11" ht="26.25">
      <c r="A1458" s="589">
        <v>49</v>
      </c>
      <c r="B1458" s="590" t="s">
        <v>1734</v>
      </c>
      <c r="C1458" s="629" t="s">
        <v>1735</v>
      </c>
      <c r="D1458" s="592" t="s">
        <v>40</v>
      </c>
      <c r="E1458" s="595">
        <v>5</v>
      </c>
      <c r="F1458" s="589"/>
      <c r="G1458" s="589"/>
      <c r="H1458" s="589"/>
      <c r="I1458" s="589"/>
      <c r="J1458" s="594">
        <v>6979.7</v>
      </c>
      <c r="K1458" s="589">
        <f t="shared" si="74"/>
        <v>34898.5</v>
      </c>
    </row>
    <row r="1459" spans="1:11" ht="26.25">
      <c r="A1459" s="589">
        <v>50</v>
      </c>
      <c r="B1459" s="590" t="s">
        <v>1736</v>
      </c>
      <c r="C1459" s="629" t="s">
        <v>1737</v>
      </c>
      <c r="D1459" s="592" t="s">
        <v>40</v>
      </c>
      <c r="E1459" s="595">
        <v>4</v>
      </c>
      <c r="F1459" s="589"/>
      <c r="G1459" s="589"/>
      <c r="H1459" s="589"/>
      <c r="I1459" s="589"/>
      <c r="J1459" s="594">
        <v>6979.7</v>
      </c>
      <c r="K1459" s="596">
        <f t="shared" si="74"/>
        <v>27918.799999999999</v>
      </c>
    </row>
    <row r="1460" spans="1:11" ht="25.5">
      <c r="A1460" s="589">
        <v>51</v>
      </c>
      <c r="B1460" s="590" t="s">
        <v>1738</v>
      </c>
      <c r="C1460" s="611" t="s">
        <v>1739</v>
      </c>
      <c r="D1460" s="592" t="s">
        <v>40</v>
      </c>
      <c r="E1460" s="593">
        <v>5</v>
      </c>
      <c r="F1460" s="589"/>
      <c r="G1460" s="589"/>
      <c r="H1460" s="589"/>
      <c r="I1460" s="589"/>
      <c r="J1460" s="594">
        <v>703.28</v>
      </c>
      <c r="K1460" s="589">
        <f t="shared" si="74"/>
        <v>3516.3999999999996</v>
      </c>
    </row>
    <row r="1461" spans="1:11" ht="25.5">
      <c r="A1461" s="589">
        <v>52</v>
      </c>
      <c r="B1461" s="590" t="s">
        <v>1740</v>
      </c>
      <c r="C1461" s="611" t="s">
        <v>1741</v>
      </c>
      <c r="D1461" s="592" t="s">
        <v>40</v>
      </c>
      <c r="E1461" s="593">
        <v>2</v>
      </c>
      <c r="F1461" s="589"/>
      <c r="G1461" s="589"/>
      <c r="H1461" s="589"/>
      <c r="I1461" s="589"/>
      <c r="J1461" s="594">
        <v>703.28</v>
      </c>
      <c r="K1461" s="589">
        <f t="shared" si="74"/>
        <v>1406.56</v>
      </c>
    </row>
    <row r="1462" spans="1:11" ht="25.5">
      <c r="A1462" s="589">
        <v>53</v>
      </c>
      <c r="B1462" s="590" t="s">
        <v>1742</v>
      </c>
      <c r="C1462" s="611" t="s">
        <v>1743</v>
      </c>
      <c r="D1462" s="592" t="s">
        <v>40</v>
      </c>
      <c r="E1462" s="593">
        <v>2</v>
      </c>
      <c r="F1462" s="589"/>
      <c r="G1462" s="589"/>
      <c r="H1462" s="589"/>
      <c r="I1462" s="589"/>
      <c r="J1462" s="594">
        <v>703.28</v>
      </c>
      <c r="K1462" s="630">
        <f t="shared" si="74"/>
        <v>1406.56</v>
      </c>
    </row>
    <row r="1463" spans="1:11">
      <c r="A1463" s="589">
        <v>54</v>
      </c>
      <c r="B1463" s="590" t="s">
        <v>1744</v>
      </c>
      <c r="C1463" s="611" t="s">
        <v>1745</v>
      </c>
      <c r="D1463" s="592" t="s">
        <v>40</v>
      </c>
      <c r="E1463" s="593">
        <v>1</v>
      </c>
      <c r="F1463" s="589"/>
      <c r="G1463" s="589"/>
      <c r="H1463" s="589"/>
      <c r="I1463" s="589"/>
      <c r="J1463" s="601">
        <v>540</v>
      </c>
      <c r="K1463" s="589">
        <f t="shared" si="74"/>
        <v>540</v>
      </c>
    </row>
    <row r="1464" spans="1:11">
      <c r="A1464" s="589">
        <v>55</v>
      </c>
      <c r="B1464" s="590" t="s">
        <v>1746</v>
      </c>
      <c r="C1464" s="611" t="s">
        <v>1747</v>
      </c>
      <c r="D1464" s="592" t="s">
        <v>40</v>
      </c>
      <c r="E1464" s="593">
        <v>1</v>
      </c>
      <c r="F1464" s="589"/>
      <c r="G1464" s="589"/>
      <c r="H1464" s="589"/>
      <c r="I1464" s="589"/>
      <c r="J1464" s="601">
        <v>700</v>
      </c>
      <c r="K1464" s="589">
        <f t="shared" si="74"/>
        <v>700</v>
      </c>
    </row>
    <row r="1465" spans="1:11">
      <c r="A1465" s="589">
        <v>56</v>
      </c>
      <c r="B1465" s="614" t="s">
        <v>299</v>
      </c>
      <c r="C1465" s="615" t="s">
        <v>1748</v>
      </c>
      <c r="D1465" s="617" t="s">
        <v>40</v>
      </c>
      <c r="E1465" s="606">
        <v>24</v>
      </c>
      <c r="F1465" s="607"/>
      <c r="G1465" s="607"/>
      <c r="H1465" s="607"/>
      <c r="I1465" s="606"/>
      <c r="J1465" s="608">
        <v>1649.64</v>
      </c>
      <c r="K1465" s="596">
        <f>(E1465+F1465+G1465+H1465+I1465)*J1465</f>
        <v>39591.360000000001</v>
      </c>
    </row>
    <row r="1466" spans="1:11" ht="25.5">
      <c r="A1466" s="589">
        <v>57</v>
      </c>
      <c r="B1466" s="614" t="s">
        <v>1749</v>
      </c>
      <c r="C1466" s="615" t="s">
        <v>1750</v>
      </c>
      <c r="D1466" s="617" t="s">
        <v>40</v>
      </c>
      <c r="E1466" s="606">
        <v>12</v>
      </c>
      <c r="F1466" s="607"/>
      <c r="G1466" s="607"/>
      <c r="H1466" s="607"/>
      <c r="I1466" s="606"/>
      <c r="J1466" s="608">
        <v>18526</v>
      </c>
      <c r="K1466" s="596">
        <f>(E1466+F1466+G1466+H1466+I1466)*J1466</f>
        <v>222312</v>
      </c>
    </row>
    <row r="1467" spans="1:11" ht="25.5">
      <c r="A1467" s="589">
        <v>58</v>
      </c>
      <c r="B1467" s="590" t="s">
        <v>427</v>
      </c>
      <c r="C1467" s="623" t="s">
        <v>1751</v>
      </c>
      <c r="D1467" s="592" t="s">
        <v>40</v>
      </c>
      <c r="E1467" s="593">
        <v>6</v>
      </c>
      <c r="F1467" s="589"/>
      <c r="G1467" s="589"/>
      <c r="H1467" s="589"/>
      <c r="I1467" s="589"/>
      <c r="J1467" s="601">
        <v>3400.46</v>
      </c>
      <c r="K1467" s="589">
        <f t="shared" si="74"/>
        <v>20402.760000000002</v>
      </c>
    </row>
    <row r="1468" spans="1:11" ht="25.5">
      <c r="A1468" s="589">
        <v>59</v>
      </c>
      <c r="B1468" s="590" t="s">
        <v>429</v>
      </c>
      <c r="C1468" s="623" t="s">
        <v>1752</v>
      </c>
      <c r="D1468" s="592" t="s">
        <v>40</v>
      </c>
      <c r="E1468" s="593">
        <v>3</v>
      </c>
      <c r="F1468" s="589"/>
      <c r="G1468" s="589"/>
      <c r="H1468" s="589"/>
      <c r="I1468" s="589"/>
      <c r="J1468" s="601">
        <v>4653.5</v>
      </c>
      <c r="K1468" s="589">
        <f t="shared" si="74"/>
        <v>13960.5</v>
      </c>
    </row>
    <row r="1469" spans="1:11" ht="25.5">
      <c r="A1469" s="589">
        <v>60</v>
      </c>
      <c r="B1469" s="590" t="s">
        <v>1753</v>
      </c>
      <c r="C1469" s="623" t="s">
        <v>1754</v>
      </c>
      <c r="D1469" s="592" t="s">
        <v>40</v>
      </c>
      <c r="E1469" s="593">
        <v>5</v>
      </c>
      <c r="F1469" s="589"/>
      <c r="G1469" s="589"/>
      <c r="H1469" s="589"/>
      <c r="I1469" s="589"/>
      <c r="J1469" s="601">
        <v>6800</v>
      </c>
      <c r="K1469" s="589">
        <f t="shared" si="74"/>
        <v>34000</v>
      </c>
    </row>
    <row r="1470" spans="1:11">
      <c r="A1470" s="589">
        <v>61</v>
      </c>
      <c r="B1470" s="590" t="s">
        <v>1755</v>
      </c>
      <c r="C1470" s="623" t="s">
        <v>1756</v>
      </c>
      <c r="D1470" s="592" t="s">
        <v>40</v>
      </c>
      <c r="E1470" s="593">
        <v>10</v>
      </c>
      <c r="F1470" s="589"/>
      <c r="G1470" s="589"/>
      <c r="H1470" s="589"/>
      <c r="I1470" s="589"/>
      <c r="J1470" s="601">
        <v>3575.3</v>
      </c>
      <c r="K1470" s="589">
        <f t="shared" si="74"/>
        <v>35753</v>
      </c>
    </row>
    <row r="1471" spans="1:11" ht="25.5">
      <c r="A1471" s="589">
        <v>62</v>
      </c>
      <c r="B1471" s="590" t="s">
        <v>1757</v>
      </c>
      <c r="C1471" s="611" t="s">
        <v>1758</v>
      </c>
      <c r="D1471" s="617" t="s">
        <v>40</v>
      </c>
      <c r="E1471" s="593">
        <v>10</v>
      </c>
      <c r="F1471" s="589"/>
      <c r="G1471" s="589"/>
      <c r="H1471" s="589"/>
      <c r="I1471" s="589"/>
      <c r="J1471" s="626">
        <v>3121.3</v>
      </c>
      <c r="K1471" s="589">
        <f t="shared" si="74"/>
        <v>31213</v>
      </c>
    </row>
    <row r="1472" spans="1:11">
      <c r="A1472" s="589">
        <v>63</v>
      </c>
      <c r="B1472" s="631" t="s">
        <v>1323</v>
      </c>
      <c r="C1472" s="632" t="s">
        <v>1759</v>
      </c>
      <c r="D1472" s="617" t="s">
        <v>40</v>
      </c>
      <c r="E1472" s="593">
        <v>14</v>
      </c>
      <c r="F1472" s="589"/>
      <c r="G1472" s="589"/>
      <c r="H1472" s="589"/>
      <c r="I1472" s="589"/>
      <c r="J1472" s="626">
        <v>8435.82</v>
      </c>
      <c r="K1472" s="589">
        <f t="shared" si="74"/>
        <v>118101.48</v>
      </c>
    </row>
    <row r="1473" spans="1:11">
      <c r="A1473" s="589">
        <v>64</v>
      </c>
      <c r="B1473" s="1222" t="s">
        <v>1760</v>
      </c>
      <c r="C1473" s="615" t="s">
        <v>1761</v>
      </c>
      <c r="D1473" s="616" t="s">
        <v>40</v>
      </c>
      <c r="E1473" s="606">
        <v>5</v>
      </c>
      <c r="F1473" s="607"/>
      <c r="G1473" s="607"/>
      <c r="H1473" s="607"/>
      <c r="I1473" s="606"/>
      <c r="J1473" s="608">
        <v>2820.2</v>
      </c>
      <c r="K1473" s="596">
        <f>(E1473+F1473+G1473+H1473+I1473)*J1473</f>
        <v>14101</v>
      </c>
    </row>
    <row r="1474" spans="1:11" ht="26.25">
      <c r="A1474" s="589">
        <v>65</v>
      </c>
      <c r="B1474" s="1224"/>
      <c r="C1474" s="629" t="s">
        <v>1762</v>
      </c>
      <c r="D1474" s="592" t="s">
        <v>40</v>
      </c>
      <c r="E1474" s="595">
        <v>5</v>
      </c>
      <c r="F1474" s="589"/>
      <c r="G1474" s="589"/>
      <c r="H1474" s="589"/>
      <c r="I1474" s="589"/>
      <c r="J1474" s="594">
        <v>2339.94</v>
      </c>
      <c r="K1474" s="589">
        <f>(E1474+F1474+G1474+H1474+I1474)*J1474</f>
        <v>11699.7</v>
      </c>
    </row>
    <row r="1475" spans="1:11" ht="38.25">
      <c r="A1475" s="589">
        <v>66</v>
      </c>
      <c r="B1475" s="590" t="s">
        <v>1763</v>
      </c>
      <c r="C1475" s="611" t="s">
        <v>1764</v>
      </c>
      <c r="D1475" s="617" t="s">
        <v>40</v>
      </c>
      <c r="E1475" s="593">
        <v>6</v>
      </c>
      <c r="F1475" s="589"/>
      <c r="G1475" s="589"/>
      <c r="H1475" s="589"/>
      <c r="I1475" s="589"/>
      <c r="J1475" s="633">
        <v>1139.2750000000001</v>
      </c>
      <c r="K1475" s="589">
        <f t="shared" si="74"/>
        <v>6835.6500000000005</v>
      </c>
    </row>
    <row r="1476" spans="1:11">
      <c r="A1476" s="589">
        <v>67</v>
      </c>
      <c r="B1476" s="590" t="s">
        <v>1765</v>
      </c>
      <c r="C1476" s="623" t="s">
        <v>1766</v>
      </c>
      <c r="D1476" s="592" t="s">
        <v>40</v>
      </c>
      <c r="E1476" s="593">
        <v>2</v>
      </c>
      <c r="F1476" s="589"/>
      <c r="G1476" s="589"/>
      <c r="H1476" s="589"/>
      <c r="I1476" s="589"/>
      <c r="J1476" s="601">
        <v>913.71</v>
      </c>
      <c r="K1476" s="589">
        <f t="shared" si="74"/>
        <v>1827.42</v>
      </c>
    </row>
    <row r="1477" spans="1:11" ht="25.5">
      <c r="A1477" s="589">
        <v>68</v>
      </c>
      <c r="B1477" s="590" t="s">
        <v>1767</v>
      </c>
      <c r="C1477" s="611" t="s">
        <v>1768</v>
      </c>
      <c r="D1477" s="592" t="s">
        <v>40</v>
      </c>
      <c r="E1477" s="595">
        <v>5</v>
      </c>
      <c r="F1477" s="589"/>
      <c r="G1477" s="589"/>
      <c r="H1477" s="589"/>
      <c r="I1477" s="589"/>
      <c r="J1477" s="594">
        <v>4483.25</v>
      </c>
      <c r="K1477" s="589">
        <f>(E1477+F1477+G1477+H1477+I1477)*J1477</f>
        <v>22416.25</v>
      </c>
    </row>
    <row r="1478" spans="1:11">
      <c r="A1478" s="589">
        <v>69</v>
      </c>
      <c r="B1478" s="603" t="s">
        <v>1769</v>
      </c>
      <c r="C1478" s="611" t="s">
        <v>1770</v>
      </c>
      <c r="D1478" s="592" t="s">
        <v>40</v>
      </c>
      <c r="E1478" s="595">
        <v>1</v>
      </c>
      <c r="F1478" s="589"/>
      <c r="G1478" s="589"/>
      <c r="H1478" s="589"/>
      <c r="I1478" s="589"/>
      <c r="J1478" s="595">
        <v>68</v>
      </c>
      <c r="K1478" s="589">
        <f>(E1478+F1478+G1478+H1478+I1478)*J1478</f>
        <v>68</v>
      </c>
    </row>
    <row r="1479" spans="1:11">
      <c r="A1479" s="589">
        <v>70</v>
      </c>
      <c r="B1479" s="603" t="s">
        <v>1771</v>
      </c>
      <c r="C1479" s="611" t="s">
        <v>1772</v>
      </c>
      <c r="D1479" s="592" t="s">
        <v>40</v>
      </c>
      <c r="E1479" s="595">
        <v>7</v>
      </c>
      <c r="F1479" s="589"/>
      <c r="G1479" s="589"/>
      <c r="H1479" s="589"/>
      <c r="I1479" s="589"/>
      <c r="J1479" s="595">
        <v>64</v>
      </c>
      <c r="K1479" s="589">
        <f>(E1479+F1479+G1479+H1479+I1479)*J1479</f>
        <v>448</v>
      </c>
    </row>
    <row r="1480" spans="1:11">
      <c r="A1480" s="589">
        <v>71</v>
      </c>
      <c r="B1480" s="603" t="s">
        <v>1773</v>
      </c>
      <c r="C1480" s="611" t="s">
        <v>1774</v>
      </c>
      <c r="D1480" s="592" t="s">
        <v>40</v>
      </c>
      <c r="E1480" s="595">
        <v>12</v>
      </c>
      <c r="F1480" s="589"/>
      <c r="G1480" s="589"/>
      <c r="H1480" s="589"/>
      <c r="I1480" s="589"/>
      <c r="J1480" s="595">
        <v>62</v>
      </c>
      <c r="K1480" s="589">
        <f>(E1480+F1480+G1480+H1480+I1480)*J1480</f>
        <v>744</v>
      </c>
    </row>
    <row r="1481" spans="1:11">
      <c r="A1481" s="589">
        <v>72</v>
      </c>
      <c r="B1481" s="603" t="s">
        <v>1775</v>
      </c>
      <c r="C1481" s="611" t="s">
        <v>1776</v>
      </c>
      <c r="D1481" s="617" t="s">
        <v>40</v>
      </c>
      <c r="E1481" s="595">
        <v>9</v>
      </c>
      <c r="F1481" s="589"/>
      <c r="G1481" s="589"/>
      <c r="H1481" s="589"/>
      <c r="I1481" s="589"/>
      <c r="J1481" s="595">
        <v>60</v>
      </c>
      <c r="K1481" s="589">
        <f t="shared" ref="K1481:K1487" si="75">(E1481+F1481+G1481+H1481+I1481)*J1481</f>
        <v>540</v>
      </c>
    </row>
    <row r="1482" spans="1:11" ht="25.5">
      <c r="A1482" s="589">
        <v>73</v>
      </c>
      <c r="B1482" s="1222" t="s">
        <v>1777</v>
      </c>
      <c r="C1482" s="611" t="s">
        <v>1778</v>
      </c>
      <c r="D1482" s="592" t="s">
        <v>40</v>
      </c>
      <c r="E1482" s="595">
        <v>4</v>
      </c>
      <c r="F1482" s="589"/>
      <c r="G1482" s="589"/>
      <c r="H1482" s="597"/>
      <c r="I1482" s="589"/>
      <c r="J1482" s="595">
        <v>448.33</v>
      </c>
      <c r="K1482" s="589">
        <f t="shared" si="75"/>
        <v>1793.32</v>
      </c>
    </row>
    <row r="1483" spans="1:11" ht="25.5">
      <c r="A1483" s="589">
        <v>74</v>
      </c>
      <c r="B1483" s="1224"/>
      <c r="C1483" s="611" t="s">
        <v>1779</v>
      </c>
      <c r="D1483" s="592" t="s">
        <v>40</v>
      </c>
      <c r="E1483" s="595">
        <v>6</v>
      </c>
      <c r="F1483" s="589"/>
      <c r="G1483" s="589"/>
      <c r="H1483" s="597"/>
      <c r="I1483" s="589"/>
      <c r="J1483" s="595">
        <v>675.32500000000005</v>
      </c>
      <c r="K1483" s="589">
        <f t="shared" si="75"/>
        <v>4051.9500000000003</v>
      </c>
    </row>
    <row r="1484" spans="1:11" ht="25.5">
      <c r="A1484" s="589">
        <v>75</v>
      </c>
      <c r="B1484" s="603" t="s">
        <v>1780</v>
      </c>
      <c r="C1484" s="611" t="s">
        <v>1781</v>
      </c>
      <c r="D1484" s="592" t="s">
        <v>40</v>
      </c>
      <c r="E1484" s="595">
        <v>2</v>
      </c>
      <c r="F1484" s="589"/>
      <c r="G1484" s="589"/>
      <c r="H1484" s="589"/>
      <c r="I1484" s="589"/>
      <c r="J1484" s="595">
        <v>675.32500000000005</v>
      </c>
      <c r="K1484" s="589">
        <f t="shared" si="75"/>
        <v>1350.65</v>
      </c>
    </row>
    <row r="1485" spans="1:11" ht="25.5">
      <c r="A1485" s="589">
        <v>76</v>
      </c>
      <c r="B1485" s="603" t="s">
        <v>1782</v>
      </c>
      <c r="C1485" s="611" t="s">
        <v>1783</v>
      </c>
      <c r="D1485" s="592" t="s">
        <v>40</v>
      </c>
      <c r="E1485" s="595">
        <v>5</v>
      </c>
      <c r="F1485" s="589"/>
      <c r="G1485" s="589"/>
      <c r="H1485" s="597"/>
      <c r="I1485" s="589"/>
      <c r="J1485" s="595">
        <v>675.32500000000005</v>
      </c>
      <c r="K1485" s="589">
        <f t="shared" si="75"/>
        <v>3376.625</v>
      </c>
    </row>
    <row r="1486" spans="1:11">
      <c r="A1486" s="589">
        <v>77</v>
      </c>
      <c r="B1486" s="603" t="s">
        <v>1784</v>
      </c>
      <c r="C1486" s="611" t="s">
        <v>1785</v>
      </c>
      <c r="D1486" s="592" t="s">
        <v>40</v>
      </c>
      <c r="E1486" s="595">
        <v>5</v>
      </c>
      <c r="F1486" s="589"/>
      <c r="G1486" s="589"/>
      <c r="H1486" s="589"/>
      <c r="I1486" s="589"/>
      <c r="J1486" s="595">
        <v>681</v>
      </c>
      <c r="K1486" s="589">
        <f t="shared" si="75"/>
        <v>3405</v>
      </c>
    </row>
    <row r="1487" spans="1:11">
      <c r="A1487" s="589">
        <v>78</v>
      </c>
      <c r="B1487" s="1222" t="s">
        <v>1786</v>
      </c>
      <c r="C1487" s="611" t="s">
        <v>1787</v>
      </c>
      <c r="D1487" s="617" t="s">
        <v>40</v>
      </c>
      <c r="E1487" s="595">
        <v>8</v>
      </c>
      <c r="F1487" s="589"/>
      <c r="G1487" s="589"/>
      <c r="H1487" s="597"/>
      <c r="I1487" s="589"/>
      <c r="J1487" s="595">
        <v>448.33</v>
      </c>
      <c r="K1487" s="589">
        <f t="shared" si="75"/>
        <v>3586.64</v>
      </c>
    </row>
    <row r="1488" spans="1:11" ht="25.5">
      <c r="A1488" s="589">
        <v>79</v>
      </c>
      <c r="B1488" s="1224"/>
      <c r="C1488" s="611" t="s">
        <v>1788</v>
      </c>
      <c r="D1488" s="592" t="s">
        <v>40</v>
      </c>
      <c r="E1488" s="595">
        <v>4</v>
      </c>
      <c r="F1488" s="589"/>
      <c r="G1488" s="589"/>
      <c r="H1488" s="589"/>
      <c r="I1488" s="589"/>
      <c r="J1488" s="595">
        <v>675.32500000000005</v>
      </c>
      <c r="K1488" s="589">
        <f>(E1488+F1488+G1488+H1488+I1488)*J1488</f>
        <v>2701.3</v>
      </c>
    </row>
    <row r="1489" spans="1:11" ht="63.75">
      <c r="A1489" s="589">
        <v>80</v>
      </c>
      <c r="B1489" s="634" t="s">
        <v>1789</v>
      </c>
      <c r="C1489" s="611" t="s">
        <v>1790</v>
      </c>
      <c r="D1489" s="592" t="s">
        <v>40</v>
      </c>
      <c r="E1489" s="595">
        <v>2</v>
      </c>
      <c r="F1489" s="589"/>
      <c r="G1489" s="589"/>
      <c r="H1489" s="589"/>
      <c r="I1489" s="589"/>
      <c r="J1489" s="594">
        <v>11336.380000000001</v>
      </c>
      <c r="K1489" s="589">
        <f>(E1489+F1489+G1489+H1489+I1489)*J1489</f>
        <v>22672.760000000002</v>
      </c>
    </row>
    <row r="1490" spans="1:11" ht="25.5">
      <c r="A1490" s="589">
        <v>81</v>
      </c>
      <c r="B1490" s="590" t="s">
        <v>1403</v>
      </c>
      <c r="C1490" s="611" t="s">
        <v>1791</v>
      </c>
      <c r="D1490" s="592" t="s">
        <v>40</v>
      </c>
      <c r="E1490" s="593">
        <v>3</v>
      </c>
      <c r="F1490" s="589"/>
      <c r="G1490" s="589"/>
      <c r="H1490" s="589"/>
      <c r="I1490" s="589"/>
      <c r="J1490" s="594">
        <v>13614.33</v>
      </c>
      <c r="K1490" s="589">
        <f t="shared" si="74"/>
        <v>40842.99</v>
      </c>
    </row>
    <row r="1491" spans="1:11" ht="25.5">
      <c r="A1491" s="589">
        <v>82</v>
      </c>
      <c r="B1491" s="590" t="s">
        <v>1792</v>
      </c>
      <c r="C1491" s="611" t="s">
        <v>1793</v>
      </c>
      <c r="D1491" s="592" t="s">
        <v>40</v>
      </c>
      <c r="E1491" s="593">
        <v>3</v>
      </c>
      <c r="F1491" s="589"/>
      <c r="G1491" s="589"/>
      <c r="H1491" s="589"/>
      <c r="I1491" s="589"/>
      <c r="J1491" s="594">
        <v>10430.65</v>
      </c>
      <c r="K1491" s="589">
        <f t="shared" si="74"/>
        <v>31291.949999999997</v>
      </c>
    </row>
    <row r="1492" spans="1:11">
      <c r="A1492" s="589">
        <v>83</v>
      </c>
      <c r="B1492" s="603" t="s">
        <v>1794</v>
      </c>
      <c r="C1492" s="604" t="s">
        <v>1795</v>
      </c>
      <c r="D1492" s="592" t="s">
        <v>449</v>
      </c>
      <c r="E1492" s="595">
        <v>826</v>
      </c>
      <c r="F1492" s="589"/>
      <c r="G1492" s="589"/>
      <c r="H1492" s="589"/>
      <c r="I1492" s="589"/>
      <c r="J1492" s="608">
        <v>50</v>
      </c>
      <c r="K1492" s="596">
        <f>(E1492+F1492+G1492+H1492+I1492)*J1492</f>
        <v>41300</v>
      </c>
    </row>
    <row r="1493" spans="1:11" ht="26.25">
      <c r="A1493" s="589">
        <v>84</v>
      </c>
      <c r="B1493" s="603" t="s">
        <v>1796</v>
      </c>
      <c r="C1493" s="604" t="s">
        <v>1797</v>
      </c>
      <c r="D1493" s="592" t="s">
        <v>40</v>
      </c>
      <c r="E1493" s="595">
        <v>13</v>
      </c>
      <c r="F1493" s="589"/>
      <c r="G1493" s="589"/>
      <c r="H1493" s="589"/>
      <c r="I1493" s="589"/>
      <c r="J1493" s="608">
        <v>250</v>
      </c>
      <c r="K1493" s="596">
        <f>(E1493+F1493+G1493+H1493+I1493)*J1493</f>
        <v>3250</v>
      </c>
    </row>
    <row r="1494" spans="1:11" ht="25.5">
      <c r="A1494" s="589">
        <v>85</v>
      </c>
      <c r="B1494" s="590" t="s">
        <v>1798</v>
      </c>
      <c r="C1494" s="611" t="s">
        <v>1799</v>
      </c>
      <c r="D1494" s="592" t="s">
        <v>40</v>
      </c>
      <c r="E1494" s="593">
        <v>1</v>
      </c>
      <c r="F1494" s="589"/>
      <c r="G1494" s="589"/>
      <c r="H1494" s="597"/>
      <c r="I1494" s="589"/>
      <c r="J1494" s="620">
        <v>18154.325000000001</v>
      </c>
      <c r="K1494" s="589">
        <f t="shared" si="74"/>
        <v>18154.325000000001</v>
      </c>
    </row>
    <row r="1495" spans="1:11">
      <c r="A1495" s="589">
        <v>86</v>
      </c>
      <c r="B1495" s="1222" t="s">
        <v>742</v>
      </c>
      <c r="C1495" s="615" t="s">
        <v>1800</v>
      </c>
      <c r="D1495" s="616" t="s">
        <v>40</v>
      </c>
      <c r="E1495" s="606">
        <v>7</v>
      </c>
      <c r="F1495" s="607"/>
      <c r="G1495" s="607"/>
      <c r="H1495" s="607"/>
      <c r="I1495" s="606"/>
      <c r="J1495" s="608">
        <v>1652</v>
      </c>
      <c r="K1495" s="596">
        <f t="shared" si="74"/>
        <v>11564</v>
      </c>
    </row>
    <row r="1496" spans="1:11" ht="25.5">
      <c r="A1496" s="589">
        <v>87</v>
      </c>
      <c r="B1496" s="1223"/>
      <c r="C1496" s="615" t="s">
        <v>1801</v>
      </c>
      <c r="D1496" s="617" t="s">
        <v>40</v>
      </c>
      <c r="E1496" s="606">
        <v>5</v>
      </c>
      <c r="F1496" s="607"/>
      <c r="G1496" s="607"/>
      <c r="H1496" s="607"/>
      <c r="I1496" s="606"/>
      <c r="J1496" s="608">
        <v>1469.1</v>
      </c>
      <c r="K1496" s="596">
        <f>(E1496+F1496+G1496+H1496+I1496)*J1496</f>
        <v>7345.5</v>
      </c>
    </row>
    <row r="1497" spans="1:11">
      <c r="A1497" s="589">
        <v>88</v>
      </c>
      <c r="B1497" s="614" t="s">
        <v>1802</v>
      </c>
      <c r="C1497" s="615" t="s">
        <v>1803</v>
      </c>
      <c r="D1497" s="616" t="s">
        <v>40</v>
      </c>
      <c r="E1497" s="606">
        <v>1</v>
      </c>
      <c r="F1497" s="607"/>
      <c r="G1497" s="607"/>
      <c r="H1497" s="607"/>
      <c r="I1497" s="606"/>
      <c r="J1497" s="608">
        <v>33619.379999999997</v>
      </c>
      <c r="K1497" s="596">
        <f t="shared" si="74"/>
        <v>33619.379999999997</v>
      </c>
    </row>
    <row r="1498" spans="1:11">
      <c r="A1498" s="589">
        <v>89</v>
      </c>
      <c r="B1498" s="614" t="s">
        <v>738</v>
      </c>
      <c r="C1498" s="615" t="s">
        <v>1804</v>
      </c>
      <c r="D1498" s="616" t="s">
        <v>195</v>
      </c>
      <c r="E1498" s="606">
        <v>35</v>
      </c>
      <c r="F1498" s="607"/>
      <c r="G1498" s="607"/>
      <c r="H1498" s="607"/>
      <c r="I1498" s="606"/>
      <c r="J1498" s="608">
        <v>595.9</v>
      </c>
      <c r="K1498" s="596">
        <f t="shared" si="74"/>
        <v>20856.5</v>
      </c>
    </row>
    <row r="1499" spans="1:11" ht="45">
      <c r="A1499" s="589">
        <v>90</v>
      </c>
      <c r="B1499" s="1222" t="s">
        <v>1805</v>
      </c>
      <c r="C1499" s="627" t="s">
        <v>1806</v>
      </c>
      <c r="D1499" s="592" t="s">
        <v>40</v>
      </c>
      <c r="E1499" s="595">
        <v>1</v>
      </c>
      <c r="F1499" s="589"/>
      <c r="G1499" s="589"/>
      <c r="H1499" s="597"/>
      <c r="I1499" s="589"/>
      <c r="J1499" s="595">
        <v>2264.3249999999998</v>
      </c>
      <c r="K1499" s="589">
        <f t="shared" si="74"/>
        <v>2264.3249999999998</v>
      </c>
    </row>
    <row r="1500" spans="1:11" ht="25.5">
      <c r="A1500" s="589">
        <v>91</v>
      </c>
      <c r="B1500" s="1223"/>
      <c r="C1500" s="611" t="s">
        <v>1807</v>
      </c>
      <c r="D1500" s="592" t="s">
        <v>40</v>
      </c>
      <c r="E1500" s="595">
        <v>3</v>
      </c>
      <c r="F1500" s="589"/>
      <c r="G1500" s="589"/>
      <c r="H1500" s="589"/>
      <c r="I1500" s="589"/>
      <c r="J1500" s="595">
        <v>1856.25</v>
      </c>
      <c r="K1500" s="635">
        <f>(E1500+F1500+G1500+H1500+I1500)*J1500</f>
        <v>5568.75</v>
      </c>
    </row>
    <row r="1501" spans="1:11" ht="25.5">
      <c r="A1501" s="589">
        <v>92</v>
      </c>
      <c r="B1501" s="1223"/>
      <c r="C1501" s="615" t="s">
        <v>1808</v>
      </c>
      <c r="D1501" s="617" t="s">
        <v>40</v>
      </c>
      <c r="E1501" s="606">
        <v>2</v>
      </c>
      <c r="F1501" s="607"/>
      <c r="G1501" s="607"/>
      <c r="H1501" s="607"/>
      <c r="I1501" s="606"/>
      <c r="J1501" s="608">
        <v>1115.0999999999999</v>
      </c>
      <c r="K1501" s="596">
        <f>(E1501+F1501+G1501+H1501+I1501)*J1501</f>
        <v>2230.1999999999998</v>
      </c>
    </row>
    <row r="1502" spans="1:11">
      <c r="A1502" s="589">
        <v>93</v>
      </c>
      <c r="B1502" s="1223"/>
      <c r="C1502" s="629" t="s">
        <v>1809</v>
      </c>
      <c r="D1502" s="592" t="s">
        <v>40</v>
      </c>
      <c r="E1502" s="595">
        <v>4</v>
      </c>
      <c r="F1502" s="589"/>
      <c r="G1502" s="589"/>
      <c r="H1502" s="589"/>
      <c r="I1502" s="589"/>
      <c r="J1502" s="608">
        <v>12873.8</v>
      </c>
      <c r="K1502" s="596">
        <f>(E1502+F1502+G1502+H1502+I1502)*J1502</f>
        <v>51495.199999999997</v>
      </c>
    </row>
    <row r="1503" spans="1:11">
      <c r="A1503" s="589">
        <v>94</v>
      </c>
      <c r="B1503" s="1224"/>
      <c r="C1503" s="611" t="s">
        <v>1810</v>
      </c>
      <c r="D1503" s="592" t="s">
        <v>266</v>
      </c>
      <c r="E1503" s="595">
        <v>15</v>
      </c>
      <c r="F1503" s="589"/>
      <c r="G1503" s="589"/>
      <c r="H1503" s="597"/>
      <c r="I1503" s="589"/>
      <c r="J1503" s="594">
        <v>200</v>
      </c>
      <c r="K1503" s="589">
        <f>(E1503+F1503+G1503+H1503+I1503)*J1503</f>
        <v>3000</v>
      </c>
    </row>
    <row r="1504" spans="1:11">
      <c r="A1504" s="1239" t="s">
        <v>0</v>
      </c>
      <c r="B1504" s="1240"/>
      <c r="C1504" s="615"/>
      <c r="D1504" s="617"/>
      <c r="E1504" s="606"/>
      <c r="F1504" s="607"/>
      <c r="G1504" s="607"/>
      <c r="H1504" s="607"/>
      <c r="I1504" s="606"/>
      <c r="J1504" s="608"/>
      <c r="K1504" s="596"/>
    </row>
    <row r="1505" spans="1:11" ht="25.5">
      <c r="A1505" s="589">
        <v>1</v>
      </c>
      <c r="B1505" s="1222" t="s">
        <v>1811</v>
      </c>
      <c r="C1505" s="636" t="s">
        <v>1812</v>
      </c>
      <c r="D1505" s="617" t="s">
        <v>40</v>
      </c>
      <c r="E1505" s="628"/>
      <c r="F1505" s="589"/>
      <c r="G1505" s="589"/>
      <c r="H1505" s="589"/>
      <c r="I1505" s="637">
        <v>8</v>
      </c>
      <c r="J1505" s="638">
        <v>500</v>
      </c>
      <c r="K1505" s="639">
        <f t="shared" si="74"/>
        <v>4000</v>
      </c>
    </row>
    <row r="1506" spans="1:11">
      <c r="A1506" s="589">
        <v>2</v>
      </c>
      <c r="B1506" s="1223"/>
      <c r="C1506" s="636" t="s">
        <v>1813</v>
      </c>
      <c r="D1506" s="592" t="s">
        <v>40</v>
      </c>
      <c r="E1506" s="601"/>
      <c r="F1506" s="589"/>
      <c r="G1506" s="589"/>
      <c r="H1506" s="589"/>
      <c r="I1506" s="637">
        <v>156</v>
      </c>
      <c r="J1506" s="640">
        <v>200</v>
      </c>
      <c r="K1506" s="639">
        <f t="shared" si="74"/>
        <v>31200</v>
      </c>
    </row>
    <row r="1507" spans="1:11">
      <c r="A1507" s="589">
        <v>3</v>
      </c>
      <c r="B1507" s="1223"/>
      <c r="C1507" s="636" t="s">
        <v>1813</v>
      </c>
      <c r="D1507" s="592" t="s">
        <v>40</v>
      </c>
      <c r="E1507" s="601"/>
      <c r="F1507" s="589"/>
      <c r="G1507" s="589"/>
      <c r="H1507" s="589"/>
      <c r="I1507" s="637">
        <v>73</v>
      </c>
      <c r="J1507" s="640">
        <v>250</v>
      </c>
      <c r="K1507" s="639">
        <f t="shared" si="74"/>
        <v>18250</v>
      </c>
    </row>
    <row r="1508" spans="1:11" ht="25.5">
      <c r="A1508" s="589">
        <v>4</v>
      </c>
      <c r="B1508" s="1223"/>
      <c r="C1508" s="636" t="s">
        <v>1814</v>
      </c>
      <c r="D1508" s="592" t="s">
        <v>40</v>
      </c>
      <c r="E1508" s="599"/>
      <c r="F1508" s="589"/>
      <c r="G1508" s="589"/>
      <c r="H1508" s="589"/>
      <c r="I1508" s="641">
        <v>2</v>
      </c>
      <c r="J1508" s="642">
        <v>150</v>
      </c>
      <c r="K1508" s="639">
        <f t="shared" si="74"/>
        <v>300</v>
      </c>
    </row>
    <row r="1509" spans="1:11" ht="25.5">
      <c r="A1509" s="589">
        <v>5</v>
      </c>
      <c r="B1509" s="1223"/>
      <c r="C1509" s="636" t="s">
        <v>1815</v>
      </c>
      <c r="D1509" s="592" t="s">
        <v>40</v>
      </c>
      <c r="E1509" s="599"/>
      <c r="F1509" s="589"/>
      <c r="G1509" s="589"/>
      <c r="H1509" s="589"/>
      <c r="I1509" s="641">
        <v>4</v>
      </c>
      <c r="J1509" s="642">
        <v>300</v>
      </c>
      <c r="K1509" s="639">
        <f t="shared" si="74"/>
        <v>1200</v>
      </c>
    </row>
    <row r="1510" spans="1:11" ht="25.5">
      <c r="A1510" s="589">
        <v>6</v>
      </c>
      <c r="B1510" s="1223"/>
      <c r="C1510" s="636" t="s">
        <v>1816</v>
      </c>
      <c r="D1510" s="592" t="s">
        <v>40</v>
      </c>
      <c r="E1510" s="599"/>
      <c r="F1510" s="589"/>
      <c r="G1510" s="589"/>
      <c r="H1510" s="589"/>
      <c r="I1510" s="641">
        <v>2</v>
      </c>
      <c r="J1510" s="642">
        <v>675</v>
      </c>
      <c r="K1510" s="639">
        <f>(E1510+F1510+G1510+H1510+I1510)*J1510</f>
        <v>1350</v>
      </c>
    </row>
    <row r="1511" spans="1:11" ht="25.5">
      <c r="A1511" s="589">
        <v>7</v>
      </c>
      <c r="B1511" s="1223"/>
      <c r="C1511" s="636" t="s">
        <v>1817</v>
      </c>
      <c r="D1511" s="592" t="s">
        <v>40</v>
      </c>
      <c r="E1511" s="599"/>
      <c r="F1511" s="589"/>
      <c r="G1511" s="589"/>
      <c r="H1511" s="589"/>
      <c r="I1511" s="641">
        <v>2</v>
      </c>
      <c r="J1511" s="642">
        <v>1650</v>
      </c>
      <c r="K1511" s="639">
        <f t="shared" si="74"/>
        <v>3300</v>
      </c>
    </row>
    <row r="1512" spans="1:11" ht="25.5">
      <c r="A1512" s="589">
        <v>8</v>
      </c>
      <c r="B1512" s="1223"/>
      <c r="C1512" s="636" t="s">
        <v>1818</v>
      </c>
      <c r="D1512" s="592" t="s">
        <v>40</v>
      </c>
      <c r="E1512" s="599"/>
      <c r="F1512" s="589"/>
      <c r="G1512" s="589"/>
      <c r="H1512" s="589"/>
      <c r="I1512" s="641">
        <v>2</v>
      </c>
      <c r="J1512" s="642">
        <v>100</v>
      </c>
      <c r="K1512" s="639">
        <f t="shared" si="74"/>
        <v>200</v>
      </c>
    </row>
    <row r="1513" spans="1:11" ht="25.5">
      <c r="A1513" s="589">
        <v>9</v>
      </c>
      <c r="B1513" s="1223"/>
      <c r="C1513" s="636" t="s">
        <v>1819</v>
      </c>
      <c r="D1513" s="592" t="s">
        <v>40</v>
      </c>
      <c r="E1513" s="599"/>
      <c r="F1513" s="589"/>
      <c r="G1513" s="589"/>
      <c r="H1513" s="589"/>
      <c r="I1513" s="641">
        <v>4</v>
      </c>
      <c r="J1513" s="642">
        <v>100</v>
      </c>
      <c r="K1513" s="639">
        <f t="shared" si="74"/>
        <v>400</v>
      </c>
    </row>
    <row r="1514" spans="1:11" ht="25.5">
      <c r="A1514" s="589">
        <v>10</v>
      </c>
      <c r="B1514" s="1223"/>
      <c r="C1514" s="636" t="s">
        <v>1819</v>
      </c>
      <c r="D1514" s="592" t="s">
        <v>40</v>
      </c>
      <c r="E1514" s="599"/>
      <c r="F1514" s="589"/>
      <c r="G1514" s="589"/>
      <c r="H1514" s="589"/>
      <c r="I1514" s="641">
        <v>10</v>
      </c>
      <c r="J1514" s="642">
        <v>100</v>
      </c>
      <c r="K1514" s="639">
        <f>(E1514+F1514+G1514+H1514+I1514)*J1514</f>
        <v>1000</v>
      </c>
    </row>
    <row r="1515" spans="1:11" ht="25.5">
      <c r="A1515" s="589">
        <v>11</v>
      </c>
      <c r="B1515" s="1223"/>
      <c r="C1515" s="636" t="s">
        <v>1820</v>
      </c>
      <c r="D1515" s="592" t="s">
        <v>40</v>
      </c>
      <c r="E1515" s="599"/>
      <c r="F1515" s="589"/>
      <c r="G1515" s="589"/>
      <c r="H1515" s="589"/>
      <c r="I1515" s="641">
        <v>4</v>
      </c>
      <c r="J1515" s="642">
        <v>250</v>
      </c>
      <c r="K1515" s="643">
        <f t="shared" si="74"/>
        <v>1000</v>
      </c>
    </row>
    <row r="1516" spans="1:11">
      <c r="A1516" s="589">
        <v>12</v>
      </c>
      <c r="B1516" s="1223"/>
      <c r="C1516" s="636" t="s">
        <v>1821</v>
      </c>
      <c r="D1516" s="592" t="s">
        <v>40</v>
      </c>
      <c r="E1516" s="599"/>
      <c r="F1516" s="589"/>
      <c r="G1516" s="589"/>
      <c r="H1516" s="589"/>
      <c r="I1516" s="641">
        <v>1</v>
      </c>
      <c r="J1516" s="642">
        <v>50</v>
      </c>
      <c r="K1516" s="643">
        <f t="shared" si="74"/>
        <v>50</v>
      </c>
    </row>
    <row r="1517" spans="1:11" ht="25.5">
      <c r="A1517" s="589">
        <v>13</v>
      </c>
      <c r="B1517" s="1223"/>
      <c r="C1517" s="636" t="s">
        <v>1822</v>
      </c>
      <c r="D1517" s="592" t="s">
        <v>40</v>
      </c>
      <c r="E1517" s="599"/>
      <c r="F1517" s="589"/>
      <c r="G1517" s="589"/>
      <c r="H1517" s="589"/>
      <c r="I1517" s="641">
        <v>1</v>
      </c>
      <c r="J1517" s="642">
        <v>500</v>
      </c>
      <c r="K1517" s="643">
        <f t="shared" si="74"/>
        <v>500</v>
      </c>
    </row>
    <row r="1518" spans="1:11" ht="25.5">
      <c r="A1518" s="589">
        <v>14</v>
      </c>
      <c r="B1518" s="1224"/>
      <c r="C1518" s="636" t="s">
        <v>1823</v>
      </c>
      <c r="D1518" s="592" t="s">
        <v>7</v>
      </c>
      <c r="E1518" s="599"/>
      <c r="F1518" s="589"/>
      <c r="G1518" s="589"/>
      <c r="H1518" s="589"/>
      <c r="I1518" s="641">
        <v>70</v>
      </c>
      <c r="J1518" s="642">
        <v>40</v>
      </c>
      <c r="K1518" s="643">
        <f>(E1518+F1518+G1518+H1518+I1518)*J1518</f>
        <v>2800</v>
      </c>
    </row>
    <row r="1519" spans="1:11" ht="25.5">
      <c r="A1519" s="589">
        <v>15</v>
      </c>
      <c r="B1519" s="644" t="s">
        <v>748</v>
      </c>
      <c r="C1519" s="645" t="s">
        <v>1824</v>
      </c>
      <c r="D1519" s="598" t="s">
        <v>40</v>
      </c>
      <c r="E1519" s="599"/>
      <c r="F1519" s="589"/>
      <c r="G1519" s="589"/>
      <c r="H1519" s="589"/>
      <c r="I1519" s="637">
        <v>55</v>
      </c>
      <c r="J1519" s="642">
        <v>200</v>
      </c>
      <c r="K1519" s="639">
        <f>(E1519+F1519+G1519+H1519+I1519)*J1519</f>
        <v>11000</v>
      </c>
    </row>
    <row r="1520" spans="1:11">
      <c r="A1520" s="589">
        <v>16</v>
      </c>
      <c r="B1520" s="646" t="s">
        <v>480</v>
      </c>
      <c r="C1520" s="645" t="s">
        <v>1825</v>
      </c>
      <c r="D1520" s="592" t="s">
        <v>40</v>
      </c>
      <c r="E1520" s="599"/>
      <c r="F1520" s="589"/>
      <c r="G1520" s="589"/>
      <c r="H1520" s="589"/>
      <c r="I1520" s="641">
        <v>1</v>
      </c>
      <c r="J1520" s="642">
        <v>5000</v>
      </c>
      <c r="K1520" s="643">
        <f t="shared" si="74"/>
        <v>5000</v>
      </c>
    </row>
    <row r="1521" spans="1:11">
      <c r="A1521" s="147"/>
      <c r="B1521" s="147"/>
      <c r="C1521" s="147"/>
      <c r="D1521" s="147"/>
      <c r="E1521" s="147"/>
      <c r="F1521" s="147"/>
      <c r="G1521" s="147"/>
      <c r="H1521" s="147"/>
      <c r="I1521" s="147"/>
      <c r="J1521" s="147"/>
      <c r="K1521" s="147">
        <f>SUM(K1390:K1520)</f>
        <v>3700027.195090001</v>
      </c>
    </row>
    <row r="1522" spans="1:11">
      <c r="A1522" s="147"/>
      <c r="B1522" s="147"/>
      <c r="C1522" s="147"/>
      <c r="D1522" s="147"/>
      <c r="E1522" s="147"/>
      <c r="F1522" s="147"/>
      <c r="G1522" s="147"/>
      <c r="H1522" s="147"/>
      <c r="I1522" s="147"/>
      <c r="J1522" s="147"/>
      <c r="K1522" s="147"/>
    </row>
    <row r="1523" spans="1:11">
      <c r="A1523" s="147"/>
      <c r="B1523" s="147"/>
      <c r="C1523" s="147"/>
      <c r="D1523" s="147"/>
      <c r="E1523" s="147"/>
      <c r="F1523" s="147"/>
      <c r="G1523" s="147"/>
      <c r="H1523" s="147"/>
      <c r="I1523" s="147"/>
      <c r="J1523" s="147"/>
      <c r="K1523" s="147"/>
    </row>
    <row r="1526" spans="1:11" ht="18.75">
      <c r="A1526" s="1225" t="s">
        <v>1826</v>
      </c>
      <c r="B1526" s="1225"/>
      <c r="C1526" s="1225"/>
      <c r="D1526" s="1225"/>
      <c r="E1526" s="1225"/>
      <c r="F1526" s="1225"/>
      <c r="G1526" s="1225"/>
      <c r="H1526" s="1225"/>
      <c r="I1526" s="1225"/>
      <c r="J1526" s="1225"/>
      <c r="K1526" s="1225"/>
    </row>
    <row r="1527" spans="1:11" ht="18.75">
      <c r="A1527" s="1226" t="s">
        <v>1827</v>
      </c>
      <c r="B1527" s="1226"/>
      <c r="C1527" s="1226"/>
      <c r="D1527" s="1226"/>
      <c r="E1527" s="1226"/>
      <c r="F1527" s="1226"/>
      <c r="G1527" s="1226"/>
      <c r="H1527" s="1226"/>
      <c r="I1527" s="1226"/>
      <c r="J1527" s="1226"/>
      <c r="K1527" s="1226"/>
    </row>
    <row r="1528" spans="1:11" ht="22.5">
      <c r="A1528" s="1227" t="s">
        <v>1828</v>
      </c>
      <c r="B1528" s="1227"/>
      <c r="C1528" s="1227"/>
      <c r="D1528" s="1227"/>
      <c r="E1528" s="1227"/>
      <c r="F1528" s="1227"/>
      <c r="G1528" s="1227"/>
      <c r="H1528" s="1227"/>
      <c r="I1528" s="1227"/>
      <c r="J1528" s="1227"/>
      <c r="K1528" s="1227"/>
    </row>
    <row r="1529" spans="1:11" ht="16.5">
      <c r="A1529" s="1228" t="s">
        <v>1829</v>
      </c>
      <c r="B1529" s="1230" t="s">
        <v>110</v>
      </c>
      <c r="C1529" s="1228" t="s">
        <v>1830</v>
      </c>
      <c r="D1529" s="647" t="s">
        <v>112</v>
      </c>
      <c r="E1529" s="1232" t="s">
        <v>1831</v>
      </c>
      <c r="F1529" s="1233"/>
      <c r="G1529" s="1233"/>
      <c r="H1529" s="1233"/>
      <c r="I1529" s="1234"/>
      <c r="J1529" s="1235" t="s">
        <v>1832</v>
      </c>
      <c r="K1529" s="1235" t="s">
        <v>214</v>
      </c>
    </row>
    <row r="1530" spans="1:11" ht="16.5">
      <c r="A1530" s="1229"/>
      <c r="B1530" s="1231"/>
      <c r="C1530" s="1229"/>
      <c r="D1530" s="648"/>
      <c r="E1530" s="649" t="s">
        <v>114</v>
      </c>
      <c r="F1530" s="649" t="s">
        <v>1833</v>
      </c>
      <c r="G1530" s="649" t="s">
        <v>1</v>
      </c>
      <c r="H1530" s="649" t="s">
        <v>1306</v>
      </c>
      <c r="I1530" s="649" t="s">
        <v>0</v>
      </c>
      <c r="J1530" s="1236"/>
      <c r="K1530" s="1236"/>
    </row>
    <row r="1531" spans="1:11" ht="16.5">
      <c r="A1531" s="340">
        <v>1</v>
      </c>
      <c r="B1531" s="339" t="s">
        <v>409</v>
      </c>
      <c r="C1531" s="338" t="s">
        <v>1834</v>
      </c>
      <c r="D1531" s="340" t="s">
        <v>67</v>
      </c>
      <c r="E1531" s="340">
        <v>9.8000000000000004E-2</v>
      </c>
      <c r="F1531" s="345"/>
      <c r="G1531" s="345"/>
      <c r="H1531" s="345"/>
      <c r="I1531" s="345"/>
      <c r="J1531" s="650">
        <v>300000</v>
      </c>
      <c r="K1531" s="362">
        <f>E1531*J1531</f>
        <v>29400</v>
      </c>
    </row>
    <row r="1532" spans="1:11" ht="16.5">
      <c r="A1532" s="340">
        <v>2</v>
      </c>
      <c r="B1532" s="339" t="s">
        <v>44</v>
      </c>
      <c r="C1532" s="338" t="s">
        <v>1835</v>
      </c>
      <c r="D1532" s="340" t="s">
        <v>324</v>
      </c>
      <c r="E1532" s="340">
        <v>65</v>
      </c>
      <c r="F1532" s="345"/>
      <c r="G1532" s="345"/>
      <c r="H1532" s="345"/>
      <c r="I1532" s="345"/>
      <c r="J1532" s="650">
        <v>100</v>
      </c>
      <c r="K1532" s="362">
        <f t="shared" ref="K1532:K1595" si="76">E1532*J1532</f>
        <v>6500</v>
      </c>
    </row>
    <row r="1533" spans="1:11" ht="82.5">
      <c r="A1533" s="340">
        <v>3</v>
      </c>
      <c r="B1533" s="339" t="s">
        <v>1836</v>
      </c>
      <c r="C1533" s="651" t="s">
        <v>1837</v>
      </c>
      <c r="D1533" s="340" t="s">
        <v>62</v>
      </c>
      <c r="E1533" s="345">
        <v>1</v>
      </c>
      <c r="F1533" s="345"/>
      <c r="G1533" s="345"/>
      <c r="H1533" s="345"/>
      <c r="I1533" s="345"/>
      <c r="J1533" s="650">
        <v>115109</v>
      </c>
      <c r="K1533" s="362">
        <f t="shared" si="76"/>
        <v>115109</v>
      </c>
    </row>
    <row r="1534" spans="1:11" ht="33">
      <c r="A1534" s="340">
        <v>4</v>
      </c>
      <c r="B1534" s="652" t="s">
        <v>1439</v>
      </c>
      <c r="C1534" s="653" t="s">
        <v>1838</v>
      </c>
      <c r="D1534" s="345" t="s">
        <v>365</v>
      </c>
      <c r="E1534" s="345">
        <v>6.5000000000000002E-2</v>
      </c>
      <c r="F1534" s="345"/>
      <c r="G1534" s="345"/>
      <c r="H1534" s="345"/>
      <c r="I1534" s="345"/>
      <c r="J1534" s="654">
        <v>120039.3</v>
      </c>
      <c r="K1534" s="362">
        <f t="shared" si="76"/>
        <v>7802.5545000000002</v>
      </c>
    </row>
    <row r="1535" spans="1:11" ht="33">
      <c r="A1535" s="340">
        <v>5</v>
      </c>
      <c r="B1535" s="652" t="s">
        <v>1439</v>
      </c>
      <c r="C1535" s="653" t="s">
        <v>1838</v>
      </c>
      <c r="D1535" s="345" t="s">
        <v>365</v>
      </c>
      <c r="E1535" s="345">
        <v>0.22900000000000001</v>
      </c>
      <c r="F1535" s="345"/>
      <c r="G1535" s="345"/>
      <c r="H1535" s="345"/>
      <c r="I1535" s="345"/>
      <c r="J1535" s="654">
        <v>114793</v>
      </c>
      <c r="K1535" s="362">
        <f t="shared" si="76"/>
        <v>26287.597000000002</v>
      </c>
    </row>
    <row r="1536" spans="1:11" ht="33">
      <c r="A1536" s="340">
        <v>6</v>
      </c>
      <c r="B1536" s="652" t="s">
        <v>1377</v>
      </c>
      <c r="C1536" s="653" t="s">
        <v>1839</v>
      </c>
      <c r="D1536" s="345" t="s">
        <v>365</v>
      </c>
      <c r="E1536" s="345">
        <v>6.5000000000000002E-2</v>
      </c>
      <c r="F1536" s="345"/>
      <c r="G1536" s="345"/>
      <c r="H1536" s="345"/>
      <c r="I1536" s="345"/>
      <c r="J1536" s="654">
        <v>88528</v>
      </c>
      <c r="K1536" s="362">
        <f t="shared" si="76"/>
        <v>5754.3200000000006</v>
      </c>
    </row>
    <row r="1537" spans="1:11" ht="33">
      <c r="A1537" s="340">
        <v>7</v>
      </c>
      <c r="B1537" s="652" t="s">
        <v>1375</v>
      </c>
      <c r="C1537" s="343" t="s">
        <v>1840</v>
      </c>
      <c r="D1537" s="345" t="s">
        <v>46</v>
      </c>
      <c r="E1537" s="345">
        <v>500</v>
      </c>
      <c r="F1537" s="345"/>
      <c r="G1537" s="345"/>
      <c r="H1537" s="345"/>
      <c r="I1537" s="345"/>
      <c r="J1537" s="655">
        <v>100.24</v>
      </c>
      <c r="K1537" s="362">
        <f t="shared" si="76"/>
        <v>50120</v>
      </c>
    </row>
    <row r="1538" spans="1:11" ht="16.5">
      <c r="A1538" s="340">
        <v>8</v>
      </c>
      <c r="B1538" s="344" t="s">
        <v>1841</v>
      </c>
      <c r="C1538" s="347" t="s">
        <v>1842</v>
      </c>
      <c r="D1538" s="345" t="s">
        <v>4</v>
      </c>
      <c r="E1538" s="345">
        <v>2.492</v>
      </c>
      <c r="F1538" s="345"/>
      <c r="G1538" s="345"/>
      <c r="H1538" s="345"/>
      <c r="I1538" s="345"/>
      <c r="J1538" s="656">
        <v>55000</v>
      </c>
      <c r="K1538" s="362">
        <f t="shared" si="76"/>
        <v>137060</v>
      </c>
    </row>
    <row r="1539" spans="1:11" ht="66">
      <c r="A1539" s="340">
        <v>9</v>
      </c>
      <c r="B1539" s="344" t="s">
        <v>1843</v>
      </c>
      <c r="C1539" s="442" t="s">
        <v>1844</v>
      </c>
      <c r="D1539" s="345" t="s">
        <v>4</v>
      </c>
      <c r="E1539" s="345">
        <v>0.84499999999999997</v>
      </c>
      <c r="F1539" s="345"/>
      <c r="G1539" s="345"/>
      <c r="H1539" s="345"/>
      <c r="I1539" s="345"/>
      <c r="J1539" s="656">
        <v>79980</v>
      </c>
      <c r="K1539" s="362">
        <f t="shared" si="76"/>
        <v>67583.099999999991</v>
      </c>
    </row>
    <row r="1540" spans="1:11" ht="16.5">
      <c r="A1540" s="340">
        <v>10</v>
      </c>
      <c r="B1540" s="344" t="s">
        <v>1845</v>
      </c>
      <c r="C1540" s="347" t="s">
        <v>1846</v>
      </c>
      <c r="D1540" s="345" t="s">
        <v>37</v>
      </c>
      <c r="E1540" s="345">
        <v>50</v>
      </c>
      <c r="F1540" s="345"/>
      <c r="G1540" s="345"/>
      <c r="H1540" s="345"/>
      <c r="I1540" s="345"/>
      <c r="J1540" s="656">
        <v>9.5</v>
      </c>
      <c r="K1540" s="362">
        <f t="shared" si="76"/>
        <v>475</v>
      </c>
    </row>
    <row r="1541" spans="1:11" ht="16.5">
      <c r="A1541" s="340">
        <v>11</v>
      </c>
      <c r="B1541" s="344" t="s">
        <v>1847</v>
      </c>
      <c r="C1541" s="347" t="s">
        <v>1848</v>
      </c>
      <c r="D1541" s="345" t="s">
        <v>37</v>
      </c>
      <c r="E1541" s="345">
        <v>964</v>
      </c>
      <c r="F1541" s="345"/>
      <c r="G1541" s="345"/>
      <c r="H1541" s="345"/>
      <c r="I1541" s="345"/>
      <c r="J1541" s="656">
        <v>7</v>
      </c>
      <c r="K1541" s="362">
        <f t="shared" si="76"/>
        <v>6748</v>
      </c>
    </row>
    <row r="1542" spans="1:11" ht="16.5">
      <c r="A1542" s="340">
        <v>12</v>
      </c>
      <c r="B1542" s="344" t="s">
        <v>1849</v>
      </c>
      <c r="C1542" s="657" t="s">
        <v>1850</v>
      </c>
      <c r="D1542" s="345" t="s">
        <v>37</v>
      </c>
      <c r="E1542" s="658">
        <v>91</v>
      </c>
      <c r="F1542" s="345"/>
      <c r="G1542" s="345"/>
      <c r="H1542" s="345"/>
      <c r="I1542" s="345"/>
      <c r="J1542" s="656">
        <v>3</v>
      </c>
      <c r="K1542" s="362">
        <f t="shared" si="76"/>
        <v>273</v>
      </c>
    </row>
    <row r="1543" spans="1:11" ht="16.5">
      <c r="A1543" s="340">
        <v>13</v>
      </c>
      <c r="B1543" s="344" t="s">
        <v>1851</v>
      </c>
      <c r="C1543" s="347" t="s">
        <v>1852</v>
      </c>
      <c r="D1543" s="345" t="s">
        <v>786</v>
      </c>
      <c r="E1543" s="345">
        <v>141.9</v>
      </c>
      <c r="F1543" s="345"/>
      <c r="G1543" s="345"/>
      <c r="H1543" s="345"/>
      <c r="I1543" s="345"/>
      <c r="J1543" s="656">
        <v>30</v>
      </c>
      <c r="K1543" s="362">
        <f t="shared" si="76"/>
        <v>4257</v>
      </c>
    </row>
    <row r="1544" spans="1:11" ht="16.5">
      <c r="A1544" s="340">
        <v>14</v>
      </c>
      <c r="B1544" s="344" t="s">
        <v>1853</v>
      </c>
      <c r="C1544" s="347" t="s">
        <v>1854</v>
      </c>
      <c r="D1544" s="345" t="s">
        <v>324</v>
      </c>
      <c r="E1544" s="345">
        <v>37</v>
      </c>
      <c r="F1544" s="345"/>
      <c r="G1544" s="345"/>
      <c r="H1544" s="345"/>
      <c r="I1544" s="345"/>
      <c r="J1544" s="656">
        <v>15</v>
      </c>
      <c r="K1544" s="362">
        <f t="shared" si="76"/>
        <v>555</v>
      </c>
    </row>
    <row r="1545" spans="1:11" ht="33">
      <c r="A1545" s="340">
        <v>15</v>
      </c>
      <c r="B1545" s="344" t="s">
        <v>1855</v>
      </c>
      <c r="C1545" s="343" t="s">
        <v>1856</v>
      </c>
      <c r="D1545" s="347" t="s">
        <v>40</v>
      </c>
      <c r="E1545" s="345">
        <v>7</v>
      </c>
      <c r="F1545" s="345"/>
      <c r="G1545" s="345"/>
      <c r="H1545" s="345"/>
      <c r="I1545" s="345"/>
      <c r="J1545" s="656">
        <v>5788.5</v>
      </c>
      <c r="K1545" s="362">
        <f t="shared" si="76"/>
        <v>40519.5</v>
      </c>
    </row>
    <row r="1546" spans="1:11" ht="16.5">
      <c r="A1546" s="340">
        <v>16</v>
      </c>
      <c r="B1546" s="344" t="s">
        <v>1857</v>
      </c>
      <c r="C1546" s="343" t="s">
        <v>1858</v>
      </c>
      <c r="D1546" s="347" t="s">
        <v>40</v>
      </c>
      <c r="E1546" s="345">
        <v>4</v>
      </c>
      <c r="F1546" s="345"/>
      <c r="G1546" s="345"/>
      <c r="H1546" s="345"/>
      <c r="I1546" s="345"/>
      <c r="J1546" s="656">
        <v>3206.38</v>
      </c>
      <c r="K1546" s="362">
        <f t="shared" si="76"/>
        <v>12825.52</v>
      </c>
    </row>
    <row r="1547" spans="1:11" ht="16.5">
      <c r="A1547" s="340">
        <v>17</v>
      </c>
      <c r="B1547" s="344" t="s">
        <v>1859</v>
      </c>
      <c r="C1547" s="343" t="s">
        <v>1860</v>
      </c>
      <c r="D1547" s="347" t="s">
        <v>40</v>
      </c>
      <c r="E1547" s="345">
        <v>5</v>
      </c>
      <c r="F1547" s="345"/>
      <c r="G1547" s="345"/>
      <c r="H1547" s="345"/>
      <c r="I1547" s="345"/>
      <c r="J1547" s="656">
        <v>3700</v>
      </c>
      <c r="K1547" s="362">
        <f t="shared" si="76"/>
        <v>18500</v>
      </c>
    </row>
    <row r="1548" spans="1:11" ht="49.5">
      <c r="A1548" s="340">
        <v>18</v>
      </c>
      <c r="B1548" s="344" t="s">
        <v>1861</v>
      </c>
      <c r="C1548" s="343" t="s">
        <v>1862</v>
      </c>
      <c r="D1548" s="347" t="s">
        <v>37</v>
      </c>
      <c r="E1548" s="345">
        <v>6</v>
      </c>
      <c r="F1548" s="345"/>
      <c r="G1548" s="345"/>
      <c r="H1548" s="345"/>
      <c r="I1548" s="345"/>
      <c r="J1548" s="656">
        <v>500</v>
      </c>
      <c r="K1548" s="362">
        <f t="shared" si="76"/>
        <v>3000</v>
      </c>
    </row>
    <row r="1549" spans="1:11" ht="82.5">
      <c r="A1549" s="340">
        <v>19</v>
      </c>
      <c r="B1549" s="344" t="s">
        <v>1863</v>
      </c>
      <c r="C1549" s="343" t="s">
        <v>1864</v>
      </c>
      <c r="D1549" s="347" t="s">
        <v>37</v>
      </c>
      <c r="E1549" s="345">
        <v>11</v>
      </c>
      <c r="F1549" s="345"/>
      <c r="G1549" s="345"/>
      <c r="H1549" s="345"/>
      <c r="I1549" s="345"/>
      <c r="J1549" s="656">
        <v>1163.3800000000001</v>
      </c>
      <c r="K1549" s="362">
        <f t="shared" si="76"/>
        <v>12797.18</v>
      </c>
    </row>
    <row r="1550" spans="1:11" ht="33">
      <c r="A1550" s="340">
        <v>20</v>
      </c>
      <c r="B1550" s="652" t="s">
        <v>439</v>
      </c>
      <c r="C1550" s="343" t="s">
        <v>1865</v>
      </c>
      <c r="D1550" s="345" t="s">
        <v>37</v>
      </c>
      <c r="E1550" s="345">
        <v>2</v>
      </c>
      <c r="F1550" s="345"/>
      <c r="G1550" s="345"/>
      <c r="H1550" s="345"/>
      <c r="I1550" s="345"/>
      <c r="J1550" s="656">
        <v>1190.6199999999999</v>
      </c>
      <c r="K1550" s="362">
        <f t="shared" si="76"/>
        <v>2381.2399999999998</v>
      </c>
    </row>
    <row r="1551" spans="1:11" ht="49.5">
      <c r="A1551" s="340">
        <v>21</v>
      </c>
      <c r="B1551" s="652" t="s">
        <v>439</v>
      </c>
      <c r="C1551" s="653" t="s">
        <v>1866</v>
      </c>
      <c r="D1551" s="345" t="s">
        <v>37</v>
      </c>
      <c r="E1551" s="345">
        <v>9</v>
      </c>
      <c r="F1551" s="345"/>
      <c r="G1551" s="345"/>
      <c r="H1551" s="345"/>
      <c r="I1551" s="345"/>
      <c r="J1551" s="656">
        <v>350</v>
      </c>
      <c r="K1551" s="362">
        <f t="shared" si="76"/>
        <v>3150</v>
      </c>
    </row>
    <row r="1552" spans="1:11" ht="33">
      <c r="A1552" s="340">
        <v>22</v>
      </c>
      <c r="B1552" s="652" t="s">
        <v>350</v>
      </c>
      <c r="C1552" s="653" t="s">
        <v>1867</v>
      </c>
      <c r="D1552" s="345" t="s">
        <v>37</v>
      </c>
      <c r="E1552" s="345">
        <v>3</v>
      </c>
      <c r="F1552" s="345"/>
      <c r="G1552" s="345"/>
      <c r="H1552" s="345"/>
      <c r="I1552" s="345"/>
      <c r="J1552" s="656">
        <v>220</v>
      </c>
      <c r="K1552" s="362">
        <f t="shared" si="76"/>
        <v>660</v>
      </c>
    </row>
    <row r="1553" spans="1:11" ht="33">
      <c r="A1553" s="340">
        <v>23</v>
      </c>
      <c r="B1553" s="652" t="s">
        <v>417</v>
      </c>
      <c r="C1553" s="343" t="s">
        <v>1868</v>
      </c>
      <c r="D1553" s="345" t="s">
        <v>37</v>
      </c>
      <c r="E1553" s="345">
        <v>17</v>
      </c>
      <c r="F1553" s="345"/>
      <c r="G1553" s="345"/>
      <c r="H1553" s="345"/>
      <c r="I1553" s="345"/>
      <c r="J1553" s="656">
        <v>500</v>
      </c>
      <c r="K1553" s="362">
        <f t="shared" si="76"/>
        <v>8500</v>
      </c>
    </row>
    <row r="1554" spans="1:11" ht="49.5">
      <c r="A1554" s="340">
        <v>24</v>
      </c>
      <c r="B1554" s="652" t="s">
        <v>417</v>
      </c>
      <c r="C1554" s="343" t="s">
        <v>1869</v>
      </c>
      <c r="D1554" s="345" t="s">
        <v>37</v>
      </c>
      <c r="E1554" s="345">
        <v>10</v>
      </c>
      <c r="F1554" s="345"/>
      <c r="G1554" s="345"/>
      <c r="H1554" s="345"/>
      <c r="I1554" s="345"/>
      <c r="J1554" s="656">
        <v>300</v>
      </c>
      <c r="K1554" s="362">
        <f t="shared" si="76"/>
        <v>3000</v>
      </c>
    </row>
    <row r="1555" spans="1:11" ht="49.5">
      <c r="A1555" s="340">
        <v>25</v>
      </c>
      <c r="B1555" s="652" t="s">
        <v>1476</v>
      </c>
      <c r="C1555" s="343" t="s">
        <v>1870</v>
      </c>
      <c r="D1555" s="345" t="s">
        <v>37</v>
      </c>
      <c r="E1555" s="345">
        <v>9</v>
      </c>
      <c r="F1555" s="345"/>
      <c r="G1555" s="345"/>
      <c r="H1555" s="345"/>
      <c r="I1555" s="345"/>
      <c r="J1555" s="656">
        <v>709.37</v>
      </c>
      <c r="K1555" s="362">
        <f t="shared" si="76"/>
        <v>6384.33</v>
      </c>
    </row>
    <row r="1556" spans="1:11" ht="33">
      <c r="A1556" s="340">
        <v>26</v>
      </c>
      <c r="B1556" s="652" t="s">
        <v>1871</v>
      </c>
      <c r="C1556" s="343" t="s">
        <v>1872</v>
      </c>
      <c r="D1556" s="345" t="s">
        <v>37</v>
      </c>
      <c r="E1556" s="345">
        <v>7</v>
      </c>
      <c r="F1556" s="345"/>
      <c r="G1556" s="345"/>
      <c r="H1556" s="345"/>
      <c r="I1556" s="345"/>
      <c r="J1556" s="656">
        <v>1100.95</v>
      </c>
      <c r="K1556" s="362">
        <f t="shared" si="76"/>
        <v>7706.6500000000005</v>
      </c>
    </row>
    <row r="1557" spans="1:11" ht="49.5">
      <c r="A1557" s="340">
        <v>27</v>
      </c>
      <c r="B1557" s="652" t="s">
        <v>1873</v>
      </c>
      <c r="C1557" s="343" t="s">
        <v>1874</v>
      </c>
      <c r="D1557" s="345" t="s">
        <v>37</v>
      </c>
      <c r="E1557" s="345">
        <v>5</v>
      </c>
      <c r="F1557" s="345"/>
      <c r="G1557" s="345"/>
      <c r="H1557" s="345"/>
      <c r="I1557" s="345"/>
      <c r="J1557" s="656">
        <v>698</v>
      </c>
      <c r="K1557" s="362">
        <f t="shared" si="76"/>
        <v>3490</v>
      </c>
    </row>
    <row r="1558" spans="1:11" ht="66">
      <c r="A1558" s="340">
        <v>28</v>
      </c>
      <c r="B1558" s="344" t="s">
        <v>1875</v>
      </c>
      <c r="C1558" s="343" t="s">
        <v>1876</v>
      </c>
      <c r="D1558" s="345" t="s">
        <v>37</v>
      </c>
      <c r="E1558" s="658">
        <v>6</v>
      </c>
      <c r="F1558" s="345"/>
      <c r="G1558" s="345"/>
      <c r="H1558" s="345"/>
      <c r="I1558" s="345"/>
      <c r="J1558" s="656">
        <v>3229.08</v>
      </c>
      <c r="K1558" s="362">
        <f t="shared" si="76"/>
        <v>19374.48</v>
      </c>
    </row>
    <row r="1559" spans="1:11" ht="49.5">
      <c r="A1559" s="340">
        <v>29</v>
      </c>
      <c r="B1559" s="344" t="s">
        <v>1877</v>
      </c>
      <c r="C1559" s="343" t="s">
        <v>1878</v>
      </c>
      <c r="D1559" s="345" t="s">
        <v>37</v>
      </c>
      <c r="E1559" s="345">
        <v>4</v>
      </c>
      <c r="F1559" s="345"/>
      <c r="G1559" s="345"/>
      <c r="H1559" s="345"/>
      <c r="I1559" s="345"/>
      <c r="J1559" s="656">
        <v>3405</v>
      </c>
      <c r="K1559" s="362">
        <f t="shared" si="76"/>
        <v>13620</v>
      </c>
    </row>
    <row r="1560" spans="1:11" ht="33">
      <c r="A1560" s="340">
        <v>30</v>
      </c>
      <c r="B1560" s="344" t="s">
        <v>1879</v>
      </c>
      <c r="C1560" s="343" t="s">
        <v>1880</v>
      </c>
      <c r="D1560" s="345" t="s">
        <v>37</v>
      </c>
      <c r="E1560" s="345">
        <v>4</v>
      </c>
      <c r="F1560" s="345"/>
      <c r="G1560" s="345"/>
      <c r="H1560" s="345"/>
      <c r="I1560" s="345"/>
      <c r="J1560" s="656">
        <v>1350</v>
      </c>
      <c r="K1560" s="362">
        <f t="shared" si="76"/>
        <v>5400</v>
      </c>
    </row>
    <row r="1561" spans="1:11" ht="33">
      <c r="A1561" s="340">
        <v>31</v>
      </c>
      <c r="B1561" s="344" t="s">
        <v>1879</v>
      </c>
      <c r="C1561" s="343" t="s">
        <v>1880</v>
      </c>
      <c r="D1561" s="345" t="s">
        <v>37</v>
      </c>
      <c r="E1561" s="345">
        <v>6</v>
      </c>
      <c r="F1561" s="345"/>
      <c r="G1561" s="345"/>
      <c r="H1561" s="345"/>
      <c r="I1561" s="345"/>
      <c r="J1561" s="656">
        <v>3178</v>
      </c>
      <c r="K1561" s="362">
        <f t="shared" si="76"/>
        <v>19068</v>
      </c>
    </row>
    <row r="1562" spans="1:11" ht="49.5">
      <c r="A1562" s="340">
        <v>32</v>
      </c>
      <c r="B1562" s="344" t="s">
        <v>1879</v>
      </c>
      <c r="C1562" s="343" t="s">
        <v>1881</v>
      </c>
      <c r="D1562" s="345" t="s">
        <v>37</v>
      </c>
      <c r="E1562" s="345">
        <v>6</v>
      </c>
      <c r="F1562" s="345"/>
      <c r="G1562" s="345"/>
      <c r="H1562" s="345"/>
      <c r="I1562" s="345"/>
      <c r="J1562" s="656">
        <v>1500</v>
      </c>
      <c r="K1562" s="362">
        <f t="shared" si="76"/>
        <v>9000</v>
      </c>
    </row>
    <row r="1563" spans="1:11" ht="45">
      <c r="A1563" s="340">
        <v>33</v>
      </c>
      <c r="B1563" s="652" t="s">
        <v>1882</v>
      </c>
      <c r="C1563" s="659" t="s">
        <v>1883</v>
      </c>
      <c r="D1563" s="443" t="s">
        <v>37</v>
      </c>
      <c r="E1563" s="345">
        <v>2</v>
      </c>
      <c r="F1563" s="345"/>
      <c r="G1563" s="345"/>
      <c r="H1563" s="345"/>
      <c r="I1563" s="345"/>
      <c r="J1563" s="656">
        <v>4653.5</v>
      </c>
      <c r="K1563" s="362">
        <f t="shared" si="76"/>
        <v>9307</v>
      </c>
    </row>
    <row r="1564" spans="1:11" ht="45">
      <c r="A1564" s="340">
        <v>34</v>
      </c>
      <c r="B1564" s="652" t="s">
        <v>1882</v>
      </c>
      <c r="C1564" s="660" t="s">
        <v>1884</v>
      </c>
      <c r="D1564" s="443" t="s">
        <v>37</v>
      </c>
      <c r="E1564" s="345">
        <v>2</v>
      </c>
      <c r="F1564" s="345"/>
      <c r="G1564" s="345"/>
      <c r="H1564" s="345"/>
      <c r="I1564" s="345"/>
      <c r="J1564" s="656">
        <v>5221</v>
      </c>
      <c r="K1564" s="362">
        <f t="shared" si="76"/>
        <v>10442</v>
      </c>
    </row>
    <row r="1565" spans="1:11" ht="30">
      <c r="A1565" s="340">
        <v>35</v>
      </c>
      <c r="B1565" s="652" t="s">
        <v>1885</v>
      </c>
      <c r="C1565" s="660" t="s">
        <v>1886</v>
      </c>
      <c r="D1565" s="443" t="s">
        <v>37</v>
      </c>
      <c r="E1565" s="345">
        <v>3</v>
      </c>
      <c r="F1565" s="345"/>
      <c r="G1565" s="345"/>
      <c r="H1565" s="345"/>
      <c r="I1565" s="345"/>
      <c r="J1565" s="656">
        <v>3961.15</v>
      </c>
      <c r="K1565" s="362">
        <f t="shared" si="76"/>
        <v>11883.45</v>
      </c>
    </row>
    <row r="1566" spans="1:11" ht="16.5">
      <c r="A1566" s="340">
        <v>36</v>
      </c>
      <c r="B1566" s="652" t="s">
        <v>1885</v>
      </c>
      <c r="C1566" s="660" t="s">
        <v>1887</v>
      </c>
      <c r="D1566" s="443" t="s">
        <v>37</v>
      </c>
      <c r="E1566" s="345">
        <v>2</v>
      </c>
      <c r="F1566" s="345"/>
      <c r="G1566" s="345"/>
      <c r="H1566" s="345"/>
      <c r="I1566" s="345"/>
      <c r="J1566" s="656">
        <v>6787.3</v>
      </c>
      <c r="K1566" s="362">
        <f t="shared" si="76"/>
        <v>13574.6</v>
      </c>
    </row>
    <row r="1567" spans="1:11" ht="30">
      <c r="A1567" s="340">
        <v>37</v>
      </c>
      <c r="B1567" s="652" t="s">
        <v>1885</v>
      </c>
      <c r="C1567" s="660" t="s">
        <v>1888</v>
      </c>
      <c r="D1567" s="443" t="s">
        <v>37</v>
      </c>
      <c r="E1567" s="345">
        <v>1</v>
      </c>
      <c r="F1567" s="345"/>
      <c r="G1567" s="345"/>
      <c r="H1567" s="345"/>
      <c r="I1567" s="345"/>
      <c r="J1567" s="656">
        <v>5003.2</v>
      </c>
      <c r="K1567" s="362">
        <f t="shared" si="76"/>
        <v>5003.2</v>
      </c>
    </row>
    <row r="1568" spans="1:11" ht="33">
      <c r="A1568" s="340">
        <v>38</v>
      </c>
      <c r="B1568" s="652" t="s">
        <v>1889</v>
      </c>
      <c r="C1568" s="343" t="s">
        <v>1890</v>
      </c>
      <c r="D1568" s="443" t="s">
        <v>37</v>
      </c>
      <c r="E1568" s="345">
        <v>5</v>
      </c>
      <c r="F1568" s="345"/>
      <c r="G1568" s="345"/>
      <c r="H1568" s="345"/>
      <c r="I1568" s="345"/>
      <c r="J1568" s="656">
        <v>3961.15</v>
      </c>
      <c r="K1568" s="362">
        <f t="shared" si="76"/>
        <v>19805.75</v>
      </c>
    </row>
    <row r="1569" spans="1:11" ht="33">
      <c r="A1569" s="340">
        <v>39</v>
      </c>
      <c r="B1569" s="652" t="s">
        <v>1889</v>
      </c>
      <c r="C1569" s="343" t="s">
        <v>1891</v>
      </c>
      <c r="D1569" s="443" t="s">
        <v>37</v>
      </c>
      <c r="E1569" s="345">
        <v>3</v>
      </c>
      <c r="F1569" s="345"/>
      <c r="G1569" s="345"/>
      <c r="H1569" s="345"/>
      <c r="I1569" s="345"/>
      <c r="J1569" s="656">
        <v>6804.33</v>
      </c>
      <c r="K1569" s="362">
        <f t="shared" si="76"/>
        <v>20412.989999999998</v>
      </c>
    </row>
    <row r="1570" spans="1:11" ht="60">
      <c r="A1570" s="340">
        <v>40</v>
      </c>
      <c r="B1570" s="652" t="s">
        <v>1892</v>
      </c>
      <c r="C1570" s="659" t="s">
        <v>1893</v>
      </c>
      <c r="D1570" s="443" t="s">
        <v>37</v>
      </c>
      <c r="E1570" s="345">
        <v>1</v>
      </c>
      <c r="F1570" s="345"/>
      <c r="G1570" s="345"/>
      <c r="H1570" s="345"/>
      <c r="I1570" s="345"/>
      <c r="J1570" s="656">
        <v>30645</v>
      </c>
      <c r="K1570" s="362">
        <f t="shared" si="76"/>
        <v>30645</v>
      </c>
    </row>
    <row r="1571" spans="1:11" ht="49.5">
      <c r="A1571" s="340">
        <v>41</v>
      </c>
      <c r="B1571" s="652" t="s">
        <v>42</v>
      </c>
      <c r="C1571" s="653" t="s">
        <v>1894</v>
      </c>
      <c r="D1571" s="345" t="s">
        <v>37</v>
      </c>
      <c r="E1571" s="345">
        <v>1</v>
      </c>
      <c r="F1571" s="345"/>
      <c r="G1571" s="345"/>
      <c r="H1571" s="345"/>
      <c r="I1571" s="345"/>
      <c r="J1571" s="656">
        <v>20001</v>
      </c>
      <c r="K1571" s="362">
        <f t="shared" si="76"/>
        <v>20001</v>
      </c>
    </row>
    <row r="1572" spans="1:11" ht="33">
      <c r="A1572" s="340">
        <v>42</v>
      </c>
      <c r="B1572" s="652" t="s">
        <v>1895</v>
      </c>
      <c r="C1572" s="661" t="s">
        <v>1896</v>
      </c>
      <c r="D1572" s="345" t="s">
        <v>37</v>
      </c>
      <c r="E1572" s="345">
        <v>2</v>
      </c>
      <c r="F1572" s="345"/>
      <c r="G1572" s="345"/>
      <c r="H1572" s="345"/>
      <c r="I1572" s="345"/>
      <c r="J1572" s="656">
        <v>11782.3</v>
      </c>
      <c r="K1572" s="362">
        <f t="shared" si="76"/>
        <v>23564.6</v>
      </c>
    </row>
    <row r="1573" spans="1:11" ht="30">
      <c r="A1573" s="340">
        <v>43</v>
      </c>
      <c r="B1573" s="344" t="s">
        <v>1897</v>
      </c>
      <c r="C1573" s="662" t="s">
        <v>1898</v>
      </c>
      <c r="D1573" s="663" t="s">
        <v>193</v>
      </c>
      <c r="E1573" s="340">
        <v>1</v>
      </c>
      <c r="F1573" s="345"/>
      <c r="G1573" s="345"/>
      <c r="H1573" s="345"/>
      <c r="I1573" s="345"/>
      <c r="J1573" s="656">
        <v>2944.1</v>
      </c>
      <c r="K1573" s="362">
        <f t="shared" si="76"/>
        <v>2944.1</v>
      </c>
    </row>
    <row r="1574" spans="1:11" ht="16.5">
      <c r="A1574" s="340">
        <v>44</v>
      </c>
      <c r="B1574" s="344" t="s">
        <v>1899</v>
      </c>
      <c r="C1574" s="664" t="s">
        <v>1900</v>
      </c>
      <c r="D1574" s="663" t="s">
        <v>193</v>
      </c>
      <c r="E1574" s="345">
        <v>2</v>
      </c>
      <c r="F1574" s="345"/>
      <c r="G1574" s="345"/>
      <c r="H1574" s="345"/>
      <c r="I1574" s="345"/>
      <c r="J1574" s="656">
        <v>5835.1</v>
      </c>
      <c r="K1574" s="362">
        <f t="shared" si="76"/>
        <v>11670.2</v>
      </c>
    </row>
    <row r="1575" spans="1:11" ht="16.5">
      <c r="A1575" s="340">
        <v>45</v>
      </c>
      <c r="B1575" s="344" t="s">
        <v>1446</v>
      </c>
      <c r="C1575" s="664" t="s">
        <v>1901</v>
      </c>
      <c r="D1575" s="663" t="s">
        <v>193</v>
      </c>
      <c r="E1575" s="345">
        <v>3</v>
      </c>
      <c r="F1575" s="345"/>
      <c r="G1575" s="345"/>
      <c r="H1575" s="345"/>
      <c r="I1575" s="345"/>
      <c r="J1575" s="656">
        <v>5835.1</v>
      </c>
      <c r="K1575" s="362">
        <f t="shared" si="76"/>
        <v>17505.300000000003</v>
      </c>
    </row>
    <row r="1576" spans="1:11" ht="16.5">
      <c r="A1576" s="340">
        <v>46</v>
      </c>
      <c r="B1576" s="344" t="s">
        <v>1902</v>
      </c>
      <c r="C1576" s="664" t="s">
        <v>1903</v>
      </c>
      <c r="D1576" s="663" t="s">
        <v>193</v>
      </c>
      <c r="E1576" s="665">
        <v>1</v>
      </c>
      <c r="F1576" s="345"/>
      <c r="G1576" s="345"/>
      <c r="H1576" s="345"/>
      <c r="I1576" s="345"/>
      <c r="J1576" s="185">
        <v>5245.1</v>
      </c>
      <c r="K1576" s="362">
        <f t="shared" si="76"/>
        <v>5245.1</v>
      </c>
    </row>
    <row r="1577" spans="1:11" ht="49.5">
      <c r="A1577" s="340">
        <v>47</v>
      </c>
      <c r="B1577" s="344" t="s">
        <v>1904</v>
      </c>
      <c r="C1577" s="351" t="s">
        <v>1905</v>
      </c>
      <c r="D1577" s="663" t="s">
        <v>193</v>
      </c>
      <c r="E1577" s="353">
        <v>1</v>
      </c>
      <c r="F1577" s="345"/>
      <c r="G1577" s="345"/>
      <c r="H1577" s="345"/>
      <c r="I1577" s="345"/>
      <c r="J1577" s="656">
        <v>7706.65</v>
      </c>
      <c r="K1577" s="362">
        <f t="shared" si="76"/>
        <v>7706.65</v>
      </c>
    </row>
    <row r="1578" spans="1:11" ht="16.5">
      <c r="A1578" s="340">
        <v>48</v>
      </c>
      <c r="B1578" s="344"/>
      <c r="C1578" s="659" t="s">
        <v>1906</v>
      </c>
      <c r="D1578" s="663" t="s">
        <v>193</v>
      </c>
      <c r="E1578" s="345">
        <v>1</v>
      </c>
      <c r="F1578" s="345"/>
      <c r="G1578" s="345"/>
      <c r="H1578" s="345"/>
      <c r="I1578" s="345"/>
      <c r="J1578" s="656">
        <v>10215</v>
      </c>
      <c r="K1578" s="362">
        <f t="shared" si="76"/>
        <v>10215</v>
      </c>
    </row>
    <row r="1579" spans="1:11" ht="33">
      <c r="A1579" s="340">
        <v>49</v>
      </c>
      <c r="B1579" s="666" t="s">
        <v>1907</v>
      </c>
      <c r="C1579" s="659" t="s">
        <v>1908</v>
      </c>
      <c r="D1579" s="667" t="s">
        <v>324</v>
      </c>
      <c r="E1579" s="665">
        <v>20</v>
      </c>
      <c r="F1579" s="345"/>
      <c r="G1579" s="345"/>
      <c r="H1579" s="345"/>
      <c r="I1579" s="345"/>
      <c r="J1579" s="656">
        <v>3972</v>
      </c>
      <c r="K1579" s="362">
        <f t="shared" si="76"/>
        <v>79440</v>
      </c>
    </row>
    <row r="1580" spans="1:11" ht="49.5">
      <c r="A1580" s="340">
        <v>50</v>
      </c>
      <c r="B1580" s="666" t="s">
        <v>1909</v>
      </c>
      <c r="C1580" s="351" t="s">
        <v>1910</v>
      </c>
      <c r="D1580" s="668" t="s">
        <v>193</v>
      </c>
      <c r="E1580" s="353">
        <v>2</v>
      </c>
      <c r="F1580" s="345"/>
      <c r="G1580" s="345"/>
      <c r="H1580" s="345"/>
      <c r="I1580" s="345"/>
      <c r="J1580" s="656">
        <v>5675</v>
      </c>
      <c r="K1580" s="362">
        <f t="shared" si="76"/>
        <v>11350</v>
      </c>
    </row>
    <row r="1581" spans="1:11" ht="33">
      <c r="A1581" s="340">
        <v>51</v>
      </c>
      <c r="B1581" s="352" t="s">
        <v>1911</v>
      </c>
      <c r="C1581" s="351" t="s">
        <v>1912</v>
      </c>
      <c r="D1581" s="668" t="s">
        <v>193</v>
      </c>
      <c r="E1581" s="353">
        <v>10</v>
      </c>
      <c r="F1581" s="345"/>
      <c r="G1581" s="345"/>
      <c r="H1581" s="345"/>
      <c r="I1581" s="345"/>
      <c r="J1581" s="656">
        <v>7945</v>
      </c>
      <c r="K1581" s="362">
        <f t="shared" si="76"/>
        <v>79450</v>
      </c>
    </row>
    <row r="1582" spans="1:11" ht="30">
      <c r="A1582" s="340">
        <v>52</v>
      </c>
      <c r="B1582" s="355" t="s">
        <v>1913</v>
      </c>
      <c r="C1582" s="659" t="s">
        <v>1914</v>
      </c>
      <c r="D1582" s="669" t="s">
        <v>1915</v>
      </c>
      <c r="E1582" s="353">
        <v>5.28</v>
      </c>
      <c r="F1582" s="345"/>
      <c r="G1582" s="345"/>
      <c r="H1582" s="345"/>
      <c r="I1582" s="345"/>
      <c r="J1582" s="656">
        <v>2542.4</v>
      </c>
      <c r="K1582" s="362">
        <f t="shared" si="76"/>
        <v>13423.872000000001</v>
      </c>
    </row>
    <row r="1583" spans="1:11" ht="30">
      <c r="A1583" s="340">
        <v>53</v>
      </c>
      <c r="B1583" s="355" t="s">
        <v>1916</v>
      </c>
      <c r="C1583" s="659" t="s">
        <v>1917</v>
      </c>
      <c r="D1583" s="669" t="s">
        <v>1915</v>
      </c>
      <c r="E1583" s="353">
        <v>7.7</v>
      </c>
      <c r="F1583" s="345"/>
      <c r="G1583" s="345"/>
      <c r="H1583" s="345"/>
      <c r="I1583" s="345"/>
      <c r="J1583" s="656">
        <v>2264.3200000000002</v>
      </c>
      <c r="K1583" s="362">
        <f t="shared" si="76"/>
        <v>17435.264000000003</v>
      </c>
    </row>
    <row r="1584" spans="1:11" ht="30">
      <c r="A1584" s="340">
        <v>54</v>
      </c>
      <c r="B1584" s="355" t="s">
        <v>1918</v>
      </c>
      <c r="C1584" s="659" t="s">
        <v>1919</v>
      </c>
      <c r="D1584" s="669" t="s">
        <v>1915</v>
      </c>
      <c r="E1584" s="353">
        <v>6.48</v>
      </c>
      <c r="F1584" s="345"/>
      <c r="G1584" s="345"/>
      <c r="H1584" s="345"/>
      <c r="I1584" s="345"/>
      <c r="J1584" s="656">
        <v>2037.32</v>
      </c>
      <c r="K1584" s="362">
        <f t="shared" si="76"/>
        <v>13201.8336</v>
      </c>
    </row>
    <row r="1585" spans="1:11" ht="30">
      <c r="A1585" s="340">
        <v>55</v>
      </c>
      <c r="B1585" s="355" t="s">
        <v>70</v>
      </c>
      <c r="C1585" s="659" t="s">
        <v>1920</v>
      </c>
      <c r="D1585" s="196" t="s">
        <v>1921</v>
      </c>
      <c r="E1585" s="670">
        <v>0.20899999999999999</v>
      </c>
      <c r="F1585" s="345"/>
      <c r="G1585" s="345"/>
      <c r="H1585" s="345"/>
      <c r="I1585" s="345"/>
      <c r="J1585" s="650">
        <v>81213.5</v>
      </c>
      <c r="K1585" s="362">
        <f t="shared" si="76"/>
        <v>16973.621500000001</v>
      </c>
    </row>
    <row r="1586" spans="1:11" ht="18.75">
      <c r="A1586" s="340">
        <v>56</v>
      </c>
      <c r="B1586" s="355"/>
      <c r="C1586" s="671" t="s">
        <v>1922</v>
      </c>
      <c r="D1586" s="196" t="s">
        <v>449</v>
      </c>
      <c r="E1586" s="670">
        <v>627</v>
      </c>
      <c r="F1586" s="345"/>
      <c r="G1586" s="345"/>
      <c r="H1586" s="345"/>
      <c r="I1586" s="345"/>
      <c r="J1586" s="650">
        <v>50</v>
      </c>
      <c r="K1586" s="362">
        <f t="shared" si="76"/>
        <v>31350</v>
      </c>
    </row>
    <row r="1587" spans="1:11" ht="30">
      <c r="A1587" s="340">
        <v>57</v>
      </c>
      <c r="B1587" s="355" t="s">
        <v>1923</v>
      </c>
      <c r="C1587" s="672" t="s">
        <v>1924</v>
      </c>
      <c r="D1587" s="663" t="s">
        <v>193</v>
      </c>
      <c r="E1587" s="665">
        <v>135</v>
      </c>
      <c r="F1587" s="345"/>
      <c r="G1587" s="345"/>
      <c r="H1587" s="345"/>
      <c r="I1587" s="345"/>
      <c r="J1587" s="656">
        <v>250</v>
      </c>
      <c r="K1587" s="362">
        <f t="shared" si="76"/>
        <v>33750</v>
      </c>
    </row>
    <row r="1588" spans="1:11" ht="37.5">
      <c r="A1588" s="340">
        <v>58</v>
      </c>
      <c r="B1588" s="355"/>
      <c r="C1588" s="673" t="s">
        <v>1925</v>
      </c>
      <c r="D1588" s="663" t="s">
        <v>62</v>
      </c>
      <c r="E1588" s="665">
        <v>3</v>
      </c>
      <c r="F1588" s="345"/>
      <c r="G1588" s="345"/>
      <c r="H1588" s="345"/>
      <c r="I1588" s="345"/>
      <c r="J1588" s="656">
        <v>250</v>
      </c>
      <c r="K1588" s="362">
        <f t="shared" si="76"/>
        <v>750</v>
      </c>
    </row>
    <row r="1589" spans="1:11" ht="66">
      <c r="A1589" s="340">
        <v>59</v>
      </c>
      <c r="B1589" s="355" t="s">
        <v>1926</v>
      </c>
      <c r="C1589" s="674" t="s">
        <v>1927</v>
      </c>
      <c r="D1589" s="443" t="s">
        <v>37</v>
      </c>
      <c r="E1589" s="353">
        <v>6</v>
      </c>
      <c r="F1589" s="345"/>
      <c r="G1589" s="345"/>
      <c r="H1589" s="345"/>
      <c r="I1589" s="345"/>
      <c r="J1589" s="656">
        <v>13620</v>
      </c>
      <c r="K1589" s="362">
        <f t="shared" si="76"/>
        <v>81720</v>
      </c>
    </row>
    <row r="1590" spans="1:11" ht="66">
      <c r="A1590" s="340">
        <v>60</v>
      </c>
      <c r="B1590" s="355" t="s">
        <v>1928</v>
      </c>
      <c r="C1590" s="674" t="s">
        <v>1929</v>
      </c>
      <c r="D1590" s="443" t="s">
        <v>37</v>
      </c>
      <c r="E1590" s="353">
        <v>3</v>
      </c>
      <c r="F1590" s="345"/>
      <c r="G1590" s="345"/>
      <c r="H1590" s="345"/>
      <c r="I1590" s="345"/>
      <c r="J1590" s="656">
        <v>10442</v>
      </c>
      <c r="K1590" s="362">
        <f t="shared" si="76"/>
        <v>31326</v>
      </c>
    </row>
    <row r="1591" spans="1:11" ht="16.5">
      <c r="A1591" s="340">
        <v>61</v>
      </c>
      <c r="B1591" s="355" t="s">
        <v>1930</v>
      </c>
      <c r="C1591" s="659" t="s">
        <v>1931</v>
      </c>
      <c r="D1591" s="443" t="s">
        <v>37</v>
      </c>
      <c r="E1591" s="353">
        <v>1</v>
      </c>
      <c r="F1591" s="345"/>
      <c r="G1591" s="345"/>
      <c r="H1591" s="345"/>
      <c r="I1591" s="345"/>
      <c r="J1591" s="656">
        <v>16911.5</v>
      </c>
      <c r="K1591" s="362">
        <f t="shared" si="76"/>
        <v>16911.5</v>
      </c>
    </row>
    <row r="1592" spans="1:11" ht="45">
      <c r="A1592" s="340">
        <v>62</v>
      </c>
      <c r="B1592" s="355" t="s">
        <v>1932</v>
      </c>
      <c r="C1592" s="675" t="s">
        <v>1933</v>
      </c>
      <c r="D1592" s="345" t="s">
        <v>37</v>
      </c>
      <c r="E1592" s="353">
        <v>1</v>
      </c>
      <c r="F1592" s="345"/>
      <c r="G1592" s="345"/>
      <c r="H1592" s="345"/>
      <c r="I1592" s="345"/>
      <c r="J1592" s="656">
        <v>105693</v>
      </c>
      <c r="K1592" s="362">
        <f t="shared" si="76"/>
        <v>105693</v>
      </c>
    </row>
    <row r="1593" spans="1:11" ht="30">
      <c r="A1593" s="340">
        <v>63</v>
      </c>
      <c r="B1593" s="355" t="s">
        <v>1934</v>
      </c>
      <c r="C1593" s="659" t="s">
        <v>1935</v>
      </c>
      <c r="D1593" s="676" t="s">
        <v>193</v>
      </c>
      <c r="E1593" s="677">
        <v>3</v>
      </c>
      <c r="F1593" s="345"/>
      <c r="G1593" s="345"/>
      <c r="H1593" s="345"/>
      <c r="I1593" s="345"/>
      <c r="J1593" s="678">
        <v>73468</v>
      </c>
      <c r="K1593" s="362">
        <f t="shared" si="76"/>
        <v>220404</v>
      </c>
    </row>
    <row r="1594" spans="1:11" ht="16.5">
      <c r="A1594" s="340">
        <v>64</v>
      </c>
      <c r="B1594" s="355" t="s">
        <v>1936</v>
      </c>
      <c r="C1594" s="664" t="s">
        <v>1937</v>
      </c>
      <c r="D1594" s="345" t="s">
        <v>37</v>
      </c>
      <c r="E1594" s="353">
        <v>1</v>
      </c>
      <c r="F1594" s="345"/>
      <c r="G1594" s="345"/>
      <c r="H1594" s="345"/>
      <c r="I1594" s="345"/>
      <c r="J1594" s="656">
        <v>6549</v>
      </c>
      <c r="K1594" s="362">
        <f t="shared" si="76"/>
        <v>6549</v>
      </c>
    </row>
    <row r="1595" spans="1:11" ht="16.5">
      <c r="A1595" s="340">
        <v>65</v>
      </c>
      <c r="B1595" s="355" t="s">
        <v>1936</v>
      </c>
      <c r="C1595" s="664" t="s">
        <v>1938</v>
      </c>
      <c r="D1595" s="663" t="s">
        <v>193</v>
      </c>
      <c r="E1595" s="665">
        <v>1</v>
      </c>
      <c r="F1595" s="345"/>
      <c r="G1595" s="345"/>
      <c r="H1595" s="345"/>
      <c r="I1595" s="345"/>
      <c r="J1595" s="656">
        <v>5133</v>
      </c>
      <c r="K1595" s="362">
        <f t="shared" si="76"/>
        <v>5133</v>
      </c>
    </row>
    <row r="1596" spans="1:11" ht="30">
      <c r="A1596" s="340">
        <v>66</v>
      </c>
      <c r="B1596" s="679" t="s">
        <v>376</v>
      </c>
      <c r="C1596" s="680" t="s">
        <v>1939</v>
      </c>
      <c r="D1596" s="345" t="s">
        <v>37</v>
      </c>
      <c r="E1596" s="681">
        <v>1</v>
      </c>
      <c r="F1596" s="345"/>
      <c r="G1596" s="345"/>
      <c r="H1596" s="345"/>
      <c r="I1596" s="345"/>
      <c r="J1596" s="656">
        <v>1469</v>
      </c>
      <c r="K1596" s="362">
        <f t="shared" ref="K1596:K1597" si="77">E1596*J1596</f>
        <v>1469</v>
      </c>
    </row>
    <row r="1597" spans="1:11" ht="45">
      <c r="A1597" s="340">
        <v>67</v>
      </c>
      <c r="B1597" s="344" t="s">
        <v>1940</v>
      </c>
      <c r="C1597" s="682" t="s">
        <v>1941</v>
      </c>
      <c r="D1597" s="663" t="s">
        <v>193</v>
      </c>
      <c r="E1597" s="683">
        <v>40</v>
      </c>
      <c r="F1597" s="345"/>
      <c r="G1597" s="345"/>
      <c r="H1597" s="345"/>
      <c r="I1597" s="345"/>
      <c r="J1597" s="684">
        <v>29.204999999999998</v>
      </c>
      <c r="K1597" s="362">
        <f t="shared" si="77"/>
        <v>1168.1999999999998</v>
      </c>
    </row>
    <row r="1598" spans="1:11" ht="30">
      <c r="A1598" s="340">
        <v>68</v>
      </c>
      <c r="B1598" s="344"/>
      <c r="C1598" s="685" t="s">
        <v>1942</v>
      </c>
      <c r="D1598" s="663" t="s">
        <v>67</v>
      </c>
      <c r="E1598" s="683">
        <v>6.5000000000000002E-2</v>
      </c>
      <c r="F1598" s="345"/>
      <c r="G1598" s="345"/>
      <c r="H1598" s="345"/>
      <c r="I1598" s="345"/>
      <c r="J1598" s="686">
        <v>276592</v>
      </c>
      <c r="K1598" s="362">
        <f t="shared" ref="K1598:K1605" si="78">J1598*E1598</f>
        <v>17978.48</v>
      </c>
    </row>
    <row r="1599" spans="1:11" ht="18.75">
      <c r="A1599" s="340">
        <v>69</v>
      </c>
      <c r="B1599" s="345"/>
      <c r="C1599" s="671" t="s">
        <v>1943</v>
      </c>
      <c r="D1599" s="687" t="s">
        <v>62</v>
      </c>
      <c r="E1599" s="683">
        <v>1</v>
      </c>
      <c r="F1599" s="345"/>
      <c r="G1599" s="345"/>
      <c r="H1599" s="345"/>
      <c r="I1599" s="345"/>
      <c r="J1599" s="686">
        <v>1500</v>
      </c>
      <c r="K1599" s="362">
        <f t="shared" si="78"/>
        <v>1500</v>
      </c>
    </row>
    <row r="1600" spans="1:11" ht="18.75">
      <c r="A1600" s="340">
        <v>70</v>
      </c>
      <c r="B1600" s="344"/>
      <c r="C1600" s="671" t="s">
        <v>1944</v>
      </c>
      <c r="D1600" s="687" t="s">
        <v>62</v>
      </c>
      <c r="E1600" s="683">
        <v>1</v>
      </c>
      <c r="F1600" s="345"/>
      <c r="G1600" s="345"/>
      <c r="H1600" s="345"/>
      <c r="I1600" s="345"/>
      <c r="J1600" s="686">
        <v>35105</v>
      </c>
      <c r="K1600" s="362">
        <f t="shared" si="78"/>
        <v>35105</v>
      </c>
    </row>
    <row r="1601" spans="1:11" ht="18.75">
      <c r="A1601" s="340">
        <v>71</v>
      </c>
      <c r="B1601" s="344"/>
      <c r="C1601" s="671" t="s">
        <v>1945</v>
      </c>
      <c r="D1601" s="687" t="s">
        <v>195</v>
      </c>
      <c r="E1601" s="683">
        <v>2</v>
      </c>
      <c r="F1601" s="345"/>
      <c r="G1601" s="345"/>
      <c r="H1601" s="345"/>
      <c r="I1601" s="345"/>
      <c r="J1601" s="686">
        <v>703.3</v>
      </c>
      <c r="K1601" s="362">
        <f t="shared" si="78"/>
        <v>1406.6</v>
      </c>
    </row>
    <row r="1602" spans="1:11" ht="18.75">
      <c r="A1602" s="340">
        <v>72</v>
      </c>
      <c r="B1602" s="344"/>
      <c r="C1602" s="688" t="s">
        <v>1716</v>
      </c>
      <c r="D1602" s="687" t="s">
        <v>786</v>
      </c>
      <c r="E1602" s="683">
        <v>10</v>
      </c>
      <c r="F1602" s="345"/>
      <c r="G1602" s="345"/>
      <c r="H1602" s="345"/>
      <c r="I1602" s="345"/>
      <c r="J1602" s="686">
        <v>3876.3</v>
      </c>
      <c r="K1602" s="362">
        <f t="shared" si="78"/>
        <v>38763</v>
      </c>
    </row>
    <row r="1603" spans="1:11" ht="18.75">
      <c r="A1603" s="340">
        <v>73</v>
      </c>
      <c r="B1603" s="344"/>
      <c r="C1603" s="688" t="s">
        <v>1946</v>
      </c>
      <c r="D1603" s="687" t="s">
        <v>62</v>
      </c>
      <c r="E1603" s="683">
        <v>1</v>
      </c>
      <c r="F1603" s="345"/>
      <c r="G1603" s="345"/>
      <c r="H1603" s="345"/>
      <c r="I1603" s="345"/>
      <c r="J1603" s="686">
        <v>69502</v>
      </c>
      <c r="K1603" s="362">
        <f t="shared" si="78"/>
        <v>69502</v>
      </c>
    </row>
    <row r="1604" spans="1:11" ht="18.75">
      <c r="A1604" s="340">
        <v>74</v>
      </c>
      <c r="B1604" s="344"/>
      <c r="C1604" s="688" t="s">
        <v>1947</v>
      </c>
      <c r="D1604" s="687" t="s">
        <v>62</v>
      </c>
      <c r="E1604" s="683">
        <v>14</v>
      </c>
      <c r="F1604" s="345"/>
      <c r="G1604" s="345"/>
      <c r="H1604" s="345"/>
      <c r="I1604" s="345"/>
      <c r="J1604" s="686">
        <v>1876.2</v>
      </c>
      <c r="K1604" s="362">
        <f t="shared" si="78"/>
        <v>26266.799999999999</v>
      </c>
    </row>
    <row r="1605" spans="1:11" ht="18.75">
      <c r="A1605" s="340">
        <v>75</v>
      </c>
      <c r="B1605" s="344"/>
      <c r="C1605" s="688" t="s">
        <v>1948</v>
      </c>
      <c r="D1605" s="687" t="s">
        <v>62</v>
      </c>
      <c r="E1605" s="683">
        <v>1</v>
      </c>
      <c r="F1605" s="345"/>
      <c r="G1605" s="345"/>
      <c r="H1605" s="345"/>
      <c r="I1605" s="345"/>
      <c r="J1605" s="686">
        <v>3000000</v>
      </c>
      <c r="K1605" s="358">
        <f t="shared" si="78"/>
        <v>3000000</v>
      </c>
    </row>
    <row r="1606" spans="1:11" ht="18.75">
      <c r="A1606" s="1213" t="s">
        <v>1949</v>
      </c>
      <c r="B1606" s="1214"/>
      <c r="C1606" s="1214"/>
      <c r="D1606" s="687"/>
      <c r="E1606" s="683"/>
      <c r="F1606" s="345"/>
      <c r="G1606" s="345"/>
      <c r="H1606" s="345"/>
      <c r="I1606" s="345"/>
      <c r="J1606" s="686"/>
      <c r="K1606" s="362"/>
    </row>
    <row r="1607" spans="1:11" ht="47.25">
      <c r="A1607" s="340">
        <v>76</v>
      </c>
      <c r="B1607" s="339" t="s">
        <v>1950</v>
      </c>
      <c r="C1607" s="500" t="s">
        <v>1951</v>
      </c>
      <c r="D1607" s="57" t="s">
        <v>193</v>
      </c>
      <c r="E1607" s="689"/>
      <c r="F1607" s="656"/>
      <c r="G1607" s="345"/>
      <c r="H1607" s="345"/>
      <c r="I1607" s="689">
        <v>1</v>
      </c>
      <c r="J1607" s="656">
        <v>500</v>
      </c>
      <c r="K1607" s="362">
        <f>J1607*(I1607+G1607)</f>
        <v>500</v>
      </c>
    </row>
    <row r="1608" spans="1:11" ht="47.25">
      <c r="A1608" s="340">
        <v>77</v>
      </c>
      <c r="B1608" s="339" t="s">
        <v>673</v>
      </c>
      <c r="C1608" s="59" t="s">
        <v>1952</v>
      </c>
      <c r="D1608" s="669" t="s">
        <v>266</v>
      </c>
      <c r="E1608" s="689"/>
      <c r="F1608" s="690"/>
      <c r="G1608" s="345"/>
      <c r="H1608" s="345"/>
      <c r="I1608" s="689">
        <v>1</v>
      </c>
      <c r="J1608" s="690">
        <v>5000</v>
      </c>
      <c r="K1608" s="362">
        <f>J1608*(I1608+G1608)</f>
        <v>5000</v>
      </c>
    </row>
    <row r="1609" spans="1:11" ht="47.25">
      <c r="A1609" s="340">
        <v>78</v>
      </c>
      <c r="B1609" s="339" t="s">
        <v>1953</v>
      </c>
      <c r="C1609" s="691" t="s">
        <v>1954</v>
      </c>
      <c r="D1609" s="57" t="s">
        <v>193</v>
      </c>
      <c r="E1609" s="689"/>
      <c r="F1609" s="690"/>
      <c r="G1609" s="345"/>
      <c r="H1609" s="345"/>
      <c r="I1609" s="689">
        <v>10</v>
      </c>
      <c r="J1609" s="690">
        <v>500</v>
      </c>
      <c r="K1609" s="362">
        <f>J1609*(I1609+G1609)</f>
        <v>5000</v>
      </c>
    </row>
    <row r="1610" spans="1:11" ht="63">
      <c r="A1610" s="340">
        <v>79</v>
      </c>
      <c r="B1610" s="339"/>
      <c r="C1610" s="692" t="s">
        <v>1955</v>
      </c>
      <c r="D1610" s="693" t="s">
        <v>266</v>
      </c>
      <c r="E1610" s="196"/>
      <c r="F1610" s="57"/>
      <c r="G1610" s="694"/>
      <c r="H1610" s="658"/>
      <c r="I1610" s="658">
        <v>1</v>
      </c>
      <c r="J1610" s="57">
        <v>11000</v>
      </c>
      <c r="K1610" s="362">
        <f>I1610*J1610</f>
        <v>11000</v>
      </c>
    </row>
    <row r="1611" spans="1:11" ht="16.5">
      <c r="A1611" s="340">
        <v>80</v>
      </c>
      <c r="B1611" s="695"/>
      <c r="C1611" s="696" t="s">
        <v>1956</v>
      </c>
      <c r="D1611" s="693" t="s">
        <v>62</v>
      </c>
      <c r="E1611" s="196"/>
      <c r="F1611" s="57"/>
      <c r="G1611" s="694"/>
      <c r="H1611" s="658"/>
      <c r="I1611" s="658">
        <v>2</v>
      </c>
      <c r="J1611" s="57">
        <v>200</v>
      </c>
      <c r="K1611" s="362">
        <f>I1611*J1611</f>
        <v>400</v>
      </c>
    </row>
    <row r="1612" spans="1:11" ht="16.5">
      <c r="A1612" s="340">
        <v>81</v>
      </c>
      <c r="B1612" s="695"/>
      <c r="C1612" s="696" t="s">
        <v>1957</v>
      </c>
      <c r="D1612" s="693" t="s">
        <v>62</v>
      </c>
      <c r="E1612" s="196"/>
      <c r="F1612" s="57"/>
      <c r="G1612" s="694"/>
      <c r="H1612" s="658"/>
      <c r="I1612" s="658">
        <v>1</v>
      </c>
      <c r="J1612" s="57">
        <v>200</v>
      </c>
      <c r="K1612" s="362">
        <f>I1612*J1612</f>
        <v>200</v>
      </c>
    </row>
    <row r="1613" spans="1:11" ht="31.5">
      <c r="A1613" s="340">
        <v>82</v>
      </c>
      <c r="B1613" s="352" t="s">
        <v>1958</v>
      </c>
      <c r="C1613" s="697" t="s">
        <v>1959</v>
      </c>
      <c r="D1613" s="693" t="s">
        <v>62</v>
      </c>
      <c r="E1613" s="345"/>
      <c r="F1613" s="654"/>
      <c r="G1613" s="345">
        <v>3</v>
      </c>
      <c r="H1613" s="345"/>
      <c r="I1613" s="345"/>
      <c r="J1613" s="654">
        <v>80000</v>
      </c>
      <c r="K1613" s="362">
        <f>G1613*J1613</f>
        <v>240000</v>
      </c>
    </row>
    <row r="1614" spans="1:11" ht="47.25">
      <c r="A1614" s="340">
        <v>83</v>
      </c>
      <c r="B1614" s="339" t="s">
        <v>1960</v>
      </c>
      <c r="C1614" s="698" t="s">
        <v>1961</v>
      </c>
      <c r="D1614" s="693" t="s">
        <v>40</v>
      </c>
      <c r="E1614" s="345"/>
      <c r="F1614" s="654"/>
      <c r="G1614" s="345">
        <v>1</v>
      </c>
      <c r="H1614" s="345"/>
      <c r="I1614" s="345"/>
      <c r="J1614" s="654">
        <v>0</v>
      </c>
      <c r="K1614" s="362">
        <f>J1614*(I1614+G1614)</f>
        <v>0</v>
      </c>
    </row>
    <row r="1615" spans="1:11" ht="47.25">
      <c r="A1615" s="340">
        <v>84</v>
      </c>
      <c r="B1615" s="652" t="s">
        <v>1962</v>
      </c>
      <c r="C1615" s="59" t="s">
        <v>1963</v>
      </c>
      <c r="D1615" s="7" t="s">
        <v>40</v>
      </c>
      <c r="E1615" s="689"/>
      <c r="F1615" s="656"/>
      <c r="G1615" s="689">
        <v>1</v>
      </c>
      <c r="H1615" s="345"/>
      <c r="I1615" s="345"/>
      <c r="J1615" s="656">
        <v>312567</v>
      </c>
      <c r="K1615" s="362">
        <f t="shared" ref="K1615:K1618" si="79">J1615*(I1615+G1615)</f>
        <v>312567</v>
      </c>
    </row>
    <row r="1616" spans="1:11" ht="47.25">
      <c r="A1616" s="340">
        <v>85</v>
      </c>
      <c r="B1616" s="652" t="s">
        <v>1964</v>
      </c>
      <c r="C1616" s="59" t="s">
        <v>1965</v>
      </c>
      <c r="D1616" s="7" t="s">
        <v>40</v>
      </c>
      <c r="E1616" s="689"/>
      <c r="F1616" s="656"/>
      <c r="G1616" s="689">
        <v>2</v>
      </c>
      <c r="H1616" s="345"/>
      <c r="I1616" s="345"/>
      <c r="J1616" s="656">
        <v>312567</v>
      </c>
      <c r="K1616" s="362">
        <f t="shared" si="79"/>
        <v>625134</v>
      </c>
    </row>
    <row r="1617" spans="1:11" ht="47.25">
      <c r="A1617" s="340">
        <v>86</v>
      </c>
      <c r="B1617" s="652" t="s">
        <v>1964</v>
      </c>
      <c r="C1617" s="59" t="s">
        <v>1966</v>
      </c>
      <c r="D1617" s="7" t="s">
        <v>40</v>
      </c>
      <c r="E1617" s="689"/>
      <c r="F1617" s="656"/>
      <c r="G1617" s="689">
        <v>1</v>
      </c>
      <c r="H1617" s="345"/>
      <c r="I1617" s="345"/>
      <c r="J1617" s="656">
        <v>312567</v>
      </c>
      <c r="K1617" s="362">
        <f t="shared" si="79"/>
        <v>312567</v>
      </c>
    </row>
    <row r="1618" spans="1:11" ht="30">
      <c r="A1618" s="340">
        <v>87</v>
      </c>
      <c r="B1618" s="339" t="s">
        <v>1967</v>
      </c>
      <c r="C1618" s="664" t="s">
        <v>1968</v>
      </c>
      <c r="D1618" s="7" t="s">
        <v>40</v>
      </c>
      <c r="E1618" s="345"/>
      <c r="F1618" s="656"/>
      <c r="G1618" s="345">
        <v>3</v>
      </c>
      <c r="H1618" s="345"/>
      <c r="I1618" s="345"/>
      <c r="J1618" s="656">
        <v>20000</v>
      </c>
      <c r="K1618" s="362">
        <f t="shared" si="79"/>
        <v>60000</v>
      </c>
    </row>
    <row r="1619" spans="1:11" ht="31.5">
      <c r="A1619" s="340">
        <v>88</v>
      </c>
      <c r="B1619" s="339" t="s">
        <v>1969</v>
      </c>
      <c r="C1619" s="59" t="s">
        <v>1970</v>
      </c>
      <c r="D1619" s="693" t="s">
        <v>193</v>
      </c>
      <c r="E1619" s="196"/>
      <c r="F1619" s="57"/>
      <c r="G1619" s="196">
        <v>3</v>
      </c>
      <c r="H1619" s="345"/>
      <c r="I1619" s="345"/>
      <c r="J1619" s="57">
        <v>20000</v>
      </c>
      <c r="K1619" s="362">
        <f>J1619*(I1619+G1619)</f>
        <v>60000</v>
      </c>
    </row>
    <row r="1620" spans="1:11" ht="47.25">
      <c r="A1620" s="340">
        <v>89</v>
      </c>
      <c r="B1620" s="339"/>
      <c r="C1620" s="692" t="s">
        <v>1971</v>
      </c>
      <c r="D1620" s="693" t="s">
        <v>62</v>
      </c>
      <c r="E1620" s="196"/>
      <c r="F1620" s="57"/>
      <c r="G1620" s="694">
        <v>3</v>
      </c>
      <c r="H1620" s="658"/>
      <c r="I1620" s="658"/>
      <c r="J1620" s="57">
        <v>15000</v>
      </c>
      <c r="K1620" s="362">
        <f>G1620*J1620</f>
        <v>45000</v>
      </c>
    </row>
    <row r="1621" spans="1:11" ht="31.5">
      <c r="A1621" s="340">
        <v>90</v>
      </c>
      <c r="B1621" s="339"/>
      <c r="C1621" s="692" t="s">
        <v>1972</v>
      </c>
      <c r="D1621" s="693" t="s">
        <v>62</v>
      </c>
      <c r="E1621" s="196"/>
      <c r="F1621" s="57"/>
      <c r="G1621" s="694">
        <v>3</v>
      </c>
      <c r="H1621" s="658"/>
      <c r="I1621" s="658"/>
      <c r="J1621" s="57">
        <v>15000</v>
      </c>
      <c r="K1621" s="362">
        <f>G1621*J1621</f>
        <v>45000</v>
      </c>
    </row>
    <row r="1622" spans="1:11" ht="30">
      <c r="A1622" s="340">
        <v>91</v>
      </c>
      <c r="B1622" s="699"/>
      <c r="C1622" s="700" t="s">
        <v>1973</v>
      </c>
      <c r="D1622" s="693" t="s">
        <v>62</v>
      </c>
      <c r="E1622" s="196"/>
      <c r="F1622" s="57"/>
      <c r="G1622" s="694">
        <v>2</v>
      </c>
      <c r="H1622" s="658"/>
      <c r="I1622" s="658"/>
      <c r="J1622" s="57">
        <v>40000</v>
      </c>
      <c r="K1622" s="362">
        <f>G1622*J1622</f>
        <v>80000</v>
      </c>
    </row>
    <row r="1623" spans="1:11" ht="30">
      <c r="A1623" s="340">
        <v>92</v>
      </c>
      <c r="B1623" s="695"/>
      <c r="C1623" s="701" t="s">
        <v>1974</v>
      </c>
      <c r="D1623" s="693" t="s">
        <v>62</v>
      </c>
      <c r="E1623" s="196"/>
      <c r="F1623" s="57"/>
      <c r="G1623" s="694">
        <v>3</v>
      </c>
      <c r="H1623" s="658"/>
      <c r="I1623" s="658"/>
      <c r="J1623" s="57">
        <v>15000</v>
      </c>
      <c r="K1623" s="362">
        <f>G1623*J1623</f>
        <v>45000</v>
      </c>
    </row>
    <row r="1624" spans="1:11" ht="31.5">
      <c r="A1624" s="340">
        <v>93</v>
      </c>
      <c r="B1624" s="695"/>
      <c r="C1624" s="702" t="s">
        <v>1975</v>
      </c>
      <c r="D1624" s="693" t="s">
        <v>62</v>
      </c>
      <c r="E1624" s="196"/>
      <c r="F1624" s="57"/>
      <c r="G1624" s="694">
        <v>3</v>
      </c>
      <c r="H1624" s="658"/>
      <c r="I1624" s="658"/>
      <c r="J1624" s="57">
        <v>20000</v>
      </c>
      <c r="K1624" s="362">
        <f>G1624*J1624</f>
        <v>60000</v>
      </c>
    </row>
    <row r="1625" spans="1:11" ht="31.5">
      <c r="A1625" s="340">
        <v>94</v>
      </c>
      <c r="B1625" s="699"/>
      <c r="C1625" s="702" t="s">
        <v>1976</v>
      </c>
      <c r="D1625" s="693" t="s">
        <v>62</v>
      </c>
      <c r="E1625" s="196"/>
      <c r="F1625" s="57"/>
      <c r="G1625" s="694">
        <v>3</v>
      </c>
      <c r="H1625" s="658"/>
      <c r="I1625" s="658"/>
      <c r="J1625" s="57">
        <v>20000</v>
      </c>
      <c r="K1625" s="362">
        <f t="shared" ref="K1625:K1626" si="80">G1625*J1625</f>
        <v>60000</v>
      </c>
    </row>
    <row r="1626" spans="1:11" ht="30">
      <c r="A1626" s="340">
        <v>95</v>
      </c>
      <c r="B1626" s="695"/>
      <c r="C1626" s="703" t="s">
        <v>1968</v>
      </c>
      <c r="D1626" s="693" t="s">
        <v>62</v>
      </c>
      <c r="E1626" s="196"/>
      <c r="F1626" s="57"/>
      <c r="G1626" s="694">
        <v>3</v>
      </c>
      <c r="H1626" s="658"/>
      <c r="I1626" s="658"/>
      <c r="J1626" s="57">
        <v>20000</v>
      </c>
      <c r="K1626" s="362">
        <f t="shared" si="80"/>
        <v>60000</v>
      </c>
    </row>
    <row r="1627" spans="1:11" ht="16.5">
      <c r="A1627" s="339"/>
      <c r="B1627" s="704"/>
      <c r="C1627" s="705"/>
      <c r="D1627" s="706"/>
      <c r="E1627" s="707"/>
      <c r="F1627" s="708"/>
      <c r="G1627" s="709"/>
      <c r="H1627" s="710"/>
      <c r="I1627" s="710"/>
      <c r="J1627" s="708"/>
      <c r="K1627" s="711"/>
    </row>
    <row r="1628" spans="1:11" ht="18.75">
      <c r="A1628" s="1215" t="s">
        <v>1977</v>
      </c>
      <c r="B1628" s="1216"/>
      <c r="C1628" s="1216"/>
      <c r="D1628" s="1216"/>
      <c r="E1628" s="1216"/>
      <c r="F1628" s="1216"/>
      <c r="G1628" s="1216"/>
      <c r="H1628" s="1216"/>
      <c r="I1628" s="1216"/>
      <c r="J1628" s="1216"/>
      <c r="K1628" s="1217"/>
    </row>
    <row r="1629" spans="1:11" ht="18.75">
      <c r="A1629" s="712"/>
      <c r="B1629" s="713"/>
      <c r="C1629" s="713"/>
      <c r="D1629" s="714"/>
      <c r="E1629" s="714"/>
      <c r="F1629" s="714"/>
      <c r="G1629" s="714"/>
      <c r="H1629" s="714"/>
      <c r="I1629" s="714"/>
      <c r="J1629" s="713"/>
      <c r="K1629" s="715"/>
    </row>
    <row r="1630" spans="1:11" ht="16.5">
      <c r="A1630" s="1194" t="s">
        <v>1829</v>
      </c>
      <c r="B1630" s="1196" t="s">
        <v>110</v>
      </c>
      <c r="C1630" s="1194" t="s">
        <v>1830</v>
      </c>
      <c r="D1630" s="345" t="s">
        <v>112</v>
      </c>
      <c r="E1630" s="1198" t="s">
        <v>1831</v>
      </c>
      <c r="F1630" s="1199"/>
      <c r="G1630" s="1199"/>
      <c r="H1630" s="1199"/>
      <c r="I1630" s="1200"/>
      <c r="J1630" s="1201" t="s">
        <v>1832</v>
      </c>
      <c r="K1630" s="1201" t="s">
        <v>214</v>
      </c>
    </row>
    <row r="1631" spans="1:11" ht="16.5">
      <c r="A1631" s="1195"/>
      <c r="B1631" s="1197"/>
      <c r="C1631" s="1195"/>
      <c r="D1631" s="648"/>
      <c r="E1631" s="716" t="s">
        <v>114</v>
      </c>
      <c r="F1631" s="716" t="s">
        <v>1833</v>
      </c>
      <c r="G1631" s="716" t="s">
        <v>1</v>
      </c>
      <c r="H1631" s="716" t="s">
        <v>1306</v>
      </c>
      <c r="I1631" s="716" t="s">
        <v>0</v>
      </c>
      <c r="J1631" s="1202"/>
      <c r="K1631" s="1202"/>
    </row>
    <row r="1632" spans="1:11" ht="16.5">
      <c r="A1632" s="717">
        <v>1</v>
      </c>
      <c r="B1632" s="718" t="s">
        <v>1978</v>
      </c>
      <c r="C1632" s="719" t="s">
        <v>1979</v>
      </c>
      <c r="D1632" s="720" t="s">
        <v>1980</v>
      </c>
      <c r="E1632" s="721">
        <v>1</v>
      </c>
      <c r="F1632" s="345"/>
      <c r="G1632" s="345"/>
      <c r="H1632" s="345"/>
      <c r="I1632" s="345"/>
      <c r="J1632" s="722"/>
      <c r="K1632" s="345">
        <f>J1632*(I1632+E1632)</f>
        <v>0</v>
      </c>
    </row>
    <row r="1633" spans="1:11" ht="16.5">
      <c r="A1633" s="717">
        <v>2</v>
      </c>
      <c r="B1633" s="718" t="s">
        <v>1981</v>
      </c>
      <c r="C1633" s="719" t="s">
        <v>1982</v>
      </c>
      <c r="D1633" s="720" t="s">
        <v>1980</v>
      </c>
      <c r="E1633" s="721">
        <v>1</v>
      </c>
      <c r="F1633" s="345"/>
      <c r="G1633" s="345"/>
      <c r="H1633" s="345"/>
      <c r="I1633" s="345"/>
      <c r="J1633" s="722"/>
      <c r="K1633" s="345">
        <f t="shared" ref="K1633:K1697" si="81">J1633*(I1633+E1633)</f>
        <v>0</v>
      </c>
    </row>
    <row r="1634" spans="1:11" ht="16.5">
      <c r="A1634" s="717">
        <v>3</v>
      </c>
      <c r="B1634" s="718" t="s">
        <v>1983</v>
      </c>
      <c r="C1634" s="719" t="s">
        <v>1984</v>
      </c>
      <c r="D1634" s="720" t="s">
        <v>1980</v>
      </c>
      <c r="E1634" s="721">
        <v>2</v>
      </c>
      <c r="F1634" s="345"/>
      <c r="G1634" s="345"/>
      <c r="H1634" s="345"/>
      <c r="I1634" s="345"/>
      <c r="J1634" s="722"/>
      <c r="K1634" s="345">
        <f t="shared" si="81"/>
        <v>0</v>
      </c>
    </row>
    <row r="1635" spans="1:11" ht="16.5">
      <c r="A1635" s="717">
        <v>4</v>
      </c>
      <c r="B1635" s="718"/>
      <c r="C1635" s="719" t="s">
        <v>1985</v>
      </c>
      <c r="D1635" s="720" t="s">
        <v>1980</v>
      </c>
      <c r="E1635" s="721">
        <v>4</v>
      </c>
      <c r="F1635" s="345"/>
      <c r="G1635" s="345"/>
      <c r="H1635" s="345"/>
      <c r="I1635" s="345"/>
      <c r="J1635" s="722"/>
      <c r="K1635" s="345">
        <f t="shared" si="81"/>
        <v>0</v>
      </c>
    </row>
    <row r="1636" spans="1:11" ht="24">
      <c r="A1636" s="717">
        <v>5</v>
      </c>
      <c r="B1636" s="718" t="s">
        <v>1986</v>
      </c>
      <c r="C1636" s="719" t="s">
        <v>1987</v>
      </c>
      <c r="D1636" s="720" t="s">
        <v>1980</v>
      </c>
      <c r="E1636" s="721">
        <v>1</v>
      </c>
      <c r="F1636" s="345"/>
      <c r="G1636" s="345"/>
      <c r="H1636" s="345"/>
      <c r="I1636" s="345"/>
      <c r="J1636" s="722"/>
      <c r="K1636" s="345">
        <f t="shared" si="81"/>
        <v>0</v>
      </c>
    </row>
    <row r="1637" spans="1:11" ht="16.5">
      <c r="A1637" s="717">
        <v>6</v>
      </c>
      <c r="B1637" s="718" t="s">
        <v>1988</v>
      </c>
      <c r="C1637" s="719" t="s">
        <v>1989</v>
      </c>
      <c r="D1637" s="720" t="s">
        <v>1980</v>
      </c>
      <c r="E1637" s="721">
        <v>1</v>
      </c>
      <c r="F1637" s="345"/>
      <c r="G1637" s="345"/>
      <c r="H1637" s="345"/>
      <c r="I1637" s="345"/>
      <c r="J1637" s="722"/>
      <c r="K1637" s="345">
        <f t="shared" si="81"/>
        <v>0</v>
      </c>
    </row>
    <row r="1638" spans="1:11" ht="16.5">
      <c r="A1638" s="717">
        <v>7</v>
      </c>
      <c r="B1638" s="718" t="s">
        <v>1990</v>
      </c>
      <c r="C1638" s="719" t="s">
        <v>1991</v>
      </c>
      <c r="D1638" s="720" t="s">
        <v>1980</v>
      </c>
      <c r="E1638" s="721">
        <v>1</v>
      </c>
      <c r="F1638" s="345"/>
      <c r="G1638" s="345"/>
      <c r="H1638" s="345"/>
      <c r="I1638" s="345"/>
      <c r="J1638" s="722">
        <v>2800</v>
      </c>
      <c r="K1638" s="345">
        <f t="shared" si="81"/>
        <v>2800</v>
      </c>
    </row>
    <row r="1639" spans="1:11" ht="16.5">
      <c r="A1639" s="717">
        <v>8</v>
      </c>
      <c r="B1639" s="718" t="s">
        <v>1992</v>
      </c>
      <c r="C1639" s="719" t="s">
        <v>1993</v>
      </c>
      <c r="D1639" s="720" t="s">
        <v>1980</v>
      </c>
      <c r="E1639" s="721">
        <v>1</v>
      </c>
      <c r="F1639" s="345"/>
      <c r="G1639" s="345"/>
      <c r="H1639" s="345"/>
      <c r="I1639" s="345"/>
      <c r="J1639" s="722">
        <v>375</v>
      </c>
      <c r="K1639" s="345">
        <f t="shared" si="81"/>
        <v>375</v>
      </c>
    </row>
    <row r="1640" spans="1:11" ht="16.5">
      <c r="A1640" s="717">
        <v>9</v>
      </c>
      <c r="B1640" s="718" t="s">
        <v>1994</v>
      </c>
      <c r="C1640" s="719" t="s">
        <v>1995</v>
      </c>
      <c r="D1640" s="720" t="s">
        <v>1980</v>
      </c>
      <c r="E1640" s="721">
        <v>1</v>
      </c>
      <c r="F1640" s="345"/>
      <c r="G1640" s="345"/>
      <c r="H1640" s="345"/>
      <c r="I1640" s="345"/>
      <c r="J1640" s="722">
        <v>150</v>
      </c>
      <c r="K1640" s="345">
        <f t="shared" si="81"/>
        <v>150</v>
      </c>
    </row>
    <row r="1641" spans="1:11" ht="16.5">
      <c r="A1641" s="717">
        <v>10</v>
      </c>
      <c r="B1641" s="718" t="s">
        <v>1996</v>
      </c>
      <c r="C1641" s="719" t="s">
        <v>1997</v>
      </c>
      <c r="D1641" s="720" t="s">
        <v>1980</v>
      </c>
      <c r="E1641" s="721">
        <v>1</v>
      </c>
      <c r="F1641" s="345"/>
      <c r="G1641" s="345"/>
      <c r="H1641" s="345"/>
      <c r="I1641" s="345"/>
      <c r="J1641" s="722">
        <v>450</v>
      </c>
      <c r="K1641" s="345">
        <f t="shared" si="81"/>
        <v>450</v>
      </c>
    </row>
    <row r="1642" spans="1:11" ht="16.5">
      <c r="A1642" s="717">
        <v>11</v>
      </c>
      <c r="B1642" s="718" t="s">
        <v>1998</v>
      </c>
      <c r="C1642" s="719" t="s">
        <v>1999</v>
      </c>
      <c r="D1642" s="720" t="s">
        <v>1980</v>
      </c>
      <c r="E1642" s="721">
        <v>1</v>
      </c>
      <c r="F1642" s="345"/>
      <c r="G1642" s="345"/>
      <c r="H1642" s="345"/>
      <c r="I1642" s="345"/>
      <c r="J1642" s="722">
        <v>50</v>
      </c>
      <c r="K1642" s="345">
        <f t="shared" si="81"/>
        <v>50</v>
      </c>
    </row>
    <row r="1643" spans="1:11" ht="16.5">
      <c r="A1643" s="717">
        <v>12</v>
      </c>
      <c r="B1643" s="718"/>
      <c r="C1643" s="719" t="s">
        <v>2000</v>
      </c>
      <c r="D1643" s="720" t="s">
        <v>1980</v>
      </c>
      <c r="E1643" s="721">
        <v>1</v>
      </c>
      <c r="F1643" s="345"/>
      <c r="G1643" s="345"/>
      <c r="H1643" s="345"/>
      <c r="I1643" s="345"/>
      <c r="J1643" s="722">
        <v>125</v>
      </c>
      <c r="K1643" s="345">
        <f t="shared" si="81"/>
        <v>125</v>
      </c>
    </row>
    <row r="1644" spans="1:11" ht="16.5">
      <c r="A1644" s="717">
        <v>13</v>
      </c>
      <c r="B1644" s="718" t="s">
        <v>2001</v>
      </c>
      <c r="C1644" s="719" t="s">
        <v>2002</v>
      </c>
      <c r="D1644" s="720" t="s">
        <v>1980</v>
      </c>
      <c r="E1644" s="721">
        <v>2</v>
      </c>
      <c r="F1644" s="345"/>
      <c r="G1644" s="345"/>
      <c r="H1644" s="345"/>
      <c r="I1644" s="345"/>
      <c r="J1644" s="722">
        <v>40</v>
      </c>
      <c r="K1644" s="345">
        <f t="shared" si="81"/>
        <v>80</v>
      </c>
    </row>
    <row r="1645" spans="1:11" ht="16.5">
      <c r="A1645" s="717">
        <v>14</v>
      </c>
      <c r="B1645" s="718" t="s">
        <v>2003</v>
      </c>
      <c r="C1645" s="719" t="s">
        <v>2004</v>
      </c>
      <c r="D1645" s="720" t="s">
        <v>1980</v>
      </c>
      <c r="E1645" s="721">
        <v>2</v>
      </c>
      <c r="F1645" s="345"/>
      <c r="G1645" s="345"/>
      <c r="H1645" s="345"/>
      <c r="I1645" s="345"/>
      <c r="J1645" s="722">
        <v>18</v>
      </c>
      <c r="K1645" s="345">
        <f t="shared" si="81"/>
        <v>36</v>
      </c>
    </row>
    <row r="1646" spans="1:11" ht="16.5">
      <c r="A1646" s="717">
        <v>15</v>
      </c>
      <c r="B1646" s="718" t="s">
        <v>2005</v>
      </c>
      <c r="C1646" s="719" t="s">
        <v>2006</v>
      </c>
      <c r="D1646" s="720" t="s">
        <v>1980</v>
      </c>
      <c r="E1646" s="721">
        <v>2</v>
      </c>
      <c r="F1646" s="345"/>
      <c r="G1646" s="345"/>
      <c r="H1646" s="345"/>
      <c r="I1646" s="345"/>
      <c r="J1646" s="722">
        <v>21</v>
      </c>
      <c r="K1646" s="345">
        <f t="shared" si="81"/>
        <v>42</v>
      </c>
    </row>
    <row r="1647" spans="1:11" ht="16.5">
      <c r="A1647" s="717">
        <v>16</v>
      </c>
      <c r="B1647" s="718" t="s">
        <v>2007</v>
      </c>
      <c r="C1647" s="719" t="s">
        <v>2008</v>
      </c>
      <c r="D1647" s="720" t="s">
        <v>1980</v>
      </c>
      <c r="E1647" s="721">
        <v>2</v>
      </c>
      <c r="F1647" s="345"/>
      <c r="G1647" s="345"/>
      <c r="H1647" s="345"/>
      <c r="I1647" s="345"/>
      <c r="J1647" s="722">
        <v>25</v>
      </c>
      <c r="K1647" s="345">
        <f t="shared" si="81"/>
        <v>50</v>
      </c>
    </row>
    <row r="1648" spans="1:11" ht="16.5">
      <c r="A1648" s="717">
        <v>17</v>
      </c>
      <c r="B1648" s="718" t="s">
        <v>2009</v>
      </c>
      <c r="C1648" s="719" t="s">
        <v>2010</v>
      </c>
      <c r="D1648" s="720" t="s">
        <v>1980</v>
      </c>
      <c r="E1648" s="721">
        <v>2</v>
      </c>
      <c r="F1648" s="345"/>
      <c r="G1648" s="345"/>
      <c r="H1648" s="345"/>
      <c r="I1648" s="345"/>
      <c r="J1648" s="722">
        <v>31</v>
      </c>
      <c r="K1648" s="345">
        <f t="shared" si="81"/>
        <v>62</v>
      </c>
    </row>
    <row r="1649" spans="1:11" ht="16.5">
      <c r="A1649" s="717">
        <v>18</v>
      </c>
      <c r="B1649" s="718" t="s">
        <v>2011</v>
      </c>
      <c r="C1649" s="719" t="s">
        <v>2012</v>
      </c>
      <c r="D1649" s="720" t="s">
        <v>1980</v>
      </c>
      <c r="E1649" s="721">
        <v>2</v>
      </c>
      <c r="F1649" s="345"/>
      <c r="G1649" s="345"/>
      <c r="H1649" s="345"/>
      <c r="I1649" s="345"/>
      <c r="J1649" s="722">
        <v>39</v>
      </c>
      <c r="K1649" s="345">
        <f t="shared" si="81"/>
        <v>78</v>
      </c>
    </row>
    <row r="1650" spans="1:11" ht="16.5">
      <c r="A1650" s="717">
        <v>19</v>
      </c>
      <c r="B1650" s="718" t="s">
        <v>2013</v>
      </c>
      <c r="C1650" s="719" t="s">
        <v>2014</v>
      </c>
      <c r="D1650" s="720" t="s">
        <v>1980</v>
      </c>
      <c r="E1650" s="721">
        <v>2</v>
      </c>
      <c r="F1650" s="345"/>
      <c r="G1650" s="345"/>
      <c r="H1650" s="345"/>
      <c r="I1650" s="345"/>
      <c r="J1650" s="722">
        <v>35</v>
      </c>
      <c r="K1650" s="345">
        <f t="shared" si="81"/>
        <v>70</v>
      </c>
    </row>
    <row r="1651" spans="1:11" ht="16.5">
      <c r="A1651" s="717">
        <v>20</v>
      </c>
      <c r="B1651" s="718" t="s">
        <v>2015</v>
      </c>
      <c r="C1651" s="719" t="s">
        <v>2016</v>
      </c>
      <c r="D1651" s="720" t="s">
        <v>1980</v>
      </c>
      <c r="E1651" s="721">
        <v>2</v>
      </c>
      <c r="F1651" s="345"/>
      <c r="G1651" s="345"/>
      <c r="H1651" s="345"/>
      <c r="I1651" s="345"/>
      <c r="J1651" s="722">
        <v>37</v>
      </c>
      <c r="K1651" s="345">
        <f t="shared" si="81"/>
        <v>74</v>
      </c>
    </row>
    <row r="1652" spans="1:11" ht="16.5">
      <c r="A1652" s="717">
        <v>21</v>
      </c>
      <c r="B1652" s="718" t="s">
        <v>2017</v>
      </c>
      <c r="C1652" s="719" t="s">
        <v>2018</v>
      </c>
      <c r="D1652" s="720" t="s">
        <v>1980</v>
      </c>
      <c r="E1652" s="721">
        <v>2</v>
      </c>
      <c r="F1652" s="345"/>
      <c r="G1652" s="345"/>
      <c r="H1652" s="345"/>
      <c r="I1652" s="345"/>
      <c r="J1652" s="722">
        <v>44</v>
      </c>
      <c r="K1652" s="345">
        <f t="shared" si="81"/>
        <v>88</v>
      </c>
    </row>
    <row r="1653" spans="1:11" ht="16.5">
      <c r="A1653" s="717">
        <v>22</v>
      </c>
      <c r="B1653" s="718" t="s">
        <v>2019</v>
      </c>
      <c r="C1653" s="719" t="s">
        <v>2020</v>
      </c>
      <c r="D1653" s="720" t="s">
        <v>1980</v>
      </c>
      <c r="E1653" s="721">
        <v>2</v>
      </c>
      <c r="F1653" s="345"/>
      <c r="G1653" s="345"/>
      <c r="H1653" s="345"/>
      <c r="I1653" s="345"/>
      <c r="J1653" s="722">
        <v>57</v>
      </c>
      <c r="K1653" s="345">
        <f t="shared" si="81"/>
        <v>114</v>
      </c>
    </row>
    <row r="1654" spans="1:11" ht="16.5">
      <c r="A1654" s="717">
        <v>23</v>
      </c>
      <c r="B1654" s="718" t="s">
        <v>2021</v>
      </c>
      <c r="C1654" s="719" t="s">
        <v>2022</v>
      </c>
      <c r="D1654" s="720" t="s">
        <v>1980</v>
      </c>
      <c r="E1654" s="721">
        <v>2</v>
      </c>
      <c r="F1654" s="345"/>
      <c r="G1654" s="345"/>
      <c r="H1654" s="345"/>
      <c r="I1654" s="345"/>
      <c r="J1654" s="722">
        <v>67</v>
      </c>
      <c r="K1654" s="345">
        <f t="shared" si="81"/>
        <v>134</v>
      </c>
    </row>
    <row r="1655" spans="1:11" ht="16.5">
      <c r="A1655" s="717">
        <v>24</v>
      </c>
      <c r="B1655" s="718" t="s">
        <v>2023</v>
      </c>
      <c r="C1655" s="719" t="s">
        <v>2024</v>
      </c>
      <c r="D1655" s="720" t="s">
        <v>1980</v>
      </c>
      <c r="E1655" s="721">
        <v>2</v>
      </c>
      <c r="F1655" s="345"/>
      <c r="G1655" s="345"/>
      <c r="H1655" s="345"/>
      <c r="I1655" s="345"/>
      <c r="J1655" s="722">
        <v>97</v>
      </c>
      <c r="K1655" s="345">
        <f t="shared" si="81"/>
        <v>194</v>
      </c>
    </row>
    <row r="1656" spans="1:11" ht="24">
      <c r="A1656" s="717">
        <v>25</v>
      </c>
      <c r="B1656" s="718" t="s">
        <v>2025</v>
      </c>
      <c r="C1656" s="719" t="s">
        <v>2026</v>
      </c>
      <c r="D1656" s="720" t="s">
        <v>1980</v>
      </c>
      <c r="E1656" s="721">
        <v>1</v>
      </c>
      <c r="F1656" s="345"/>
      <c r="G1656" s="345"/>
      <c r="H1656" s="345"/>
      <c r="I1656" s="345"/>
      <c r="J1656" s="722">
        <v>1800</v>
      </c>
      <c r="K1656" s="345">
        <f t="shared" si="81"/>
        <v>1800</v>
      </c>
    </row>
    <row r="1657" spans="1:11" ht="24">
      <c r="A1657" s="717">
        <v>26</v>
      </c>
      <c r="B1657" s="718" t="s">
        <v>2027</v>
      </c>
      <c r="C1657" s="719" t="s">
        <v>2028</v>
      </c>
      <c r="D1657" s="720" t="s">
        <v>1980</v>
      </c>
      <c r="E1657" s="721">
        <v>1</v>
      </c>
      <c r="F1657" s="345"/>
      <c r="G1657" s="345"/>
      <c r="H1657" s="345"/>
      <c r="I1657" s="345"/>
      <c r="J1657" s="722">
        <v>1000</v>
      </c>
      <c r="K1657" s="345">
        <f t="shared" si="81"/>
        <v>1000</v>
      </c>
    </row>
    <row r="1658" spans="1:11" ht="24">
      <c r="A1658" s="717">
        <v>27</v>
      </c>
      <c r="B1658" s="718" t="s">
        <v>2029</v>
      </c>
      <c r="C1658" s="719" t="s">
        <v>2030</v>
      </c>
      <c r="D1658" s="720" t="s">
        <v>1980</v>
      </c>
      <c r="E1658" s="721">
        <v>1</v>
      </c>
      <c r="F1658" s="345"/>
      <c r="G1658" s="345"/>
      <c r="H1658" s="345"/>
      <c r="I1658" s="345"/>
      <c r="J1658" s="722">
        <v>26600</v>
      </c>
      <c r="K1658" s="345">
        <f t="shared" si="81"/>
        <v>26600</v>
      </c>
    </row>
    <row r="1659" spans="1:11" ht="16.5">
      <c r="A1659" s="717">
        <v>28</v>
      </c>
      <c r="B1659" s="718" t="s">
        <v>2031</v>
      </c>
      <c r="C1659" s="719" t="s">
        <v>2032</v>
      </c>
      <c r="D1659" s="720" t="s">
        <v>1980</v>
      </c>
      <c r="E1659" s="721">
        <v>1</v>
      </c>
      <c r="F1659" s="345"/>
      <c r="G1659" s="345"/>
      <c r="H1659" s="345"/>
      <c r="I1659" s="345"/>
      <c r="J1659" s="722">
        <v>153</v>
      </c>
      <c r="K1659" s="345">
        <f t="shared" si="81"/>
        <v>153</v>
      </c>
    </row>
    <row r="1660" spans="1:11" ht="16.5">
      <c r="A1660" s="717">
        <v>29</v>
      </c>
      <c r="B1660" s="718"/>
      <c r="C1660" s="719" t="s">
        <v>2033</v>
      </c>
      <c r="D1660" s="720" t="s">
        <v>1980</v>
      </c>
      <c r="E1660" s="721">
        <v>1</v>
      </c>
      <c r="F1660" s="345"/>
      <c r="G1660" s="345"/>
      <c r="H1660" s="345"/>
      <c r="I1660" s="345"/>
      <c r="J1660" s="722">
        <v>187</v>
      </c>
      <c r="K1660" s="345">
        <f t="shared" si="81"/>
        <v>187</v>
      </c>
    </row>
    <row r="1661" spans="1:11" ht="16.5">
      <c r="A1661" s="717">
        <v>30</v>
      </c>
      <c r="B1661" s="718" t="s">
        <v>2034</v>
      </c>
      <c r="C1661" s="719" t="s">
        <v>2035</v>
      </c>
      <c r="D1661" s="720" t="s">
        <v>1980</v>
      </c>
      <c r="E1661" s="721">
        <v>6</v>
      </c>
      <c r="F1661" s="345"/>
      <c r="G1661" s="345"/>
      <c r="H1661" s="345"/>
      <c r="I1661" s="345"/>
      <c r="J1661" s="722"/>
      <c r="K1661" s="345">
        <f t="shared" si="81"/>
        <v>0</v>
      </c>
    </row>
    <row r="1662" spans="1:11" ht="16.5">
      <c r="A1662" s="717">
        <v>31</v>
      </c>
      <c r="B1662" s="718" t="s">
        <v>2036</v>
      </c>
      <c r="C1662" s="719" t="s">
        <v>2037</v>
      </c>
      <c r="D1662" s="720" t="s">
        <v>1980</v>
      </c>
      <c r="E1662" s="721">
        <v>2</v>
      </c>
      <c r="F1662" s="345"/>
      <c r="G1662" s="345"/>
      <c r="H1662" s="345"/>
      <c r="I1662" s="345"/>
      <c r="J1662" s="722"/>
      <c r="K1662" s="345">
        <f t="shared" si="81"/>
        <v>0</v>
      </c>
    </row>
    <row r="1663" spans="1:11" ht="24">
      <c r="A1663" s="717">
        <v>32</v>
      </c>
      <c r="B1663" s="718" t="s">
        <v>2038</v>
      </c>
      <c r="C1663" s="719" t="s">
        <v>2039</v>
      </c>
      <c r="D1663" s="720" t="s">
        <v>1980</v>
      </c>
      <c r="E1663" s="721">
        <v>1</v>
      </c>
      <c r="F1663" s="345"/>
      <c r="G1663" s="345"/>
      <c r="H1663" s="345"/>
      <c r="I1663" s="345"/>
      <c r="J1663" s="722"/>
      <c r="K1663" s="345">
        <f t="shared" si="81"/>
        <v>0</v>
      </c>
    </row>
    <row r="1664" spans="1:11" ht="24">
      <c r="A1664" s="717">
        <v>33</v>
      </c>
      <c r="B1664" s="718" t="s">
        <v>2040</v>
      </c>
      <c r="C1664" s="719" t="s">
        <v>2041</v>
      </c>
      <c r="D1664" s="720" t="s">
        <v>1980</v>
      </c>
      <c r="E1664" s="721">
        <v>1</v>
      </c>
      <c r="F1664" s="345"/>
      <c r="G1664" s="345"/>
      <c r="H1664" s="345"/>
      <c r="I1664" s="345"/>
      <c r="J1664" s="722"/>
      <c r="K1664" s="345">
        <f t="shared" si="81"/>
        <v>0</v>
      </c>
    </row>
    <row r="1665" spans="1:11" ht="16.5">
      <c r="A1665" s="717">
        <v>34</v>
      </c>
      <c r="B1665" s="718" t="s">
        <v>2042</v>
      </c>
      <c r="C1665" s="719" t="s">
        <v>2043</v>
      </c>
      <c r="D1665" s="720" t="s">
        <v>1980</v>
      </c>
      <c r="E1665" s="721">
        <v>1</v>
      </c>
      <c r="F1665" s="345"/>
      <c r="G1665" s="345"/>
      <c r="H1665" s="345"/>
      <c r="I1665" s="345"/>
      <c r="J1665" s="722"/>
      <c r="K1665" s="345">
        <f t="shared" si="81"/>
        <v>0</v>
      </c>
    </row>
    <row r="1666" spans="1:11" ht="16.5">
      <c r="A1666" s="717">
        <v>35</v>
      </c>
      <c r="B1666" s="718" t="s">
        <v>2044</v>
      </c>
      <c r="C1666" s="719" t="s">
        <v>2045</v>
      </c>
      <c r="D1666" s="720" t="s">
        <v>1980</v>
      </c>
      <c r="E1666" s="721">
        <v>1</v>
      </c>
      <c r="F1666" s="345"/>
      <c r="G1666" s="345"/>
      <c r="H1666" s="345"/>
      <c r="I1666" s="345"/>
      <c r="J1666" s="722"/>
      <c r="K1666" s="345">
        <f t="shared" si="81"/>
        <v>0</v>
      </c>
    </row>
    <row r="1667" spans="1:11" ht="16.5">
      <c r="A1667" s="717">
        <v>36</v>
      </c>
      <c r="B1667" s="718" t="s">
        <v>2046</v>
      </c>
      <c r="C1667" s="719" t="s">
        <v>2047</v>
      </c>
      <c r="D1667" s="720" t="s">
        <v>1980</v>
      </c>
      <c r="E1667" s="721">
        <v>1</v>
      </c>
      <c r="F1667" s="345"/>
      <c r="G1667" s="345"/>
      <c r="H1667" s="345"/>
      <c r="I1667" s="345"/>
      <c r="J1667" s="722"/>
      <c r="K1667" s="345">
        <f t="shared" si="81"/>
        <v>0</v>
      </c>
    </row>
    <row r="1668" spans="1:11" ht="24">
      <c r="A1668" s="717">
        <v>37</v>
      </c>
      <c r="B1668" s="718" t="s">
        <v>2048</v>
      </c>
      <c r="C1668" s="719" t="s">
        <v>2049</v>
      </c>
      <c r="D1668" s="720" t="s">
        <v>1980</v>
      </c>
      <c r="E1668" s="721">
        <v>1</v>
      </c>
      <c r="F1668" s="345"/>
      <c r="G1668" s="345"/>
      <c r="H1668" s="345"/>
      <c r="I1668" s="345"/>
      <c r="J1668" s="722">
        <v>6750</v>
      </c>
      <c r="K1668" s="345">
        <f t="shared" si="81"/>
        <v>6750</v>
      </c>
    </row>
    <row r="1669" spans="1:11" ht="24">
      <c r="A1669" s="717">
        <v>38</v>
      </c>
      <c r="B1669" s="718" t="s">
        <v>2048</v>
      </c>
      <c r="C1669" s="719" t="s">
        <v>2050</v>
      </c>
      <c r="D1669" s="720" t="s">
        <v>1980</v>
      </c>
      <c r="E1669" s="721">
        <v>1</v>
      </c>
      <c r="F1669" s="345"/>
      <c r="G1669" s="345"/>
      <c r="H1669" s="345"/>
      <c r="I1669" s="345"/>
      <c r="J1669" s="722">
        <v>6750</v>
      </c>
      <c r="K1669" s="345">
        <f t="shared" si="81"/>
        <v>6750</v>
      </c>
    </row>
    <row r="1670" spans="1:11" ht="16.5">
      <c r="A1670" s="717">
        <v>39</v>
      </c>
      <c r="B1670" s="718" t="s">
        <v>2051</v>
      </c>
      <c r="C1670" s="719" t="s">
        <v>2052</v>
      </c>
      <c r="D1670" s="720" t="s">
        <v>1980</v>
      </c>
      <c r="E1670" s="721">
        <v>1</v>
      </c>
      <c r="F1670" s="345"/>
      <c r="G1670" s="345"/>
      <c r="H1670" s="345"/>
      <c r="I1670" s="345"/>
      <c r="J1670" s="722">
        <v>10125</v>
      </c>
      <c r="K1670" s="345">
        <f t="shared" si="81"/>
        <v>10125</v>
      </c>
    </row>
    <row r="1671" spans="1:11" ht="36">
      <c r="A1671" s="717">
        <v>40</v>
      </c>
      <c r="B1671" s="718" t="s">
        <v>2053</v>
      </c>
      <c r="C1671" s="719" t="s">
        <v>2054</v>
      </c>
      <c r="D1671" s="720" t="s">
        <v>1980</v>
      </c>
      <c r="E1671" s="721">
        <v>1</v>
      </c>
      <c r="F1671" s="345"/>
      <c r="G1671" s="345"/>
      <c r="H1671" s="345"/>
      <c r="I1671" s="345"/>
      <c r="J1671" s="722">
        <v>13500</v>
      </c>
      <c r="K1671" s="345">
        <f t="shared" si="81"/>
        <v>13500</v>
      </c>
    </row>
    <row r="1672" spans="1:11" ht="24">
      <c r="A1672" s="717">
        <v>41</v>
      </c>
      <c r="B1672" s="718" t="s">
        <v>2055</v>
      </c>
      <c r="C1672" s="719" t="s">
        <v>2056</v>
      </c>
      <c r="D1672" s="720" t="s">
        <v>1980</v>
      </c>
      <c r="E1672" s="721">
        <v>1</v>
      </c>
      <c r="F1672" s="345"/>
      <c r="G1672" s="345"/>
      <c r="H1672" s="345"/>
      <c r="I1672" s="345"/>
      <c r="J1672" s="722">
        <v>11812</v>
      </c>
      <c r="K1672" s="345">
        <f t="shared" si="81"/>
        <v>11812</v>
      </c>
    </row>
    <row r="1673" spans="1:11" ht="24">
      <c r="A1673" s="717">
        <v>42</v>
      </c>
      <c r="B1673" s="718" t="s">
        <v>2057</v>
      </c>
      <c r="C1673" s="719" t="s">
        <v>2058</v>
      </c>
      <c r="D1673" s="720" t="s">
        <v>1980</v>
      </c>
      <c r="E1673" s="721">
        <v>1</v>
      </c>
      <c r="F1673" s="345"/>
      <c r="G1673" s="345"/>
      <c r="H1673" s="345"/>
      <c r="I1673" s="345"/>
      <c r="J1673" s="722">
        <v>9900</v>
      </c>
      <c r="K1673" s="345">
        <f t="shared" si="81"/>
        <v>9900</v>
      </c>
    </row>
    <row r="1674" spans="1:11" ht="16.5">
      <c r="A1674" s="717">
        <v>43</v>
      </c>
      <c r="B1674" s="718" t="s">
        <v>2059</v>
      </c>
      <c r="C1674" s="719" t="s">
        <v>2060</v>
      </c>
      <c r="D1674" s="720" t="s">
        <v>1980</v>
      </c>
      <c r="E1674" s="721">
        <v>1</v>
      </c>
      <c r="F1674" s="345"/>
      <c r="G1674" s="345"/>
      <c r="H1674" s="345"/>
      <c r="I1674" s="345"/>
      <c r="J1674" s="722">
        <v>9000</v>
      </c>
      <c r="K1674" s="345">
        <f t="shared" si="81"/>
        <v>9000</v>
      </c>
    </row>
    <row r="1675" spans="1:11" ht="16.5">
      <c r="A1675" s="717">
        <v>44</v>
      </c>
      <c r="B1675" s="718" t="s">
        <v>2061</v>
      </c>
      <c r="C1675" s="719" t="s">
        <v>2062</v>
      </c>
      <c r="D1675" s="720" t="s">
        <v>1980</v>
      </c>
      <c r="E1675" s="721">
        <v>1</v>
      </c>
      <c r="F1675" s="345"/>
      <c r="G1675" s="345"/>
      <c r="H1675" s="345"/>
      <c r="I1675" s="345"/>
      <c r="J1675" s="722">
        <v>11137</v>
      </c>
      <c r="K1675" s="345">
        <f t="shared" si="81"/>
        <v>11137</v>
      </c>
    </row>
    <row r="1676" spans="1:11" ht="24">
      <c r="A1676" s="717">
        <v>45</v>
      </c>
      <c r="B1676" s="718" t="s">
        <v>2063</v>
      </c>
      <c r="C1676" s="723" t="s">
        <v>2064</v>
      </c>
      <c r="D1676" s="720" t="s">
        <v>1980</v>
      </c>
      <c r="E1676" s="721">
        <v>1</v>
      </c>
      <c r="F1676" s="345"/>
      <c r="G1676" s="345"/>
      <c r="H1676" s="345"/>
      <c r="I1676" s="345"/>
      <c r="J1676" s="724">
        <v>15322.5</v>
      </c>
      <c r="K1676" s="345">
        <f t="shared" si="81"/>
        <v>15322.5</v>
      </c>
    </row>
    <row r="1677" spans="1:11" ht="24">
      <c r="A1677" s="717">
        <v>46</v>
      </c>
      <c r="B1677" s="718" t="s">
        <v>2065</v>
      </c>
      <c r="C1677" s="719" t="s">
        <v>2066</v>
      </c>
      <c r="D1677" s="720" t="s">
        <v>1980</v>
      </c>
      <c r="E1677" s="721">
        <v>1</v>
      </c>
      <c r="F1677" s="345"/>
      <c r="G1677" s="345"/>
      <c r="H1677" s="345"/>
      <c r="I1677" s="345"/>
      <c r="J1677" s="724">
        <v>3972.5</v>
      </c>
      <c r="K1677" s="345">
        <f t="shared" si="81"/>
        <v>3972.5</v>
      </c>
    </row>
    <row r="1678" spans="1:11" ht="36">
      <c r="A1678" s="717">
        <v>47</v>
      </c>
      <c r="B1678" s="718" t="s">
        <v>544</v>
      </c>
      <c r="C1678" s="719" t="s">
        <v>2067</v>
      </c>
      <c r="D1678" s="720" t="s">
        <v>1980</v>
      </c>
      <c r="E1678" s="721">
        <v>1</v>
      </c>
      <c r="F1678" s="345"/>
      <c r="G1678" s="345"/>
      <c r="H1678" s="345"/>
      <c r="I1678" s="345"/>
      <c r="J1678" s="724">
        <v>12768.75</v>
      </c>
      <c r="K1678" s="345">
        <f t="shared" si="81"/>
        <v>12768.75</v>
      </c>
    </row>
    <row r="1679" spans="1:11" ht="16.5">
      <c r="A1679" s="717">
        <v>48</v>
      </c>
      <c r="B1679" s="718" t="s">
        <v>2068</v>
      </c>
      <c r="C1679" s="719" t="s">
        <v>2069</v>
      </c>
      <c r="D1679" s="720" t="s">
        <v>1980</v>
      </c>
      <c r="E1679" s="721">
        <v>2</v>
      </c>
      <c r="F1679" s="345"/>
      <c r="G1679" s="345"/>
      <c r="H1679" s="345"/>
      <c r="I1679" s="345"/>
      <c r="J1679" s="724">
        <v>12768.75</v>
      </c>
      <c r="K1679" s="345">
        <f t="shared" si="81"/>
        <v>25537.5</v>
      </c>
    </row>
    <row r="1680" spans="1:11" ht="16.5">
      <c r="A1680" s="717">
        <v>49</v>
      </c>
      <c r="B1680" s="718" t="s">
        <v>1988</v>
      </c>
      <c r="C1680" s="719" t="s">
        <v>2070</v>
      </c>
      <c r="D1680" s="720" t="s">
        <v>1980</v>
      </c>
      <c r="E1680" s="721">
        <v>1</v>
      </c>
      <c r="F1680" s="345"/>
      <c r="G1680" s="345"/>
      <c r="H1680" s="345"/>
      <c r="I1680" s="345"/>
      <c r="J1680" s="725">
        <v>9874.5</v>
      </c>
      <c r="K1680" s="345">
        <f t="shared" si="81"/>
        <v>9874.5</v>
      </c>
    </row>
    <row r="1681" spans="1:11" ht="16.5">
      <c r="A1681" s="717">
        <v>50</v>
      </c>
      <c r="B1681" s="718" t="s">
        <v>2071</v>
      </c>
      <c r="C1681" s="719" t="s">
        <v>2072</v>
      </c>
      <c r="D1681" s="720" t="s">
        <v>1980</v>
      </c>
      <c r="E1681" s="721">
        <v>1</v>
      </c>
      <c r="F1681" s="345"/>
      <c r="G1681" s="345"/>
      <c r="H1681" s="345"/>
      <c r="I1681" s="345"/>
      <c r="J1681" s="725">
        <v>5902</v>
      </c>
      <c r="K1681" s="345">
        <f t="shared" si="81"/>
        <v>5902</v>
      </c>
    </row>
    <row r="1682" spans="1:11" ht="16.5">
      <c r="A1682" s="717">
        <v>51</v>
      </c>
      <c r="B1682" s="718" t="s">
        <v>2073</v>
      </c>
      <c r="C1682" s="719" t="s">
        <v>2074</v>
      </c>
      <c r="D1682" s="720" t="s">
        <v>1980</v>
      </c>
      <c r="E1682" s="721">
        <v>4</v>
      </c>
      <c r="F1682" s="345"/>
      <c r="G1682" s="345"/>
      <c r="H1682" s="345"/>
      <c r="I1682" s="345"/>
      <c r="J1682" s="725">
        <v>2724</v>
      </c>
      <c r="K1682" s="345">
        <f t="shared" si="81"/>
        <v>10896</v>
      </c>
    </row>
    <row r="1683" spans="1:11" ht="16.5">
      <c r="A1683" s="717">
        <v>52</v>
      </c>
      <c r="B1683" s="718" t="s">
        <v>2075</v>
      </c>
      <c r="C1683" s="719" t="s">
        <v>2076</v>
      </c>
      <c r="D1683" s="720" t="s">
        <v>1980</v>
      </c>
      <c r="E1683" s="721">
        <v>2</v>
      </c>
      <c r="F1683" s="345"/>
      <c r="G1683" s="345"/>
      <c r="H1683" s="345"/>
      <c r="I1683" s="345"/>
      <c r="J1683" s="725">
        <v>1135</v>
      </c>
      <c r="K1683" s="345">
        <f t="shared" si="81"/>
        <v>2270</v>
      </c>
    </row>
    <row r="1684" spans="1:11" ht="16.5">
      <c r="A1684" s="717">
        <v>53</v>
      </c>
      <c r="B1684" s="718"/>
      <c r="C1684" s="726" t="s">
        <v>2077</v>
      </c>
      <c r="D1684" s="720" t="s">
        <v>1980</v>
      </c>
      <c r="E1684" s="721">
        <v>1</v>
      </c>
      <c r="F1684" s="345"/>
      <c r="G1684" s="345"/>
      <c r="H1684" s="345"/>
      <c r="I1684" s="345"/>
      <c r="J1684" s="727">
        <v>27518.78</v>
      </c>
      <c r="K1684" s="345">
        <f t="shared" si="81"/>
        <v>27518.78</v>
      </c>
    </row>
    <row r="1685" spans="1:11" ht="16.5">
      <c r="A1685" s="717">
        <v>54</v>
      </c>
      <c r="B1685" s="718"/>
      <c r="C1685" s="728" t="s">
        <v>2078</v>
      </c>
      <c r="D1685" s="720" t="s">
        <v>1980</v>
      </c>
      <c r="E1685" s="721">
        <v>6</v>
      </c>
      <c r="F1685" s="345"/>
      <c r="G1685" s="345"/>
      <c r="H1685" s="345"/>
      <c r="I1685" s="345"/>
      <c r="J1685" s="727">
        <v>6717.74</v>
      </c>
      <c r="K1685" s="345">
        <f t="shared" si="81"/>
        <v>40306.44</v>
      </c>
    </row>
    <row r="1686" spans="1:11" ht="16.5">
      <c r="A1686" s="717">
        <v>55</v>
      </c>
      <c r="B1686" s="718"/>
      <c r="C1686" s="729" t="s">
        <v>2079</v>
      </c>
      <c r="D1686" s="720" t="s">
        <v>1980</v>
      </c>
      <c r="E1686" s="721">
        <v>1</v>
      </c>
      <c r="F1686" s="345"/>
      <c r="G1686" s="345"/>
      <c r="H1686" s="345"/>
      <c r="I1686" s="345"/>
      <c r="J1686" s="730">
        <v>29667.56</v>
      </c>
      <c r="K1686" s="345">
        <f t="shared" si="81"/>
        <v>29667.56</v>
      </c>
    </row>
    <row r="1687" spans="1:11">
      <c r="A1687" s="1218" t="s">
        <v>2080</v>
      </c>
      <c r="B1687" s="1218"/>
      <c r="C1687" s="1218"/>
      <c r="D1687" s="1218"/>
      <c r="E1687" s="1218"/>
      <c r="F1687" s="1218"/>
      <c r="G1687" s="1218"/>
      <c r="H1687" s="1218"/>
      <c r="I1687" s="1218"/>
      <c r="J1687" s="1218"/>
      <c r="K1687" s="1219"/>
    </row>
    <row r="1688" spans="1:11">
      <c r="A1688" s="1220"/>
      <c r="B1688" s="1220"/>
      <c r="C1688" s="1220"/>
      <c r="D1688" s="1220"/>
      <c r="E1688" s="1220"/>
      <c r="F1688" s="1220"/>
      <c r="G1688" s="1220"/>
      <c r="H1688" s="1220"/>
      <c r="I1688" s="1220"/>
      <c r="J1688" s="1220"/>
      <c r="K1688" s="1221"/>
    </row>
    <row r="1689" spans="1:11">
      <c r="A1689" s="1220"/>
      <c r="B1689" s="1220"/>
      <c r="C1689" s="1220"/>
      <c r="D1689" s="1220"/>
      <c r="E1689" s="1220"/>
      <c r="F1689" s="1220"/>
      <c r="G1689" s="1220"/>
      <c r="H1689" s="1220"/>
      <c r="I1689" s="1220"/>
      <c r="J1689" s="1220"/>
      <c r="K1689" s="1221"/>
    </row>
    <row r="1690" spans="1:11" ht="16.5">
      <c r="A1690" s="35">
        <v>1</v>
      </c>
      <c r="B1690" s="731"/>
      <c r="C1690" s="732" t="s">
        <v>2081</v>
      </c>
      <c r="D1690" s="733" t="s">
        <v>193</v>
      </c>
      <c r="E1690" s="345"/>
      <c r="F1690" s="345"/>
      <c r="G1690" s="345"/>
      <c r="H1690" s="345"/>
      <c r="I1690" s="388">
        <v>1</v>
      </c>
      <c r="J1690" s="388">
        <v>0</v>
      </c>
      <c r="K1690" s="345">
        <f t="shared" si="81"/>
        <v>0</v>
      </c>
    </row>
    <row r="1691" spans="1:11" ht="24">
      <c r="A1691" s="734">
        <v>2</v>
      </c>
      <c r="B1691" s="718" t="s">
        <v>2082</v>
      </c>
      <c r="C1691" s="719" t="s">
        <v>2083</v>
      </c>
      <c r="D1691" s="720" t="s">
        <v>1980</v>
      </c>
      <c r="E1691" s="345"/>
      <c r="F1691" s="345"/>
      <c r="G1691" s="345"/>
      <c r="H1691" s="345"/>
      <c r="I1691" s="721">
        <v>4</v>
      </c>
      <c r="J1691" s="722">
        <v>550</v>
      </c>
      <c r="K1691" s="345">
        <f t="shared" si="81"/>
        <v>2200</v>
      </c>
    </row>
    <row r="1692" spans="1:11" ht="16.5">
      <c r="A1692" s="734">
        <v>3</v>
      </c>
      <c r="B1692" s="718" t="s">
        <v>2084</v>
      </c>
      <c r="C1692" s="719" t="s">
        <v>2085</v>
      </c>
      <c r="D1692" s="720" t="s">
        <v>1980</v>
      </c>
      <c r="E1692" s="345"/>
      <c r="F1692" s="345"/>
      <c r="G1692" s="345"/>
      <c r="H1692" s="345"/>
      <c r="I1692" s="721">
        <v>1</v>
      </c>
      <c r="J1692" s="722">
        <v>900</v>
      </c>
      <c r="K1692" s="345">
        <f t="shared" si="81"/>
        <v>900</v>
      </c>
    </row>
    <row r="1693" spans="1:11" ht="24">
      <c r="A1693" s="35">
        <v>4</v>
      </c>
      <c r="B1693" s="718" t="s">
        <v>2086</v>
      </c>
      <c r="C1693" s="719" t="s">
        <v>2087</v>
      </c>
      <c r="D1693" s="720" t="s">
        <v>1980</v>
      </c>
      <c r="E1693" s="735"/>
      <c r="F1693" s="345"/>
      <c r="G1693" s="345"/>
      <c r="H1693" s="345"/>
      <c r="I1693" s="735">
        <v>1</v>
      </c>
      <c r="J1693" s="722">
        <v>11036</v>
      </c>
      <c r="K1693" s="345">
        <f>J1693*(I1693+E1693)</f>
        <v>11036</v>
      </c>
    </row>
    <row r="1694" spans="1:11" ht="16.5">
      <c r="A1694" s="35">
        <v>5</v>
      </c>
      <c r="B1694" s="718" t="s">
        <v>2088</v>
      </c>
      <c r="C1694" s="719" t="s">
        <v>2089</v>
      </c>
      <c r="D1694" s="720" t="s">
        <v>1980</v>
      </c>
      <c r="E1694" s="721"/>
      <c r="F1694" s="345"/>
      <c r="G1694" s="345"/>
      <c r="H1694" s="345"/>
      <c r="I1694" s="721">
        <v>1</v>
      </c>
      <c r="J1694" s="722">
        <v>297</v>
      </c>
      <c r="K1694" s="345">
        <f>J1694*(I1694+E1694)</f>
        <v>297</v>
      </c>
    </row>
    <row r="1695" spans="1:11" ht="24">
      <c r="A1695" s="734">
        <v>6</v>
      </c>
      <c r="B1695" s="718" t="s">
        <v>2090</v>
      </c>
      <c r="C1695" s="719" t="s">
        <v>2091</v>
      </c>
      <c r="D1695" s="720" t="s">
        <v>1980</v>
      </c>
      <c r="E1695" s="721"/>
      <c r="F1695" s="345"/>
      <c r="G1695" s="345"/>
      <c r="H1695" s="345"/>
      <c r="I1695" s="721">
        <v>1</v>
      </c>
      <c r="J1695" s="722">
        <v>3330</v>
      </c>
      <c r="K1695" s="345">
        <f>J1695*(I1695+E1695)</f>
        <v>3330</v>
      </c>
    </row>
    <row r="1696" spans="1:11" ht="24">
      <c r="A1696" s="734">
        <v>7</v>
      </c>
      <c r="B1696" s="718" t="s">
        <v>2092</v>
      </c>
      <c r="C1696" s="719" t="s">
        <v>2093</v>
      </c>
      <c r="D1696" s="720" t="s">
        <v>1980</v>
      </c>
      <c r="E1696" s="721"/>
      <c r="F1696" s="345"/>
      <c r="G1696" s="345"/>
      <c r="H1696" s="345"/>
      <c r="I1696" s="721">
        <v>1</v>
      </c>
      <c r="J1696" s="722">
        <v>5157</v>
      </c>
      <c r="K1696" s="345">
        <f>J1696*(I1696+E1696)</f>
        <v>5157</v>
      </c>
    </row>
    <row r="1697" spans="1:11" ht="24">
      <c r="A1697" s="35">
        <v>8</v>
      </c>
      <c r="B1697" s="718" t="s">
        <v>2094</v>
      </c>
      <c r="C1697" s="719" t="s">
        <v>2095</v>
      </c>
      <c r="D1697" s="720" t="s">
        <v>1980</v>
      </c>
      <c r="E1697" s="345"/>
      <c r="F1697" s="345"/>
      <c r="G1697" s="345"/>
      <c r="H1697" s="345"/>
      <c r="I1697" s="735">
        <v>1</v>
      </c>
      <c r="J1697" s="722">
        <v>14062.5</v>
      </c>
      <c r="K1697" s="345">
        <f t="shared" si="81"/>
        <v>14062.5</v>
      </c>
    </row>
    <row r="1698" spans="1:11" ht="24">
      <c r="A1698" s="35">
        <v>9</v>
      </c>
      <c r="B1698" s="718" t="s">
        <v>2096</v>
      </c>
      <c r="C1698" s="719" t="s">
        <v>2097</v>
      </c>
      <c r="D1698" s="720" t="s">
        <v>1980</v>
      </c>
      <c r="E1698" s="345"/>
      <c r="F1698" s="345"/>
      <c r="G1698" s="345"/>
      <c r="H1698" s="345"/>
      <c r="I1698" s="721">
        <v>1</v>
      </c>
      <c r="J1698" s="722">
        <v>16312</v>
      </c>
      <c r="K1698" s="345">
        <f t="shared" ref="K1698:K1755" si="82">J1698*(I1698+E1698)</f>
        <v>16312</v>
      </c>
    </row>
    <row r="1699" spans="1:11" ht="36">
      <c r="A1699" s="35">
        <v>10</v>
      </c>
      <c r="B1699" s="718" t="s">
        <v>2098</v>
      </c>
      <c r="C1699" s="719" t="s">
        <v>2099</v>
      </c>
      <c r="D1699" s="720" t="s">
        <v>1980</v>
      </c>
      <c r="E1699" s="736"/>
      <c r="F1699" s="345"/>
      <c r="G1699" s="345"/>
      <c r="H1699" s="345"/>
      <c r="I1699" s="721">
        <v>1</v>
      </c>
      <c r="J1699" s="722">
        <v>12733</v>
      </c>
      <c r="K1699" s="345">
        <f t="shared" si="82"/>
        <v>12733</v>
      </c>
    </row>
    <row r="1700" spans="1:11" ht="24">
      <c r="A1700" s="35">
        <v>11</v>
      </c>
      <c r="B1700" s="718"/>
      <c r="C1700" s="719" t="s">
        <v>2100</v>
      </c>
      <c r="D1700" s="720" t="s">
        <v>1980</v>
      </c>
      <c r="E1700" s="721"/>
      <c r="F1700" s="345"/>
      <c r="G1700" s="345"/>
      <c r="H1700" s="345"/>
      <c r="I1700" s="345">
        <v>1</v>
      </c>
      <c r="J1700" s="722"/>
      <c r="K1700" s="345">
        <f t="shared" si="82"/>
        <v>0</v>
      </c>
    </row>
    <row r="1701" spans="1:11">
      <c r="A1701" s="1209" t="s">
        <v>2101</v>
      </c>
      <c r="B1701" s="1209"/>
      <c r="C1701" s="1209"/>
      <c r="D1701" s="1209"/>
      <c r="E1701" s="1209"/>
      <c r="F1701" s="1209"/>
      <c r="G1701" s="1209"/>
      <c r="H1701" s="1209"/>
      <c r="I1701" s="1209"/>
      <c r="J1701" s="1209"/>
      <c r="K1701" s="1210"/>
    </row>
    <row r="1702" spans="1:11">
      <c r="A1702" s="1211"/>
      <c r="B1702" s="1211"/>
      <c r="C1702" s="1211"/>
      <c r="D1702" s="1211"/>
      <c r="E1702" s="1211"/>
      <c r="F1702" s="1211"/>
      <c r="G1702" s="1211"/>
      <c r="H1702" s="1211"/>
      <c r="I1702" s="1211"/>
      <c r="J1702" s="1211"/>
      <c r="K1702" s="1212"/>
    </row>
    <row r="1703" spans="1:11" ht="16.5">
      <c r="A1703" s="1194" t="s">
        <v>1829</v>
      </c>
      <c r="B1703" s="1196" t="s">
        <v>110</v>
      </c>
      <c r="C1703" s="1194" t="s">
        <v>1830</v>
      </c>
      <c r="D1703" s="345" t="s">
        <v>112</v>
      </c>
      <c r="E1703" s="1198" t="s">
        <v>1831</v>
      </c>
      <c r="F1703" s="1199"/>
      <c r="G1703" s="1199"/>
      <c r="H1703" s="1199"/>
      <c r="I1703" s="1200"/>
      <c r="J1703" s="1201" t="s">
        <v>1832</v>
      </c>
      <c r="K1703" s="1201" t="s">
        <v>214</v>
      </c>
    </row>
    <row r="1704" spans="1:11" ht="16.5">
      <c r="A1704" s="1195"/>
      <c r="B1704" s="1197"/>
      <c r="C1704" s="1195"/>
      <c r="D1704" s="648"/>
      <c r="E1704" s="716" t="s">
        <v>114</v>
      </c>
      <c r="F1704" s="716" t="s">
        <v>1833</v>
      </c>
      <c r="G1704" s="716" t="s">
        <v>1</v>
      </c>
      <c r="H1704" s="716" t="s">
        <v>1306</v>
      </c>
      <c r="I1704" s="716" t="s">
        <v>0</v>
      </c>
      <c r="J1704" s="1202"/>
      <c r="K1704" s="1202"/>
    </row>
    <row r="1705" spans="1:11" ht="16.5">
      <c r="A1705" s="737">
        <v>2</v>
      </c>
      <c r="B1705" s="738" t="s">
        <v>2102</v>
      </c>
      <c r="C1705" s="739" t="s">
        <v>2103</v>
      </c>
      <c r="D1705" s="667" t="s">
        <v>268</v>
      </c>
      <c r="E1705" s="740" t="s">
        <v>2104</v>
      </c>
      <c r="F1705" s="345"/>
      <c r="G1705" s="345"/>
      <c r="H1705" s="741"/>
      <c r="I1705" s="345"/>
      <c r="J1705" s="650">
        <v>82500</v>
      </c>
      <c r="K1705" s="345">
        <f t="shared" si="82"/>
        <v>107250</v>
      </c>
    </row>
    <row r="1706" spans="1:11" ht="26.25">
      <c r="A1706" s="737">
        <v>3</v>
      </c>
      <c r="B1706" s="742" t="s">
        <v>2105</v>
      </c>
      <c r="C1706" s="739" t="s">
        <v>2106</v>
      </c>
      <c r="D1706" s="667" t="s">
        <v>195</v>
      </c>
      <c r="E1706" s="740" t="s">
        <v>2107</v>
      </c>
      <c r="F1706" s="345"/>
      <c r="G1706" s="345"/>
      <c r="H1706" s="741"/>
      <c r="I1706" s="345"/>
      <c r="J1706" s="650">
        <v>10</v>
      </c>
      <c r="K1706" s="345">
        <f t="shared" si="82"/>
        <v>168.5</v>
      </c>
    </row>
    <row r="1707" spans="1:11" ht="16.5">
      <c r="A1707" s="737">
        <v>4</v>
      </c>
      <c r="B1707" s="738" t="s">
        <v>2108</v>
      </c>
      <c r="C1707" s="743" t="s">
        <v>2109</v>
      </c>
      <c r="D1707" s="667" t="s">
        <v>1124</v>
      </c>
      <c r="E1707" s="740">
        <v>0.99</v>
      </c>
      <c r="F1707" s="345"/>
      <c r="G1707" s="345"/>
      <c r="H1707" s="741"/>
      <c r="I1707" s="345"/>
      <c r="J1707" s="650">
        <v>85125</v>
      </c>
      <c r="K1707" s="345">
        <f t="shared" si="82"/>
        <v>84273.75</v>
      </c>
    </row>
    <row r="1708" spans="1:11" ht="16.5">
      <c r="A1708" s="737">
        <v>5</v>
      </c>
      <c r="B1708" s="738" t="s">
        <v>2110</v>
      </c>
      <c r="C1708" s="743" t="s">
        <v>2111</v>
      </c>
      <c r="D1708" s="667" t="s">
        <v>1585</v>
      </c>
      <c r="E1708" s="740">
        <v>0.71</v>
      </c>
      <c r="F1708" s="345"/>
      <c r="G1708" s="345"/>
      <c r="H1708" s="741"/>
      <c r="I1708" s="345"/>
      <c r="J1708" s="650">
        <v>29841</v>
      </c>
      <c r="K1708" s="345">
        <f t="shared" si="82"/>
        <v>21187.11</v>
      </c>
    </row>
    <row r="1709" spans="1:11" ht="16.5">
      <c r="A1709" s="737">
        <v>6</v>
      </c>
      <c r="B1709" s="742" t="s">
        <v>2112</v>
      </c>
      <c r="C1709" s="743" t="s">
        <v>2113</v>
      </c>
      <c r="D1709" s="667" t="s">
        <v>1585</v>
      </c>
      <c r="E1709" s="740">
        <v>0.66600000000000004</v>
      </c>
      <c r="F1709" s="345"/>
      <c r="G1709" s="345"/>
      <c r="H1709" s="741"/>
      <c r="I1709" s="345"/>
      <c r="J1709" s="650">
        <v>27000</v>
      </c>
      <c r="K1709" s="345">
        <f t="shared" si="82"/>
        <v>17982</v>
      </c>
    </row>
    <row r="1710" spans="1:11" ht="26.25">
      <c r="A1710" s="737">
        <v>8</v>
      </c>
      <c r="B1710" s="742" t="s">
        <v>2114</v>
      </c>
      <c r="C1710" s="743" t="s">
        <v>2115</v>
      </c>
      <c r="D1710" s="667" t="s">
        <v>1585</v>
      </c>
      <c r="E1710" s="740" t="s">
        <v>2116</v>
      </c>
      <c r="F1710" s="345"/>
      <c r="G1710" s="345"/>
      <c r="H1710" s="741"/>
      <c r="I1710" s="345"/>
      <c r="J1710" s="650">
        <v>116905</v>
      </c>
      <c r="K1710" s="345">
        <f t="shared" si="82"/>
        <v>1146978.3359999999</v>
      </c>
    </row>
    <row r="1711" spans="1:11" ht="26.25">
      <c r="A1711" s="737">
        <v>9</v>
      </c>
      <c r="B1711" s="738" t="s">
        <v>2117</v>
      </c>
      <c r="C1711" s="743" t="s">
        <v>2118</v>
      </c>
      <c r="D1711" s="667" t="s">
        <v>786</v>
      </c>
      <c r="E1711" s="740" t="s">
        <v>2119</v>
      </c>
      <c r="F1711" s="345"/>
      <c r="G1711" s="345"/>
      <c r="H1711" s="741"/>
      <c r="I1711" s="345"/>
      <c r="J1711" s="744">
        <v>116.905</v>
      </c>
      <c r="K1711" s="345">
        <f t="shared" si="82"/>
        <v>2859.0286799999999</v>
      </c>
    </row>
    <row r="1712" spans="1:11" ht="26.25">
      <c r="A1712" s="737">
        <v>12</v>
      </c>
      <c r="B1712" s="742" t="s">
        <v>1847</v>
      </c>
      <c r="C1712" s="743" t="s">
        <v>2120</v>
      </c>
      <c r="D1712" s="667" t="s">
        <v>786</v>
      </c>
      <c r="E1712" s="740" t="s">
        <v>2121</v>
      </c>
      <c r="F1712" s="345"/>
      <c r="G1712" s="345"/>
      <c r="H1712" s="741"/>
      <c r="I1712" s="345"/>
      <c r="J1712" s="744">
        <v>116.905</v>
      </c>
      <c r="K1712" s="345">
        <f t="shared" si="82"/>
        <v>3908.7186750000005</v>
      </c>
    </row>
    <row r="1713" spans="1:11" ht="26.25">
      <c r="A1713" s="737">
        <v>13</v>
      </c>
      <c r="B1713" s="738" t="s">
        <v>2122</v>
      </c>
      <c r="C1713" s="743" t="s">
        <v>2123</v>
      </c>
      <c r="D1713" s="667" t="s">
        <v>786</v>
      </c>
      <c r="E1713" s="676">
        <v>4.7759999999999998</v>
      </c>
      <c r="F1713" s="345"/>
      <c r="G1713" s="345"/>
      <c r="H1713" s="741"/>
      <c r="I1713" s="345"/>
      <c r="J1713" s="744">
        <v>116.905</v>
      </c>
      <c r="K1713" s="345">
        <f t="shared" si="82"/>
        <v>558.33827999999994</v>
      </c>
    </row>
    <row r="1714" spans="1:11" ht="26.25">
      <c r="A1714" s="737">
        <v>15</v>
      </c>
      <c r="B1714" s="738" t="s">
        <v>2124</v>
      </c>
      <c r="C1714" s="743" t="s">
        <v>2125</v>
      </c>
      <c r="D1714" s="667" t="s">
        <v>786</v>
      </c>
      <c r="E1714" s="740" t="s">
        <v>2126</v>
      </c>
      <c r="F1714" s="345"/>
      <c r="G1714" s="345"/>
      <c r="H1714" s="741"/>
      <c r="I1714" s="345"/>
      <c r="J1714" s="744">
        <v>116.905</v>
      </c>
      <c r="K1714" s="345">
        <f t="shared" si="82"/>
        <v>9978.0755600000011</v>
      </c>
    </row>
    <row r="1715" spans="1:11" ht="26.25">
      <c r="A1715" s="737">
        <v>16</v>
      </c>
      <c r="B1715" s="738" t="s">
        <v>2127</v>
      </c>
      <c r="C1715" s="743" t="s">
        <v>2128</v>
      </c>
      <c r="D1715" s="667" t="s">
        <v>786</v>
      </c>
      <c r="E1715" s="740" t="s">
        <v>2129</v>
      </c>
      <c r="F1715" s="345"/>
      <c r="G1715" s="345"/>
      <c r="H1715" s="741"/>
      <c r="I1715" s="345"/>
      <c r="J1715" s="744">
        <v>116.905</v>
      </c>
      <c r="K1715" s="345">
        <f t="shared" si="82"/>
        <v>318.44922000000003</v>
      </c>
    </row>
    <row r="1716" spans="1:11" ht="26.25">
      <c r="A1716" s="737">
        <v>17</v>
      </c>
      <c r="B1716" s="742" t="s">
        <v>2130</v>
      </c>
      <c r="C1716" s="743" t="s">
        <v>2131</v>
      </c>
      <c r="D1716" s="667" t="s">
        <v>786</v>
      </c>
      <c r="E1716" s="740" t="s">
        <v>2132</v>
      </c>
      <c r="F1716" s="345"/>
      <c r="G1716" s="345"/>
      <c r="H1716" s="741"/>
      <c r="I1716" s="345"/>
      <c r="J1716" s="744">
        <v>116.905</v>
      </c>
      <c r="K1716" s="345">
        <f t="shared" si="82"/>
        <v>441.90089999999998</v>
      </c>
    </row>
    <row r="1717" spans="1:11" ht="26.25">
      <c r="A1717" s="737">
        <v>18</v>
      </c>
      <c r="B1717" s="742" t="s">
        <v>2127</v>
      </c>
      <c r="C1717" s="743" t="s">
        <v>2133</v>
      </c>
      <c r="D1717" s="667" t="s">
        <v>786</v>
      </c>
      <c r="E1717" s="740" t="s">
        <v>2134</v>
      </c>
      <c r="F1717" s="345"/>
      <c r="G1717" s="345"/>
      <c r="H1717" s="741"/>
      <c r="I1717" s="345"/>
      <c r="J1717" s="744">
        <v>116.905</v>
      </c>
      <c r="K1717" s="345">
        <f t="shared" si="82"/>
        <v>227.73094</v>
      </c>
    </row>
    <row r="1718" spans="1:11" ht="26.25">
      <c r="A1718" s="737">
        <v>19</v>
      </c>
      <c r="B1718" s="742" t="s">
        <v>2135</v>
      </c>
      <c r="C1718" s="739" t="s">
        <v>2136</v>
      </c>
      <c r="D1718" s="667" t="s">
        <v>786</v>
      </c>
      <c r="E1718" s="740" t="s">
        <v>2137</v>
      </c>
      <c r="F1718" s="345"/>
      <c r="G1718" s="345"/>
      <c r="H1718" s="741"/>
      <c r="I1718" s="345"/>
      <c r="J1718" s="744">
        <v>116.905</v>
      </c>
      <c r="K1718" s="345">
        <f t="shared" si="82"/>
        <v>807.22902500000009</v>
      </c>
    </row>
    <row r="1719" spans="1:11" ht="39">
      <c r="A1719" s="737">
        <v>20</v>
      </c>
      <c r="B1719" s="738" t="s">
        <v>2138</v>
      </c>
      <c r="C1719" s="739" t="s">
        <v>2139</v>
      </c>
      <c r="D1719" s="745" t="s">
        <v>1585</v>
      </c>
      <c r="E1719" s="740" t="s">
        <v>2140</v>
      </c>
      <c r="F1719" s="345"/>
      <c r="G1719" s="345"/>
      <c r="H1719" s="741"/>
      <c r="I1719" s="345"/>
      <c r="J1719" s="746">
        <v>73775</v>
      </c>
      <c r="K1719" s="345">
        <f t="shared" si="82"/>
        <v>28477.15</v>
      </c>
    </row>
    <row r="1720" spans="1:11" ht="16.5">
      <c r="A1720" s="737">
        <v>21</v>
      </c>
      <c r="B1720" s="738" t="s">
        <v>2141</v>
      </c>
      <c r="C1720" s="739" t="s">
        <v>2142</v>
      </c>
      <c r="D1720" s="667" t="s">
        <v>1585</v>
      </c>
      <c r="E1720" s="740">
        <v>3.5870000000000002</v>
      </c>
      <c r="F1720" s="345"/>
      <c r="G1720" s="345"/>
      <c r="H1720" s="741"/>
      <c r="I1720" s="345"/>
      <c r="J1720" s="650">
        <v>76250</v>
      </c>
      <c r="K1720" s="345">
        <f t="shared" si="82"/>
        <v>273508.75</v>
      </c>
    </row>
    <row r="1721" spans="1:11" ht="16.5">
      <c r="A1721" s="737">
        <v>22</v>
      </c>
      <c r="B1721" s="742" t="s">
        <v>2143</v>
      </c>
      <c r="C1721" s="739" t="s">
        <v>2144</v>
      </c>
      <c r="D1721" s="667" t="s">
        <v>1585</v>
      </c>
      <c r="E1721" s="740">
        <v>4.0650000000000004</v>
      </c>
      <c r="F1721" s="345"/>
      <c r="G1721" s="345"/>
      <c r="H1721" s="741"/>
      <c r="I1721" s="345"/>
      <c r="J1721" s="650">
        <v>76250</v>
      </c>
      <c r="K1721" s="345">
        <f t="shared" si="82"/>
        <v>309956.25000000006</v>
      </c>
    </row>
    <row r="1722" spans="1:11" ht="16.5">
      <c r="A1722" s="737">
        <v>23</v>
      </c>
      <c r="B1722" s="742" t="s">
        <v>1319</v>
      </c>
      <c r="C1722" s="743" t="s">
        <v>2145</v>
      </c>
      <c r="D1722" s="667" t="s">
        <v>40</v>
      </c>
      <c r="E1722" s="740" t="s">
        <v>2146</v>
      </c>
      <c r="F1722" s="345"/>
      <c r="G1722" s="345"/>
      <c r="H1722" s="741"/>
      <c r="I1722" s="345"/>
      <c r="J1722" s="650">
        <v>80</v>
      </c>
      <c r="K1722" s="345">
        <f t="shared" si="82"/>
        <v>7600</v>
      </c>
    </row>
    <row r="1723" spans="1:11" ht="16.5">
      <c r="A1723" s="737">
        <v>24</v>
      </c>
      <c r="B1723" s="738" t="s">
        <v>1318</v>
      </c>
      <c r="C1723" s="743" t="s">
        <v>2147</v>
      </c>
      <c r="D1723" s="667" t="s">
        <v>40</v>
      </c>
      <c r="E1723" s="740" t="s">
        <v>2148</v>
      </c>
      <c r="F1723" s="345"/>
      <c r="G1723" s="345"/>
      <c r="H1723" s="741"/>
      <c r="I1723" s="345"/>
      <c r="J1723" s="650">
        <v>40</v>
      </c>
      <c r="K1723" s="345">
        <f t="shared" si="82"/>
        <v>2320</v>
      </c>
    </row>
    <row r="1724" spans="1:11" ht="26.25">
      <c r="A1724" s="737">
        <v>25</v>
      </c>
      <c r="B1724" s="742" t="s">
        <v>2149</v>
      </c>
      <c r="C1724" s="743" t="s">
        <v>2150</v>
      </c>
      <c r="D1724" s="667" t="s">
        <v>40</v>
      </c>
      <c r="E1724" s="740" t="s">
        <v>2151</v>
      </c>
      <c r="F1724" s="345"/>
      <c r="G1724" s="345"/>
      <c r="H1724" s="741"/>
      <c r="I1724" s="345"/>
      <c r="J1724" s="650">
        <v>30</v>
      </c>
      <c r="K1724" s="345">
        <f t="shared" si="82"/>
        <v>690</v>
      </c>
    </row>
    <row r="1725" spans="1:11" ht="51.75">
      <c r="A1725" s="737">
        <v>26</v>
      </c>
      <c r="B1725" s="742" t="s">
        <v>2152</v>
      </c>
      <c r="C1725" s="739" t="s">
        <v>2153</v>
      </c>
      <c r="D1725" s="667" t="s">
        <v>193</v>
      </c>
      <c r="E1725" s="740" t="s">
        <v>2154</v>
      </c>
      <c r="F1725" s="345"/>
      <c r="G1725" s="345"/>
      <c r="H1725" s="741"/>
      <c r="I1725" s="345"/>
      <c r="J1725" s="650">
        <v>9363.75</v>
      </c>
      <c r="K1725" s="345">
        <f t="shared" si="82"/>
        <v>18727.5</v>
      </c>
    </row>
    <row r="1726" spans="1:11" ht="26.25">
      <c r="A1726" s="737">
        <v>27</v>
      </c>
      <c r="B1726" s="742" t="s">
        <v>439</v>
      </c>
      <c r="C1726" s="739" t="s">
        <v>2155</v>
      </c>
      <c r="D1726" s="667" t="s">
        <v>193</v>
      </c>
      <c r="E1726" s="740" t="s">
        <v>2156</v>
      </c>
      <c r="F1726" s="345"/>
      <c r="G1726" s="345"/>
      <c r="H1726" s="741"/>
      <c r="I1726" s="345"/>
      <c r="J1726" s="650">
        <v>1475.5</v>
      </c>
      <c r="K1726" s="345">
        <f t="shared" si="82"/>
        <v>22132.5</v>
      </c>
    </row>
    <row r="1727" spans="1:11" ht="16.5">
      <c r="A1727" s="737">
        <v>28</v>
      </c>
      <c r="B1727" s="738" t="s">
        <v>435</v>
      </c>
      <c r="C1727" s="739" t="s">
        <v>2157</v>
      </c>
      <c r="D1727" s="667" t="s">
        <v>193</v>
      </c>
      <c r="E1727" s="740">
        <v>15</v>
      </c>
      <c r="F1727" s="345"/>
      <c r="G1727" s="345"/>
      <c r="H1727" s="741"/>
      <c r="I1727" s="345"/>
      <c r="J1727" s="650">
        <v>2258.65</v>
      </c>
      <c r="K1727" s="345">
        <f t="shared" si="82"/>
        <v>33879.75</v>
      </c>
    </row>
    <row r="1728" spans="1:11" ht="16.5">
      <c r="A1728" s="737">
        <v>29</v>
      </c>
      <c r="B1728" s="738" t="s">
        <v>2158</v>
      </c>
      <c r="C1728" s="739" t="s">
        <v>2159</v>
      </c>
      <c r="D1728" s="667" t="s">
        <v>62</v>
      </c>
      <c r="E1728" s="740" t="s">
        <v>2160</v>
      </c>
      <c r="F1728" s="345"/>
      <c r="G1728" s="345"/>
      <c r="H1728" s="741"/>
      <c r="I1728" s="345"/>
      <c r="J1728" s="650">
        <v>464</v>
      </c>
      <c r="K1728" s="345">
        <f t="shared" si="82"/>
        <v>51040</v>
      </c>
    </row>
    <row r="1729" spans="1:11" ht="16.5">
      <c r="A1729" s="737">
        <v>30</v>
      </c>
      <c r="B1729" s="738" t="s">
        <v>2161</v>
      </c>
      <c r="C1729" s="739" t="s">
        <v>2162</v>
      </c>
      <c r="D1729" s="667" t="s">
        <v>62</v>
      </c>
      <c r="E1729" s="740" t="s">
        <v>2163</v>
      </c>
      <c r="F1729" s="345"/>
      <c r="G1729" s="345"/>
      <c r="H1729" s="741"/>
      <c r="I1729" s="345"/>
      <c r="J1729" s="650">
        <v>300</v>
      </c>
      <c r="K1729" s="345">
        <f t="shared" si="82"/>
        <v>166500</v>
      </c>
    </row>
    <row r="1730" spans="1:11" ht="26.25">
      <c r="A1730" s="737">
        <v>32</v>
      </c>
      <c r="B1730" s="355"/>
      <c r="C1730" s="743" t="s">
        <v>2164</v>
      </c>
      <c r="D1730" s="667" t="s">
        <v>324</v>
      </c>
      <c r="E1730" s="740">
        <v>280</v>
      </c>
      <c r="F1730" s="345"/>
      <c r="G1730" s="345"/>
      <c r="H1730" s="741"/>
      <c r="I1730" s="345"/>
      <c r="J1730" s="650">
        <v>355.95</v>
      </c>
      <c r="K1730" s="345">
        <f t="shared" si="82"/>
        <v>99666</v>
      </c>
    </row>
    <row r="1731" spans="1:11" ht="26.25">
      <c r="A1731" s="737">
        <v>33</v>
      </c>
      <c r="B1731" s="738"/>
      <c r="C1731" s="743" t="s">
        <v>2165</v>
      </c>
      <c r="D1731" s="667" t="s">
        <v>1585</v>
      </c>
      <c r="E1731" s="740" t="s">
        <v>2166</v>
      </c>
      <c r="F1731" s="345"/>
      <c r="G1731" s="345"/>
      <c r="H1731" s="741"/>
      <c r="I1731" s="345"/>
      <c r="J1731" s="650">
        <v>29841</v>
      </c>
      <c r="K1731" s="345">
        <f t="shared" si="82"/>
        <v>96967.434269999998</v>
      </c>
    </row>
    <row r="1732" spans="1:11" ht="26.25">
      <c r="A1732" s="737">
        <v>34</v>
      </c>
      <c r="B1732" s="738"/>
      <c r="C1732" s="743" t="s">
        <v>2167</v>
      </c>
      <c r="D1732" s="667" t="s">
        <v>1585</v>
      </c>
      <c r="E1732" s="740" t="s">
        <v>2168</v>
      </c>
      <c r="F1732" s="345"/>
      <c r="G1732" s="345"/>
      <c r="H1732" s="741"/>
      <c r="I1732" s="345"/>
      <c r="J1732" s="650">
        <v>79450</v>
      </c>
      <c r="K1732" s="345">
        <f t="shared" si="82"/>
        <v>28395.43</v>
      </c>
    </row>
    <row r="1733" spans="1:11" ht="16.5">
      <c r="A1733" s="737">
        <v>35</v>
      </c>
      <c r="B1733" s="738"/>
      <c r="C1733" s="739" t="s">
        <v>2169</v>
      </c>
      <c r="D1733" s="667" t="s">
        <v>1585</v>
      </c>
      <c r="E1733" s="747" t="s">
        <v>2170</v>
      </c>
      <c r="F1733" s="345"/>
      <c r="G1733" s="345"/>
      <c r="H1733" s="741"/>
      <c r="I1733" s="345"/>
      <c r="J1733" s="650">
        <v>29841</v>
      </c>
      <c r="K1733" s="345">
        <f t="shared" si="82"/>
        <v>134657.51250000001</v>
      </c>
    </row>
    <row r="1734" spans="1:11" ht="51.75">
      <c r="A1734" s="737">
        <v>36</v>
      </c>
      <c r="B1734" s="748" t="s">
        <v>2141</v>
      </c>
      <c r="C1734" s="749" t="s">
        <v>2171</v>
      </c>
      <c r="D1734" s="388" t="s">
        <v>4</v>
      </c>
      <c r="E1734" s="346">
        <v>1.3662000000000001</v>
      </c>
      <c r="F1734" s="669"/>
      <c r="G1734" s="669"/>
      <c r="H1734" s="741"/>
      <c r="I1734" s="669"/>
      <c r="J1734" s="750">
        <v>156751.20000000001</v>
      </c>
      <c r="K1734" s="345">
        <f t="shared" si="82"/>
        <v>214153.48944000003</v>
      </c>
    </row>
    <row r="1735" spans="1:11" ht="51.75">
      <c r="A1735" s="737">
        <v>37</v>
      </c>
      <c r="B1735" s="748" t="s">
        <v>2143</v>
      </c>
      <c r="C1735" s="749" t="s">
        <v>2172</v>
      </c>
      <c r="D1735" s="388" t="s">
        <v>4</v>
      </c>
      <c r="E1735" s="346">
        <v>2.3904000000000001</v>
      </c>
      <c r="F1735" s="669"/>
      <c r="G1735" s="669"/>
      <c r="H1735" s="741"/>
      <c r="I1735" s="669"/>
      <c r="J1735" s="750">
        <v>156751.20000000001</v>
      </c>
      <c r="K1735" s="345">
        <f t="shared" si="82"/>
        <v>374698.06848000002</v>
      </c>
    </row>
    <row r="1736" spans="1:11" ht="51.75">
      <c r="A1736" s="737">
        <v>38</v>
      </c>
      <c r="B1736" s="748" t="s">
        <v>2173</v>
      </c>
      <c r="C1736" s="749" t="s">
        <v>2174</v>
      </c>
      <c r="D1736" s="388" t="s">
        <v>4</v>
      </c>
      <c r="E1736" s="346">
        <v>2.1537000000000002</v>
      </c>
      <c r="F1736" s="669"/>
      <c r="G1736" s="669"/>
      <c r="H1736" s="741"/>
      <c r="I1736" s="669"/>
      <c r="J1736" s="750">
        <v>156751.20000000001</v>
      </c>
      <c r="K1736" s="345">
        <f t="shared" si="82"/>
        <v>337595.05944000004</v>
      </c>
    </row>
    <row r="1737" spans="1:11" ht="16.5">
      <c r="A1737" s="737">
        <v>39</v>
      </c>
      <c r="B1737" s="737" t="s">
        <v>2102</v>
      </c>
      <c r="C1737" s="751" t="s">
        <v>2175</v>
      </c>
      <c r="D1737" s="667" t="s">
        <v>2176</v>
      </c>
      <c r="E1737" s="346">
        <v>7.4370000000000003</v>
      </c>
      <c r="F1737" s="669"/>
      <c r="G1737" s="669"/>
      <c r="H1737" s="741"/>
      <c r="I1737" s="669"/>
      <c r="J1737" s="750">
        <v>294287.28000000003</v>
      </c>
      <c r="K1737" s="345">
        <f t="shared" si="82"/>
        <v>2188614.5013600001</v>
      </c>
    </row>
    <row r="1738" spans="1:11" ht="16.5">
      <c r="A1738" s="737">
        <v>40</v>
      </c>
      <c r="B1738" s="748"/>
      <c r="C1738" s="752" t="s">
        <v>2177</v>
      </c>
      <c r="D1738" s="667" t="s">
        <v>2176</v>
      </c>
      <c r="E1738" s="346">
        <v>0.80100000000000005</v>
      </c>
      <c r="F1738" s="669"/>
      <c r="G1738" s="669"/>
      <c r="H1738" s="741"/>
      <c r="I1738" s="669"/>
      <c r="J1738" s="750">
        <v>57806.43</v>
      </c>
      <c r="K1738" s="345">
        <f t="shared" si="82"/>
        <v>46302.950430000004</v>
      </c>
    </row>
    <row r="1739" spans="1:11" ht="51.75">
      <c r="A1739" s="737">
        <v>41</v>
      </c>
      <c r="B1739" s="748" t="s">
        <v>2178</v>
      </c>
      <c r="C1739" s="753" t="s">
        <v>2179</v>
      </c>
      <c r="D1739" s="667" t="s">
        <v>239</v>
      </c>
      <c r="E1739" s="346">
        <v>13</v>
      </c>
      <c r="F1739" s="669"/>
      <c r="G1739" s="669"/>
      <c r="H1739" s="741"/>
      <c r="I1739" s="669"/>
      <c r="J1739" s="750">
        <v>6352.1760000000004</v>
      </c>
      <c r="K1739" s="345">
        <f t="shared" si="82"/>
        <v>82578.288</v>
      </c>
    </row>
    <row r="1740" spans="1:11" ht="39">
      <c r="A1740" s="737">
        <v>42</v>
      </c>
      <c r="B1740" s="748"/>
      <c r="C1740" s="749" t="s">
        <v>2180</v>
      </c>
      <c r="D1740" s="667" t="s">
        <v>239</v>
      </c>
      <c r="E1740" s="346">
        <v>24</v>
      </c>
      <c r="F1740" s="669"/>
      <c r="G1740" s="669"/>
      <c r="H1740" s="741"/>
      <c r="I1740" s="669"/>
      <c r="J1740" s="750">
        <v>2064.2919999999999</v>
      </c>
      <c r="K1740" s="345">
        <f t="shared" si="82"/>
        <v>49543.008000000002</v>
      </c>
    </row>
    <row r="1741" spans="1:11" ht="16.5">
      <c r="A1741" s="737">
        <v>43</v>
      </c>
      <c r="B1741" s="748"/>
      <c r="C1741" s="751" t="s">
        <v>2181</v>
      </c>
      <c r="D1741" s="667" t="s">
        <v>239</v>
      </c>
      <c r="E1741" s="346">
        <v>2</v>
      </c>
      <c r="F1741" s="669"/>
      <c r="G1741" s="669"/>
      <c r="H1741" s="741"/>
      <c r="I1741" s="669"/>
      <c r="J1741" s="750">
        <v>1058.6959999999999</v>
      </c>
      <c r="K1741" s="345">
        <f t="shared" si="82"/>
        <v>2117.3919999999998</v>
      </c>
    </row>
    <row r="1742" spans="1:11" ht="16.5">
      <c r="A1742" s="737">
        <v>44</v>
      </c>
      <c r="B1742" s="742" t="s">
        <v>1319</v>
      </c>
      <c r="C1742" s="751" t="s">
        <v>2182</v>
      </c>
      <c r="D1742" s="667" t="s">
        <v>62</v>
      </c>
      <c r="E1742" s="346">
        <v>21</v>
      </c>
      <c r="F1742" s="669"/>
      <c r="G1742" s="669"/>
      <c r="H1742" s="741"/>
      <c r="I1742" s="669"/>
      <c r="J1742" s="750">
        <v>1164.5655999999999</v>
      </c>
      <c r="K1742" s="345">
        <f t="shared" si="82"/>
        <v>24455.8776</v>
      </c>
    </row>
    <row r="1743" spans="1:11" ht="16.5">
      <c r="A1743" s="737">
        <v>45</v>
      </c>
      <c r="B1743" s="742" t="s">
        <v>2149</v>
      </c>
      <c r="C1743" s="751" t="s">
        <v>2183</v>
      </c>
      <c r="D1743" s="667" t="s">
        <v>62</v>
      </c>
      <c r="E1743" s="346">
        <v>5</v>
      </c>
      <c r="F1743" s="669"/>
      <c r="G1743" s="669"/>
      <c r="H1743" s="741"/>
      <c r="I1743" s="669"/>
      <c r="J1743" s="750">
        <v>476.41320000000002</v>
      </c>
      <c r="K1743" s="345">
        <f t="shared" si="82"/>
        <v>2382.0660000000003</v>
      </c>
    </row>
    <row r="1744" spans="1:11" ht="16.5">
      <c r="A1744" s="737">
        <v>46</v>
      </c>
      <c r="B1744" s="748" t="s">
        <v>2184</v>
      </c>
      <c r="C1744" s="754" t="s">
        <v>367</v>
      </c>
      <c r="D1744" s="667" t="s">
        <v>62</v>
      </c>
      <c r="E1744" s="346">
        <v>1</v>
      </c>
      <c r="F1744" s="669"/>
      <c r="G1744" s="669"/>
      <c r="H1744" s="741"/>
      <c r="I1744" s="669"/>
      <c r="J1744" s="750">
        <v>1164.5655999999999</v>
      </c>
      <c r="K1744" s="345">
        <f t="shared" si="82"/>
        <v>1164.5655999999999</v>
      </c>
    </row>
    <row r="1745" spans="1:11" ht="16.5">
      <c r="A1745" s="737">
        <v>47</v>
      </c>
      <c r="B1745" s="738" t="s">
        <v>2161</v>
      </c>
      <c r="C1745" s="751" t="s">
        <v>2185</v>
      </c>
      <c r="D1745" s="667" t="s">
        <v>62</v>
      </c>
      <c r="E1745" s="346">
        <v>121</v>
      </c>
      <c r="F1745" s="669"/>
      <c r="G1745" s="669"/>
      <c r="H1745" s="741"/>
      <c r="I1745" s="669"/>
      <c r="J1745" s="750">
        <v>289.0292</v>
      </c>
      <c r="K1745" s="345">
        <f t="shared" si="82"/>
        <v>34972.533199999998</v>
      </c>
    </row>
    <row r="1746" spans="1:11" ht="16.5">
      <c r="A1746" s="737">
        <v>48</v>
      </c>
      <c r="B1746" s="737" t="s">
        <v>2186</v>
      </c>
      <c r="C1746" s="751" t="s">
        <v>2187</v>
      </c>
      <c r="D1746" s="667" t="s">
        <v>2176</v>
      </c>
      <c r="E1746" s="346">
        <v>1.2450000000000001</v>
      </c>
      <c r="F1746" s="669"/>
      <c r="G1746" s="669"/>
      <c r="H1746" s="741"/>
      <c r="I1746" s="669"/>
      <c r="J1746" s="750">
        <v>366729.27399999998</v>
      </c>
      <c r="K1746" s="345">
        <f t="shared" si="82"/>
        <v>456577.94613</v>
      </c>
    </row>
    <row r="1747" spans="1:11" ht="16.5">
      <c r="A1747" s="737">
        <v>49</v>
      </c>
      <c r="B1747" s="748"/>
      <c r="C1747" s="751" t="s">
        <v>2188</v>
      </c>
      <c r="D1747" s="667" t="s">
        <v>2176</v>
      </c>
      <c r="E1747" s="346">
        <v>1.1990000000000001</v>
      </c>
      <c r="F1747" s="669"/>
      <c r="G1747" s="669"/>
      <c r="H1747" s="741"/>
      <c r="I1747" s="669"/>
      <c r="J1747" s="750">
        <v>110572.431</v>
      </c>
      <c r="K1747" s="345">
        <f t="shared" si="82"/>
        <v>132576.34476900002</v>
      </c>
    </row>
    <row r="1748" spans="1:11" ht="51.75">
      <c r="A1748" s="737">
        <v>50</v>
      </c>
      <c r="B1748" s="748" t="s">
        <v>2189</v>
      </c>
      <c r="C1748" s="749" t="s">
        <v>2190</v>
      </c>
      <c r="D1748" s="667" t="s">
        <v>239</v>
      </c>
      <c r="E1748" s="346">
        <v>2</v>
      </c>
      <c r="F1748" s="669"/>
      <c r="G1748" s="669"/>
      <c r="H1748" s="741"/>
      <c r="I1748" s="669"/>
      <c r="J1748" s="750">
        <v>14484.5</v>
      </c>
      <c r="K1748" s="345">
        <f t="shared" si="82"/>
        <v>28969</v>
      </c>
    </row>
    <row r="1749" spans="1:11" ht="16.5">
      <c r="A1749" s="737">
        <v>51</v>
      </c>
      <c r="B1749" s="748"/>
      <c r="C1749" s="751" t="s">
        <v>2191</v>
      </c>
      <c r="D1749" s="667" t="s">
        <v>62</v>
      </c>
      <c r="E1749" s="346">
        <v>6</v>
      </c>
      <c r="F1749" s="669"/>
      <c r="G1749" s="669"/>
      <c r="H1749" s="741"/>
      <c r="I1749" s="669"/>
      <c r="J1749" s="750">
        <v>2655</v>
      </c>
      <c r="K1749" s="345">
        <f t="shared" si="82"/>
        <v>15930</v>
      </c>
    </row>
    <row r="1750" spans="1:11" ht="16.5">
      <c r="A1750" s="737">
        <v>52</v>
      </c>
      <c r="B1750" s="748" t="s">
        <v>264</v>
      </c>
      <c r="C1750" s="751" t="s">
        <v>2192</v>
      </c>
      <c r="D1750" s="667" t="s">
        <v>62</v>
      </c>
      <c r="E1750" s="346">
        <v>6</v>
      </c>
      <c r="F1750" s="669"/>
      <c r="G1750" s="669"/>
      <c r="H1750" s="741"/>
      <c r="I1750" s="669"/>
      <c r="J1750" s="750">
        <v>1071.617</v>
      </c>
      <c r="K1750" s="345">
        <f t="shared" si="82"/>
        <v>6429.7019999999993</v>
      </c>
    </row>
    <row r="1751" spans="1:11" ht="16.5">
      <c r="A1751" s="737">
        <v>53</v>
      </c>
      <c r="B1751" s="748"/>
      <c r="C1751" s="751" t="s">
        <v>2193</v>
      </c>
      <c r="D1751" s="667" t="s">
        <v>62</v>
      </c>
      <c r="E1751" s="346">
        <v>3</v>
      </c>
      <c r="F1751" s="669"/>
      <c r="G1751" s="669"/>
      <c r="H1751" s="741"/>
      <c r="I1751" s="669"/>
      <c r="J1751" s="750">
        <v>2912.7946000000002</v>
      </c>
      <c r="K1751" s="345">
        <f t="shared" si="82"/>
        <v>8738.3837999999996</v>
      </c>
    </row>
    <row r="1752" spans="1:11" ht="16.5">
      <c r="A1752" s="737">
        <v>54</v>
      </c>
      <c r="B1752" s="748"/>
      <c r="C1752" s="751" t="s">
        <v>2194</v>
      </c>
      <c r="D1752" s="667" t="s">
        <v>62</v>
      </c>
      <c r="E1752" s="346">
        <v>3</v>
      </c>
      <c r="F1752" s="669"/>
      <c r="G1752" s="669"/>
      <c r="H1752" s="741"/>
      <c r="I1752" s="669"/>
      <c r="J1752" s="750">
        <v>359.60500000000002</v>
      </c>
      <c r="K1752" s="345">
        <f t="shared" si="82"/>
        <v>1078.8150000000001</v>
      </c>
    </row>
    <row r="1753" spans="1:11" ht="16.5">
      <c r="A1753" s="737">
        <v>55</v>
      </c>
      <c r="B1753" s="748"/>
      <c r="C1753" s="751" t="s">
        <v>2195</v>
      </c>
      <c r="D1753" s="667" t="s">
        <v>62</v>
      </c>
      <c r="E1753" s="346">
        <v>1</v>
      </c>
      <c r="F1753" s="669"/>
      <c r="G1753" s="669"/>
      <c r="H1753" s="741"/>
      <c r="I1753" s="669"/>
      <c r="J1753" s="750">
        <v>2414.2800000000002</v>
      </c>
      <c r="K1753" s="345">
        <f t="shared" si="82"/>
        <v>2414.2800000000002</v>
      </c>
    </row>
    <row r="1754" spans="1:11" ht="38.25">
      <c r="A1754" s="737">
        <v>56</v>
      </c>
      <c r="B1754" s="748"/>
      <c r="C1754" s="755" t="s">
        <v>2196</v>
      </c>
      <c r="D1754" s="667" t="s">
        <v>239</v>
      </c>
      <c r="E1754" s="346">
        <v>1</v>
      </c>
      <c r="F1754" s="669"/>
      <c r="G1754" s="669"/>
      <c r="H1754" s="741"/>
      <c r="I1754" s="669"/>
      <c r="J1754" s="750">
        <v>2013.788</v>
      </c>
      <c r="K1754" s="345">
        <f t="shared" si="82"/>
        <v>2013.788</v>
      </c>
    </row>
    <row r="1755" spans="1:11" ht="16.5">
      <c r="A1755" s="737">
        <v>57</v>
      </c>
      <c r="B1755" s="742" t="s">
        <v>160</v>
      </c>
      <c r="C1755" s="749" t="s">
        <v>2197</v>
      </c>
      <c r="D1755" s="667" t="s">
        <v>62</v>
      </c>
      <c r="E1755" s="346">
        <v>7</v>
      </c>
      <c r="F1755" s="669"/>
      <c r="G1755" s="669"/>
      <c r="H1755" s="741"/>
      <c r="I1755" s="669"/>
      <c r="J1755" s="750">
        <v>1124.1505999999999</v>
      </c>
      <c r="K1755" s="345">
        <f t="shared" si="82"/>
        <v>7869.0541999999996</v>
      </c>
    </row>
    <row r="1756" spans="1:11" ht="18.75">
      <c r="A1756" s="1213" t="s">
        <v>2198</v>
      </c>
      <c r="B1756" s="1214"/>
      <c r="C1756" s="1214"/>
      <c r="D1756" s="756"/>
      <c r="E1756" s="757"/>
      <c r="F1756" s="758"/>
      <c r="G1756" s="758"/>
      <c r="H1756" s="759"/>
      <c r="I1756" s="758"/>
      <c r="J1756" s="760"/>
      <c r="K1756" s="761"/>
    </row>
    <row r="1757" spans="1:11" ht="26.25">
      <c r="A1757" s="737">
        <v>58</v>
      </c>
      <c r="B1757" s="737" t="s">
        <v>2102</v>
      </c>
      <c r="C1757" s="739" t="s">
        <v>2199</v>
      </c>
      <c r="D1757" s="667" t="s">
        <v>46</v>
      </c>
      <c r="E1757" s="762"/>
      <c r="F1757" s="762"/>
      <c r="G1757" s="762"/>
      <c r="H1757" s="763"/>
      <c r="I1757" s="762">
        <v>2084</v>
      </c>
      <c r="J1757" s="764">
        <v>50</v>
      </c>
      <c r="K1757" s="765">
        <f>I1757*J1757</f>
        <v>104200</v>
      </c>
    </row>
    <row r="1758" spans="1:11" ht="26.25">
      <c r="A1758" s="737">
        <v>59</v>
      </c>
      <c r="B1758" s="742" t="s">
        <v>2108</v>
      </c>
      <c r="C1758" s="739" t="s">
        <v>2200</v>
      </c>
      <c r="D1758" s="667" t="s">
        <v>46</v>
      </c>
      <c r="E1758" s="762"/>
      <c r="F1758" s="762"/>
      <c r="G1758" s="762"/>
      <c r="H1758" s="763"/>
      <c r="I1758" s="762">
        <v>2010</v>
      </c>
      <c r="J1758" s="764">
        <v>76.5</v>
      </c>
      <c r="K1758" s="765">
        <f t="shared" ref="K1758:K1759" si="83">I1758*J1758</f>
        <v>153765</v>
      </c>
    </row>
    <row r="1759" spans="1:11" ht="26.25">
      <c r="A1759" s="737">
        <v>60</v>
      </c>
      <c r="B1759" s="742"/>
      <c r="C1759" s="743" t="s">
        <v>2201</v>
      </c>
      <c r="D1759" s="667" t="s">
        <v>1585</v>
      </c>
      <c r="E1759" s="762"/>
      <c r="F1759" s="762"/>
      <c r="G1759" s="762"/>
      <c r="H1759" s="763"/>
      <c r="I1759" s="762">
        <v>6.89</v>
      </c>
      <c r="J1759" s="764">
        <v>29841</v>
      </c>
      <c r="K1759" s="765">
        <f t="shared" si="83"/>
        <v>205604.49</v>
      </c>
    </row>
    <row r="1760" spans="1:11" ht="18.75">
      <c r="A1760" s="1215" t="s">
        <v>2202</v>
      </c>
      <c r="B1760" s="1216"/>
      <c r="C1760" s="1216"/>
      <c r="D1760" s="1216"/>
      <c r="E1760" s="1216"/>
      <c r="F1760" s="1216"/>
      <c r="G1760" s="1216"/>
      <c r="H1760" s="1216"/>
      <c r="I1760" s="1216"/>
      <c r="J1760" s="1216"/>
      <c r="K1760" s="1217"/>
    </row>
    <row r="1761" spans="1:15" ht="16.5">
      <c r="A1761" s="1194" t="s">
        <v>1829</v>
      </c>
      <c r="B1761" s="1196" t="s">
        <v>110</v>
      </c>
      <c r="C1761" s="1194" t="s">
        <v>1830</v>
      </c>
      <c r="D1761" s="345" t="s">
        <v>112</v>
      </c>
      <c r="E1761" s="1198" t="s">
        <v>1831</v>
      </c>
      <c r="F1761" s="1199"/>
      <c r="G1761" s="1199"/>
      <c r="H1761" s="1199"/>
      <c r="I1761" s="1200"/>
      <c r="J1761" s="1201" t="s">
        <v>1832</v>
      </c>
      <c r="K1761" s="1201" t="s">
        <v>214</v>
      </c>
    </row>
    <row r="1762" spans="1:15" ht="16.5">
      <c r="A1762" s="1195"/>
      <c r="B1762" s="1197"/>
      <c r="C1762" s="1195"/>
      <c r="D1762" s="648"/>
      <c r="E1762" s="716" t="s">
        <v>114</v>
      </c>
      <c r="F1762" s="716" t="s">
        <v>1833</v>
      </c>
      <c r="G1762" s="716" t="s">
        <v>1</v>
      </c>
      <c r="H1762" s="716" t="s">
        <v>1306</v>
      </c>
      <c r="I1762" s="716" t="s">
        <v>0</v>
      </c>
      <c r="J1762" s="1202"/>
      <c r="K1762" s="1202"/>
    </row>
    <row r="1763" spans="1:15" ht="36">
      <c r="A1763" s="766">
        <v>1</v>
      </c>
      <c r="B1763" s="718" t="s">
        <v>291</v>
      </c>
      <c r="C1763" s="719" t="s">
        <v>2203</v>
      </c>
      <c r="D1763" s="720" t="s">
        <v>1980</v>
      </c>
      <c r="E1763" s="721">
        <v>2</v>
      </c>
      <c r="F1763" s="345"/>
      <c r="G1763" s="345"/>
      <c r="H1763" s="345"/>
      <c r="I1763" s="345"/>
      <c r="J1763" s="722">
        <v>6619.8</v>
      </c>
      <c r="K1763" s="345">
        <f t="shared" ref="K1763:K1771" si="84">J1763*(I1763+E1763)</f>
        <v>13239.6</v>
      </c>
    </row>
    <row r="1764" spans="1:15" ht="36">
      <c r="A1764" s="766">
        <v>2</v>
      </c>
      <c r="B1764" s="718" t="s">
        <v>293</v>
      </c>
      <c r="C1764" s="719" t="s">
        <v>2204</v>
      </c>
      <c r="D1764" s="720" t="s">
        <v>1980</v>
      </c>
      <c r="E1764" s="721">
        <v>1</v>
      </c>
      <c r="F1764" s="345"/>
      <c r="G1764" s="345"/>
      <c r="H1764" s="345"/>
      <c r="I1764" s="345"/>
      <c r="J1764" s="722">
        <v>4590.2</v>
      </c>
      <c r="K1764" s="345">
        <f t="shared" si="84"/>
        <v>4590.2</v>
      </c>
    </row>
    <row r="1765" spans="1:15" ht="24">
      <c r="A1765" s="766">
        <v>3</v>
      </c>
      <c r="B1765" s="718" t="s">
        <v>2205</v>
      </c>
      <c r="C1765" s="719" t="s">
        <v>2206</v>
      </c>
      <c r="D1765" s="720" t="s">
        <v>1980</v>
      </c>
      <c r="E1765" s="721">
        <v>2</v>
      </c>
      <c r="F1765" s="345"/>
      <c r="G1765" s="345"/>
      <c r="H1765" s="345"/>
      <c r="I1765" s="345"/>
      <c r="J1765" s="722">
        <v>3964.8</v>
      </c>
      <c r="K1765" s="345">
        <f t="shared" si="84"/>
        <v>7929.6</v>
      </c>
    </row>
    <row r="1766" spans="1:15" ht="16.5">
      <c r="A1766" s="766">
        <v>4</v>
      </c>
      <c r="B1766" s="718" t="s">
        <v>533</v>
      </c>
      <c r="C1766" s="719" t="s">
        <v>2207</v>
      </c>
      <c r="D1766" s="720" t="s">
        <v>1980</v>
      </c>
      <c r="E1766" s="721">
        <v>2</v>
      </c>
      <c r="F1766" s="345"/>
      <c r="G1766" s="345"/>
      <c r="H1766" s="345"/>
      <c r="I1766" s="345"/>
      <c r="J1766" s="722">
        <v>342.2</v>
      </c>
      <c r="K1766" s="345">
        <f t="shared" si="84"/>
        <v>684.4</v>
      </c>
    </row>
    <row r="1767" spans="1:15" ht="16.5">
      <c r="A1767" s="766">
        <v>5</v>
      </c>
      <c r="B1767" s="718" t="s">
        <v>301</v>
      </c>
      <c r="C1767" s="719" t="s">
        <v>2208</v>
      </c>
      <c r="D1767" s="720" t="s">
        <v>1980</v>
      </c>
      <c r="E1767" s="721">
        <v>2</v>
      </c>
      <c r="F1767" s="345"/>
      <c r="G1767" s="345"/>
      <c r="H1767" s="345"/>
      <c r="I1767" s="345"/>
      <c r="J1767" s="722">
        <v>2808.4</v>
      </c>
      <c r="K1767" s="345">
        <f t="shared" si="84"/>
        <v>5616.8</v>
      </c>
    </row>
    <row r="1768" spans="1:15" ht="16.5">
      <c r="A1768" s="766">
        <v>6</v>
      </c>
      <c r="B1768" s="718"/>
      <c r="C1768" s="719" t="s">
        <v>2209</v>
      </c>
      <c r="D1768" s="720" t="s">
        <v>1980</v>
      </c>
      <c r="E1768" s="721">
        <v>1</v>
      </c>
      <c r="F1768" s="345"/>
      <c r="G1768" s="345"/>
      <c r="H1768" s="345"/>
      <c r="I1768" s="345"/>
      <c r="J1768" s="722">
        <v>46728</v>
      </c>
      <c r="K1768" s="345">
        <f t="shared" si="84"/>
        <v>46728</v>
      </c>
    </row>
    <row r="1769" spans="1:15" ht="24">
      <c r="A1769" s="766">
        <v>7</v>
      </c>
      <c r="B1769" s="718" t="s">
        <v>2210</v>
      </c>
      <c r="C1769" s="719" t="s">
        <v>2211</v>
      </c>
      <c r="D1769" s="720" t="s">
        <v>1980</v>
      </c>
      <c r="E1769" s="721">
        <v>1</v>
      </c>
      <c r="F1769" s="345"/>
      <c r="G1769" s="345"/>
      <c r="H1769" s="345"/>
      <c r="I1769" s="345"/>
      <c r="J1769" s="722">
        <v>3410.2</v>
      </c>
      <c r="K1769" s="345">
        <f t="shared" si="84"/>
        <v>3410.2</v>
      </c>
    </row>
    <row r="1770" spans="1:15" ht="24">
      <c r="A1770" s="766">
        <v>8</v>
      </c>
      <c r="B1770" s="718" t="s">
        <v>2210</v>
      </c>
      <c r="C1770" s="719" t="s">
        <v>2212</v>
      </c>
      <c r="D1770" s="720" t="s">
        <v>1980</v>
      </c>
      <c r="E1770" s="721">
        <v>1</v>
      </c>
      <c r="F1770" s="345"/>
      <c r="G1770" s="345"/>
      <c r="H1770" s="345"/>
      <c r="I1770" s="345"/>
      <c r="J1770" s="722">
        <v>6442.8</v>
      </c>
      <c r="K1770" s="345">
        <f t="shared" si="84"/>
        <v>6442.8</v>
      </c>
    </row>
    <row r="1771" spans="1:15" ht="36">
      <c r="A1771" s="345">
        <v>9</v>
      </c>
      <c r="B1771" s="355"/>
      <c r="C1771" s="767" t="s">
        <v>2213</v>
      </c>
      <c r="D1771" s="720" t="s">
        <v>1980</v>
      </c>
      <c r="E1771" s="768">
        <v>1</v>
      </c>
      <c r="F1771" s="669"/>
      <c r="G1771" s="669"/>
      <c r="H1771" s="669"/>
      <c r="I1771" s="669"/>
      <c r="J1771" s="769">
        <v>71508</v>
      </c>
      <c r="K1771" s="770">
        <f t="shared" si="84"/>
        <v>71508</v>
      </c>
    </row>
    <row r="1772" spans="1:15" ht="16.5">
      <c r="A1772" s="736"/>
      <c r="B1772" s="736"/>
      <c r="C1772" s="736"/>
      <c r="D1772" s="736"/>
      <c r="E1772" s="736"/>
      <c r="F1772" s="736"/>
      <c r="G1772" s="736"/>
      <c r="H1772" s="736"/>
      <c r="I1772" s="736"/>
      <c r="J1772" s="736"/>
      <c r="K1772" s="736"/>
    </row>
    <row r="1774" spans="1:15" ht="22.5">
      <c r="A1774" s="1203" t="s">
        <v>2214</v>
      </c>
      <c r="B1774" s="1204"/>
      <c r="C1774" s="1203"/>
      <c r="D1774" s="1203"/>
      <c r="E1774" s="1203"/>
      <c r="F1774" s="1203"/>
      <c r="G1774" s="1203"/>
      <c r="H1774" s="1203"/>
      <c r="I1774" s="1203"/>
      <c r="J1774" s="1203"/>
      <c r="K1774" s="1203"/>
      <c r="L1774" s="1203"/>
      <c r="M1774" s="1203"/>
      <c r="N1774" s="1203"/>
      <c r="O1774" s="1203"/>
    </row>
    <row r="1775" spans="1:15">
      <c r="A1775" s="771"/>
      <c r="B1775" s="772"/>
      <c r="C1775" s="773"/>
      <c r="D1775" s="773"/>
      <c r="E1775" s="773"/>
      <c r="F1775" s="773"/>
      <c r="G1775" s="773"/>
      <c r="H1775" s="773"/>
      <c r="I1775" s="773"/>
      <c r="J1775" s="773"/>
      <c r="K1775" s="773"/>
      <c r="L1775" s="773"/>
      <c r="M1775" s="773"/>
      <c r="N1775" s="773"/>
      <c r="O1775" s="773"/>
    </row>
    <row r="1776" spans="1:15" ht="15.75">
      <c r="A1776" s="1205" t="s">
        <v>2215</v>
      </c>
      <c r="B1776" s="1206"/>
      <c r="C1776" s="1205"/>
      <c r="D1776" s="774"/>
      <c r="E1776" s="774"/>
      <c r="F1776" s="771"/>
      <c r="G1776" s="771"/>
      <c r="H1776" s="771"/>
      <c r="I1776" s="771"/>
      <c r="J1776" s="771"/>
      <c r="K1776" s="771"/>
      <c r="L1776" s="771"/>
      <c r="M1776" s="771"/>
      <c r="N1776" s="771"/>
      <c r="O1776" s="771"/>
    </row>
    <row r="1777" spans="1:15" ht="15.75">
      <c r="A1777" s="1207" t="s">
        <v>2216</v>
      </c>
      <c r="B1777" s="1208"/>
      <c r="C1777" s="1207"/>
      <c r="D1777" s="775"/>
      <c r="E1777" s="774"/>
      <c r="F1777" s="771"/>
      <c r="G1777" s="771"/>
      <c r="H1777" s="771"/>
      <c r="I1777" s="771"/>
      <c r="J1777" s="776"/>
      <c r="K1777" s="777" t="s">
        <v>2217</v>
      </c>
      <c r="L1777" s="771"/>
      <c r="M1777" s="771"/>
      <c r="N1777" s="771"/>
      <c r="O1777" s="771"/>
    </row>
    <row r="1778" spans="1:15" ht="15.75">
      <c r="A1778" s="778" t="s">
        <v>2218</v>
      </c>
      <c r="B1778" s="779"/>
      <c r="C1778" s="778"/>
      <c r="D1778" s="775"/>
      <c r="E1778" s="774"/>
      <c r="F1778" s="771"/>
      <c r="G1778" s="771"/>
      <c r="H1778" s="771"/>
      <c r="I1778" s="771"/>
      <c r="J1778" s="771"/>
      <c r="K1778" s="780" t="s">
        <v>2219</v>
      </c>
      <c r="L1778" s="771"/>
      <c r="M1778" s="771"/>
      <c r="N1778" s="771"/>
      <c r="O1778" s="771"/>
    </row>
    <row r="1779" spans="1:15" ht="15.75">
      <c r="A1779" s="1158" t="s">
        <v>1302</v>
      </c>
      <c r="B1779" s="1192" t="s">
        <v>210</v>
      </c>
      <c r="C1779" s="1158" t="s">
        <v>1303</v>
      </c>
      <c r="D1779" s="1158" t="s">
        <v>112</v>
      </c>
      <c r="E1779" s="1160" t="s">
        <v>2220</v>
      </c>
      <c r="F1779" s="1162" t="s">
        <v>114</v>
      </c>
      <c r="G1779" s="1163"/>
      <c r="H1779" s="1164" t="s">
        <v>2221</v>
      </c>
      <c r="I1779" s="1165"/>
      <c r="J1779" s="1162" t="s">
        <v>1</v>
      </c>
      <c r="K1779" s="1166"/>
      <c r="L1779" s="1167" t="s">
        <v>0</v>
      </c>
      <c r="M1779" s="1168"/>
      <c r="N1779" s="1156" t="s">
        <v>1306</v>
      </c>
      <c r="O1779" s="1156"/>
    </row>
    <row r="1780" spans="1:15" ht="47.25">
      <c r="A1780" s="1159"/>
      <c r="B1780" s="1193"/>
      <c r="C1780" s="1159"/>
      <c r="D1780" s="1159"/>
      <c r="E1780" s="1161"/>
      <c r="F1780" s="781" t="s">
        <v>118</v>
      </c>
      <c r="G1780" s="782" t="s">
        <v>119</v>
      </c>
      <c r="H1780" s="781" t="s">
        <v>118</v>
      </c>
      <c r="I1780" s="782" t="s">
        <v>119</v>
      </c>
      <c r="J1780" s="781" t="s">
        <v>118</v>
      </c>
      <c r="K1780" s="782" t="s">
        <v>119</v>
      </c>
      <c r="L1780" s="781" t="s">
        <v>118</v>
      </c>
      <c r="M1780" s="782" t="s">
        <v>119</v>
      </c>
      <c r="N1780" s="781" t="s">
        <v>118</v>
      </c>
      <c r="O1780" s="782" t="s">
        <v>119</v>
      </c>
    </row>
    <row r="1781" spans="1:15" ht="15.75">
      <c r="A1781" s="783">
        <v>2</v>
      </c>
      <c r="B1781" s="784" t="s">
        <v>409</v>
      </c>
      <c r="C1781" s="785" t="s">
        <v>2222</v>
      </c>
      <c r="D1781" s="786" t="s">
        <v>324</v>
      </c>
      <c r="E1781" s="787">
        <v>300</v>
      </c>
      <c r="F1781" s="786">
        <f>2000-90-15-10-10-20-130-80-10-10-10-100-20-10-100-15-10-15-5-10-200-5-15-5-10-10-10-15-5-120-10-20-70-20-5-16-8-6-12-10-5-5</f>
        <v>748</v>
      </c>
      <c r="G1781" s="786">
        <f>E1781*F1781</f>
        <v>224400</v>
      </c>
      <c r="H1781" s="786"/>
      <c r="I1781" s="786"/>
      <c r="J1781" s="786"/>
      <c r="K1781" s="788"/>
      <c r="L1781" s="788"/>
      <c r="M1781" s="788"/>
      <c r="N1781" s="786"/>
      <c r="O1781" s="786"/>
    </row>
    <row r="1782" spans="1:15" ht="15.75">
      <c r="A1782" s="783"/>
      <c r="B1782" s="784" t="s">
        <v>409</v>
      </c>
      <c r="C1782" s="785" t="s">
        <v>2222</v>
      </c>
      <c r="D1782" s="786" t="s">
        <v>324</v>
      </c>
      <c r="E1782" s="787">
        <v>317</v>
      </c>
      <c r="F1782" s="786"/>
      <c r="G1782" s="786"/>
      <c r="H1782" s="786"/>
      <c r="I1782" s="786"/>
      <c r="J1782" s="786"/>
      <c r="K1782" s="788"/>
      <c r="L1782" s="788">
        <f>283.5-283.5</f>
        <v>0</v>
      </c>
      <c r="M1782" s="788">
        <f t="shared" ref="M1782:M1787" si="85">E1782*L1782</f>
        <v>0</v>
      </c>
      <c r="N1782" s="786"/>
      <c r="O1782" s="786"/>
    </row>
    <row r="1783" spans="1:15" ht="15.75">
      <c r="A1783" s="783"/>
      <c r="B1783" s="784" t="s">
        <v>363</v>
      </c>
      <c r="C1783" s="789" t="s">
        <v>779</v>
      </c>
      <c r="D1783" s="786" t="s">
        <v>4</v>
      </c>
      <c r="E1783" s="790">
        <v>25000</v>
      </c>
      <c r="F1783" s="786"/>
      <c r="G1783" s="786"/>
      <c r="H1783" s="786"/>
      <c r="I1783" s="786"/>
      <c r="J1783" s="786"/>
      <c r="K1783" s="788"/>
      <c r="L1783" s="788">
        <f>0.1-0.1</f>
        <v>0</v>
      </c>
      <c r="M1783" s="788">
        <f t="shared" si="85"/>
        <v>0</v>
      </c>
      <c r="N1783" s="786"/>
      <c r="O1783" s="786"/>
    </row>
    <row r="1784" spans="1:15" ht="15.75">
      <c r="A1784" s="783"/>
      <c r="B1784" s="784" t="s">
        <v>363</v>
      </c>
      <c r="C1784" s="791" t="s">
        <v>779</v>
      </c>
      <c r="D1784" s="786" t="s">
        <v>4</v>
      </c>
      <c r="E1784" s="790">
        <v>25000</v>
      </c>
      <c r="F1784" s="786"/>
      <c r="G1784" s="786"/>
      <c r="H1784" s="786"/>
      <c r="I1784" s="786"/>
      <c r="J1784" s="786"/>
      <c r="K1784" s="788"/>
      <c r="L1784" s="792">
        <v>14.99</v>
      </c>
      <c r="M1784" s="788">
        <f t="shared" si="85"/>
        <v>374750</v>
      </c>
      <c r="N1784" s="786"/>
      <c r="O1784" s="786"/>
    </row>
    <row r="1785" spans="1:15" ht="15.75">
      <c r="A1785" s="783"/>
      <c r="B1785" s="784" t="s">
        <v>411</v>
      </c>
      <c r="C1785" s="791" t="s">
        <v>780</v>
      </c>
      <c r="D1785" s="786" t="s">
        <v>4</v>
      </c>
      <c r="E1785" s="790">
        <v>25000</v>
      </c>
      <c r="F1785" s="786"/>
      <c r="G1785" s="786"/>
      <c r="H1785" s="786"/>
      <c r="I1785" s="786"/>
      <c r="J1785" s="786"/>
      <c r="K1785" s="788"/>
      <c r="L1785" s="792">
        <v>2.82</v>
      </c>
      <c r="M1785" s="788">
        <f t="shared" si="85"/>
        <v>70500</v>
      </c>
      <c r="N1785" s="786"/>
      <c r="O1785" s="786"/>
    </row>
    <row r="1786" spans="1:15" ht="15.75">
      <c r="A1786" s="783"/>
      <c r="B1786" s="784" t="s">
        <v>257</v>
      </c>
      <c r="C1786" s="785" t="s">
        <v>2223</v>
      </c>
      <c r="D1786" s="786" t="s">
        <v>4</v>
      </c>
      <c r="E1786" s="790">
        <v>25000</v>
      </c>
      <c r="F1786" s="793"/>
      <c r="G1786" s="786"/>
      <c r="H1786" s="793"/>
      <c r="I1786" s="793"/>
      <c r="J1786" s="793"/>
      <c r="K1786" s="794"/>
      <c r="L1786" s="795">
        <v>0.34</v>
      </c>
      <c r="M1786" s="788">
        <f t="shared" si="85"/>
        <v>8500</v>
      </c>
      <c r="N1786" s="786"/>
      <c r="O1786" s="786"/>
    </row>
    <row r="1787" spans="1:15" ht="15.75">
      <c r="A1787" s="783"/>
      <c r="B1787" s="796"/>
      <c r="C1787" s="785" t="s">
        <v>2224</v>
      </c>
      <c r="D1787" s="786" t="s">
        <v>4</v>
      </c>
      <c r="E1787" s="790">
        <v>25000</v>
      </c>
      <c r="F1787" s="793"/>
      <c r="G1787" s="786"/>
      <c r="H1787" s="793"/>
      <c r="I1787" s="793"/>
      <c r="J1787" s="793"/>
      <c r="K1787" s="794"/>
      <c r="L1787" s="795">
        <v>0.98499999999999999</v>
      </c>
      <c r="M1787" s="788">
        <f t="shared" si="85"/>
        <v>24625</v>
      </c>
      <c r="N1787" s="786"/>
      <c r="O1787" s="786"/>
    </row>
    <row r="1788" spans="1:15" ht="15.75">
      <c r="A1788" s="783">
        <v>26</v>
      </c>
      <c r="B1788" s="784" t="s">
        <v>2225</v>
      </c>
      <c r="C1788" s="785" t="s">
        <v>2226</v>
      </c>
      <c r="D1788" s="783" t="s">
        <v>324</v>
      </c>
      <c r="E1788" s="783">
        <v>1623.2</v>
      </c>
      <c r="F1788" s="797">
        <f>166.7-30</f>
        <v>136.69999999999999</v>
      </c>
      <c r="G1788" s="786">
        <f t="shared" ref="G1788:G1790" si="86">E1788*F1788</f>
        <v>221891.43999999997</v>
      </c>
      <c r="H1788" s="789"/>
      <c r="I1788" s="789"/>
      <c r="J1788" s="789"/>
      <c r="K1788" s="789"/>
      <c r="L1788" s="789"/>
      <c r="M1788" s="785"/>
      <c r="N1788" s="785"/>
      <c r="O1788" s="785"/>
    </row>
    <row r="1789" spans="1:15" ht="15.75">
      <c r="A1789" s="783"/>
      <c r="B1789" s="784" t="s">
        <v>257</v>
      </c>
      <c r="C1789" s="785" t="s">
        <v>2227</v>
      </c>
      <c r="D1789" s="798" t="s">
        <v>195</v>
      </c>
      <c r="E1789" s="799">
        <v>10</v>
      </c>
      <c r="F1789" s="783">
        <f>27540-2210-50</f>
        <v>25280</v>
      </c>
      <c r="G1789" s="786">
        <f t="shared" si="86"/>
        <v>252800</v>
      </c>
      <c r="H1789" s="785"/>
      <c r="I1789" s="785"/>
      <c r="J1789" s="785"/>
      <c r="K1789" s="785"/>
      <c r="L1789" s="785"/>
      <c r="M1789" s="785"/>
      <c r="N1789" s="783"/>
      <c r="O1789" s="783"/>
    </row>
    <row r="1790" spans="1:15" ht="15.75">
      <c r="A1790" s="783"/>
      <c r="B1790" s="796"/>
      <c r="C1790" s="785" t="s">
        <v>2228</v>
      </c>
      <c r="D1790" s="783" t="s">
        <v>40</v>
      </c>
      <c r="E1790" s="799">
        <v>100</v>
      </c>
      <c r="F1790" s="783">
        <v>19</v>
      </c>
      <c r="G1790" s="786">
        <f t="shared" si="86"/>
        <v>1900</v>
      </c>
      <c r="H1790" s="785"/>
      <c r="I1790" s="785"/>
      <c r="J1790" s="785"/>
      <c r="K1790" s="785"/>
      <c r="L1790" s="783"/>
      <c r="M1790" s="783"/>
      <c r="N1790" s="783"/>
      <c r="O1790" s="783"/>
    </row>
    <row r="1791" spans="1:15" ht="15.75">
      <c r="A1791" s="783"/>
      <c r="B1791" s="800"/>
      <c r="C1791" s="785"/>
      <c r="D1791" s="783"/>
      <c r="E1791" s="799"/>
      <c r="F1791" s="783"/>
      <c r="G1791" s="783"/>
      <c r="H1791" s="785"/>
      <c r="I1791" s="785"/>
      <c r="J1791" s="785"/>
      <c r="K1791" s="801"/>
      <c r="L1791" s="798"/>
      <c r="M1791" s="798"/>
      <c r="N1791" s="783"/>
      <c r="O1791" s="783"/>
    </row>
    <row r="1792" spans="1:15" ht="31.5">
      <c r="A1792" s="783">
        <v>5</v>
      </c>
      <c r="B1792" s="802" t="s">
        <v>2229</v>
      </c>
      <c r="C1792" s="803" t="s">
        <v>2230</v>
      </c>
      <c r="D1792" s="783" t="s">
        <v>40</v>
      </c>
      <c r="E1792" s="804">
        <v>85261.75</v>
      </c>
      <c r="F1792" s="786">
        <f>12-1-2-1-2</f>
        <v>6</v>
      </c>
      <c r="G1792" s="786">
        <f t="shared" ref="G1792:G1802" si="87">E1792*F1792</f>
        <v>511570.5</v>
      </c>
      <c r="H1792" s="783"/>
      <c r="I1792" s="783"/>
      <c r="J1792" s="783"/>
      <c r="K1792" s="798"/>
      <c r="L1792" s="798"/>
      <c r="M1792" s="798"/>
      <c r="N1792" s="783"/>
      <c r="O1792" s="783"/>
    </row>
    <row r="1793" spans="1:15" ht="31.5">
      <c r="A1793" s="783"/>
      <c r="B1793" s="802" t="s">
        <v>2229</v>
      </c>
      <c r="C1793" s="803" t="s">
        <v>2230</v>
      </c>
      <c r="D1793" s="783" t="s">
        <v>40</v>
      </c>
      <c r="E1793" s="804">
        <v>100</v>
      </c>
      <c r="F1793" s="786"/>
      <c r="G1793" s="786"/>
      <c r="H1793" s="783"/>
      <c r="I1793" s="783"/>
      <c r="J1793" s="783"/>
      <c r="K1793" s="798"/>
      <c r="L1793" s="798">
        <v>4</v>
      </c>
      <c r="M1793" s="788">
        <f>E1793*L1793</f>
        <v>400</v>
      </c>
      <c r="N1793" s="783"/>
      <c r="O1793" s="783"/>
    </row>
    <row r="1794" spans="1:15" ht="31.5">
      <c r="A1794" s="783"/>
      <c r="B1794" s="802" t="s">
        <v>2229</v>
      </c>
      <c r="C1794" s="803" t="s">
        <v>2230</v>
      </c>
      <c r="D1794" s="783" t="s">
        <v>40</v>
      </c>
      <c r="E1794" s="804">
        <v>500</v>
      </c>
      <c r="F1794" s="786"/>
      <c r="G1794" s="786"/>
      <c r="H1794" s="783"/>
      <c r="I1794" s="783"/>
      <c r="J1794" s="783"/>
      <c r="K1794" s="798"/>
      <c r="L1794" s="798">
        <f>5+1+1+2+1+2+1+2</f>
        <v>15</v>
      </c>
      <c r="M1794" s="788">
        <f>E1794*L1794</f>
        <v>7500</v>
      </c>
      <c r="N1794" s="783"/>
      <c r="O1794" s="783"/>
    </row>
    <row r="1795" spans="1:15" ht="15.75">
      <c r="A1795" s="783"/>
      <c r="B1795" s="805"/>
      <c r="C1795" s="803"/>
      <c r="D1795" s="783"/>
      <c r="E1795" s="804"/>
      <c r="F1795" s="786"/>
      <c r="G1795" s="786"/>
      <c r="H1795" s="783"/>
      <c r="I1795" s="783"/>
      <c r="J1795" s="783"/>
      <c r="K1795" s="798"/>
      <c r="L1795" s="798"/>
      <c r="M1795" s="798"/>
      <c r="N1795" s="783"/>
      <c r="O1795" s="783"/>
    </row>
    <row r="1796" spans="1:15" ht="47.25">
      <c r="A1796" s="806">
        <v>12</v>
      </c>
      <c r="B1796" s="807" t="s">
        <v>687</v>
      </c>
      <c r="C1796" s="808" t="s">
        <v>2231</v>
      </c>
      <c r="D1796" s="786" t="s">
        <v>46</v>
      </c>
      <c r="E1796" s="804">
        <v>185.15991</v>
      </c>
      <c r="F1796" s="786">
        <f>891-326-240-200-15</f>
        <v>110</v>
      </c>
      <c r="G1796" s="809">
        <f t="shared" si="87"/>
        <v>20367.590100000001</v>
      </c>
      <c r="H1796" s="806"/>
      <c r="I1796" s="806"/>
      <c r="J1796" s="806"/>
      <c r="K1796" s="810"/>
      <c r="L1796" s="810"/>
      <c r="M1796" s="810"/>
      <c r="N1796" s="806"/>
      <c r="O1796" s="806"/>
    </row>
    <row r="1797" spans="1:15" ht="47.25">
      <c r="A1797" s="806">
        <v>17</v>
      </c>
      <c r="B1797" s="811" t="s">
        <v>1375</v>
      </c>
      <c r="C1797" s="812" t="s">
        <v>2232</v>
      </c>
      <c r="D1797" s="786" t="s">
        <v>46</v>
      </c>
      <c r="E1797" s="804">
        <v>146.91</v>
      </c>
      <c r="F1797" s="786">
        <v>290</v>
      </c>
      <c r="G1797" s="786">
        <f t="shared" si="87"/>
        <v>42603.9</v>
      </c>
      <c r="H1797" s="806"/>
      <c r="I1797" s="806"/>
      <c r="J1797" s="806"/>
      <c r="K1797" s="810"/>
      <c r="L1797" s="810"/>
      <c r="M1797" s="810"/>
      <c r="N1797" s="806"/>
      <c r="O1797" s="806"/>
    </row>
    <row r="1798" spans="1:15" ht="15.75">
      <c r="A1798" s="806">
        <v>43</v>
      </c>
      <c r="B1798" s="1186" t="s">
        <v>2233</v>
      </c>
      <c r="C1798" s="1175" t="s">
        <v>2234</v>
      </c>
      <c r="D1798" s="786" t="s">
        <v>46</v>
      </c>
      <c r="E1798" s="804">
        <v>219</v>
      </c>
      <c r="F1798" s="786">
        <f>1029-120-50-440-100-100</f>
        <v>219</v>
      </c>
      <c r="G1798" s="786">
        <f t="shared" si="87"/>
        <v>47961</v>
      </c>
      <c r="H1798" s="806"/>
      <c r="I1798" s="806"/>
      <c r="J1798" s="806"/>
      <c r="K1798" s="810"/>
      <c r="L1798" s="810"/>
      <c r="M1798" s="810"/>
      <c r="N1798" s="806"/>
      <c r="O1798" s="806"/>
    </row>
    <row r="1799" spans="1:15" ht="15.75">
      <c r="A1799" s="806"/>
      <c r="B1799" s="1187"/>
      <c r="C1799" s="1176"/>
      <c r="D1799" s="786" t="s">
        <v>46</v>
      </c>
      <c r="E1799" s="804">
        <v>186.08600000000001</v>
      </c>
      <c r="F1799" s="786">
        <f>600-300-80</f>
        <v>220</v>
      </c>
      <c r="G1799" s="786">
        <f t="shared" si="87"/>
        <v>40938.920000000006</v>
      </c>
      <c r="H1799" s="806"/>
      <c r="I1799" s="806"/>
      <c r="J1799" s="806"/>
      <c r="K1799" s="810"/>
      <c r="L1799" s="810"/>
      <c r="M1799" s="810"/>
      <c r="N1799" s="806"/>
      <c r="O1799" s="806"/>
    </row>
    <row r="1800" spans="1:15" ht="15.75">
      <c r="A1800" s="806"/>
      <c r="B1800" s="1187"/>
      <c r="C1800" s="1176"/>
      <c r="D1800" s="786" t="s">
        <v>46</v>
      </c>
      <c r="E1800" s="804">
        <v>153.00299999999999</v>
      </c>
      <c r="F1800" s="786">
        <v>1758</v>
      </c>
      <c r="G1800" s="786">
        <f t="shared" si="87"/>
        <v>268979.27399999998</v>
      </c>
      <c r="H1800" s="806"/>
      <c r="I1800" s="806"/>
      <c r="J1800" s="806"/>
      <c r="K1800" s="810"/>
      <c r="L1800" s="810"/>
      <c r="M1800" s="810"/>
      <c r="N1800" s="806"/>
      <c r="O1800" s="806"/>
    </row>
    <row r="1801" spans="1:15" ht="15.75">
      <c r="A1801" s="806"/>
      <c r="B1801" s="1188"/>
      <c r="C1801" s="1177"/>
      <c r="D1801" s="786" t="s">
        <v>46</v>
      </c>
      <c r="E1801" s="804">
        <v>333</v>
      </c>
      <c r="F1801" s="786">
        <v>700</v>
      </c>
      <c r="G1801" s="786">
        <f t="shared" si="87"/>
        <v>233100</v>
      </c>
      <c r="H1801" s="806"/>
      <c r="I1801" s="806"/>
      <c r="J1801" s="806"/>
      <c r="K1801" s="810"/>
      <c r="L1801" s="810"/>
      <c r="M1801" s="810"/>
      <c r="N1801" s="806"/>
      <c r="O1801" s="806"/>
    </row>
    <row r="1802" spans="1:15" ht="31.5">
      <c r="A1802" s="806">
        <v>83</v>
      </c>
      <c r="B1802" s="813" t="s">
        <v>2235</v>
      </c>
      <c r="C1802" s="812" t="s">
        <v>1311</v>
      </c>
      <c r="D1802" s="786" t="s">
        <v>46</v>
      </c>
      <c r="E1802" s="804">
        <v>235.75200000000001</v>
      </c>
      <c r="F1802" s="786">
        <v>555</v>
      </c>
      <c r="G1802" s="786">
        <f t="shared" si="87"/>
        <v>130842.36</v>
      </c>
      <c r="H1802" s="806"/>
      <c r="I1802" s="806"/>
      <c r="J1802" s="806"/>
      <c r="K1802" s="810"/>
      <c r="L1802" s="810"/>
      <c r="M1802" s="810"/>
      <c r="N1802" s="806"/>
      <c r="O1802" s="806"/>
    </row>
    <row r="1803" spans="1:15" ht="15.75">
      <c r="A1803" s="806"/>
      <c r="B1803" s="805"/>
      <c r="C1803" s="812"/>
      <c r="D1803" s="786"/>
      <c r="E1803" s="804"/>
      <c r="F1803" s="786"/>
      <c r="G1803" s="786"/>
      <c r="H1803" s="806"/>
      <c r="I1803" s="806"/>
      <c r="J1803" s="806"/>
      <c r="K1803" s="810"/>
      <c r="L1803" s="810"/>
      <c r="M1803" s="810"/>
      <c r="N1803" s="806"/>
      <c r="O1803" s="806"/>
    </row>
    <row r="1804" spans="1:15" ht="15.75">
      <c r="A1804" s="806">
        <v>229</v>
      </c>
      <c r="B1804" s="814" t="s">
        <v>2236</v>
      </c>
      <c r="C1804" s="815" t="s">
        <v>2237</v>
      </c>
      <c r="D1804" s="786" t="s">
        <v>4</v>
      </c>
      <c r="E1804" s="790">
        <v>61000</v>
      </c>
      <c r="F1804" s="786">
        <v>0.39900000000000002</v>
      </c>
      <c r="G1804" s="786">
        <f t="shared" ref="G1804:G1809" si="88">E1804*F1804</f>
        <v>24339</v>
      </c>
      <c r="H1804" s="786"/>
      <c r="I1804" s="786"/>
      <c r="J1804" s="786"/>
      <c r="K1804" s="788"/>
      <c r="L1804" s="788"/>
      <c r="M1804" s="788"/>
      <c r="N1804" s="786"/>
      <c r="O1804" s="786"/>
    </row>
    <row r="1805" spans="1:15" ht="15.75">
      <c r="A1805" s="806">
        <v>260</v>
      </c>
      <c r="B1805" s="814" t="s">
        <v>2238</v>
      </c>
      <c r="C1805" s="815" t="s">
        <v>2239</v>
      </c>
      <c r="D1805" s="786" t="s">
        <v>4</v>
      </c>
      <c r="E1805" s="790">
        <v>61000</v>
      </c>
      <c r="F1805" s="424"/>
      <c r="G1805" s="424"/>
      <c r="H1805" s="815"/>
      <c r="I1805" s="815"/>
      <c r="J1805" s="815"/>
      <c r="K1805" s="816"/>
      <c r="L1805" s="788">
        <f>10.34-7.34</f>
        <v>3</v>
      </c>
      <c r="M1805" s="788">
        <f>E1805*L1805</f>
        <v>183000</v>
      </c>
      <c r="N1805" s="786"/>
      <c r="O1805" s="786"/>
    </row>
    <row r="1806" spans="1:15" ht="15.75">
      <c r="A1806" s="806">
        <v>287</v>
      </c>
      <c r="B1806" s="814" t="s">
        <v>2240</v>
      </c>
      <c r="C1806" s="815" t="s">
        <v>2241</v>
      </c>
      <c r="D1806" s="786" t="s">
        <v>4</v>
      </c>
      <c r="E1806" s="790">
        <v>74000</v>
      </c>
      <c r="F1806" s="786">
        <f>1.05-0.41</f>
        <v>0.64000000000000012</v>
      </c>
      <c r="G1806" s="786">
        <f t="shared" si="88"/>
        <v>47360.000000000007</v>
      </c>
      <c r="H1806" s="786"/>
      <c r="I1806" s="786"/>
      <c r="J1806" s="786"/>
      <c r="K1806" s="788"/>
      <c r="L1806" s="788"/>
      <c r="M1806" s="788"/>
      <c r="N1806" s="786"/>
      <c r="O1806" s="786"/>
    </row>
    <row r="1807" spans="1:15" ht="15.75">
      <c r="A1807" s="806">
        <v>313</v>
      </c>
      <c r="B1807" s="814" t="s">
        <v>2242</v>
      </c>
      <c r="C1807" s="815" t="s">
        <v>2243</v>
      </c>
      <c r="D1807" s="786" t="s">
        <v>4</v>
      </c>
      <c r="E1807" s="790">
        <v>56996</v>
      </c>
      <c r="F1807" s="786">
        <v>5.1120000000000001</v>
      </c>
      <c r="G1807" s="786">
        <f t="shared" si="88"/>
        <v>291363.55200000003</v>
      </c>
      <c r="H1807" s="786"/>
      <c r="I1807" s="786"/>
      <c r="J1807" s="786"/>
      <c r="K1807" s="788"/>
      <c r="L1807" s="788"/>
      <c r="M1807" s="788"/>
      <c r="N1807" s="786"/>
      <c r="O1807" s="786"/>
    </row>
    <row r="1808" spans="1:15" ht="15.75">
      <c r="A1808" s="806">
        <v>314</v>
      </c>
      <c r="B1808" s="814" t="s">
        <v>2244</v>
      </c>
      <c r="C1808" s="815" t="s">
        <v>2245</v>
      </c>
      <c r="D1808" s="786" t="s">
        <v>4</v>
      </c>
      <c r="E1808" s="790">
        <v>53115</v>
      </c>
      <c r="F1808" s="786">
        <f>7.813+0.2-0.3</f>
        <v>7.7130000000000001</v>
      </c>
      <c r="G1808" s="786">
        <f t="shared" si="88"/>
        <v>409675.995</v>
      </c>
      <c r="H1808" s="786"/>
      <c r="I1808" s="786"/>
      <c r="J1808" s="786"/>
      <c r="K1808" s="788"/>
      <c r="L1808" s="788"/>
      <c r="M1808" s="788"/>
      <c r="N1808" s="786"/>
      <c r="O1808" s="786"/>
    </row>
    <row r="1809" spans="1:15" ht="15.75">
      <c r="A1809" s="1173">
        <v>327</v>
      </c>
      <c r="B1809" s="817" t="s">
        <v>2246</v>
      </c>
      <c r="C1809" s="1189" t="s">
        <v>2247</v>
      </c>
      <c r="D1809" s="806" t="s">
        <v>4</v>
      </c>
      <c r="E1809" s="818">
        <v>74000</v>
      </c>
      <c r="F1809" s="806">
        <v>0.78100000000000003</v>
      </c>
      <c r="G1809" s="786">
        <f t="shared" si="88"/>
        <v>57794</v>
      </c>
      <c r="H1809" s="806"/>
      <c r="I1809" s="806"/>
      <c r="J1809" s="806"/>
      <c r="K1809" s="806"/>
      <c r="L1809" s="806"/>
      <c r="M1809" s="806"/>
      <c r="N1809" s="806"/>
      <c r="O1809" s="806"/>
    </row>
    <row r="1810" spans="1:15" ht="15.75">
      <c r="A1810" s="1174"/>
      <c r="B1810" s="817" t="s">
        <v>2246</v>
      </c>
      <c r="C1810" s="1190"/>
      <c r="D1810" s="806" t="s">
        <v>195</v>
      </c>
      <c r="E1810" s="806">
        <v>20</v>
      </c>
      <c r="F1810" s="806"/>
      <c r="G1810" s="786"/>
      <c r="H1810" s="806"/>
      <c r="I1810" s="806"/>
      <c r="J1810" s="806"/>
      <c r="K1810" s="810"/>
      <c r="L1810" s="806">
        <v>805</v>
      </c>
      <c r="M1810" s="819">
        <f t="shared" ref="M1810:M1815" si="89">E1810*L1810</f>
        <v>16100</v>
      </c>
      <c r="N1810" s="806"/>
      <c r="O1810" s="806"/>
    </row>
    <row r="1811" spans="1:15" ht="15.75">
      <c r="A1811" s="806">
        <v>329</v>
      </c>
      <c r="B1811" s="814" t="s">
        <v>218</v>
      </c>
      <c r="C1811" s="1191" t="s">
        <v>785</v>
      </c>
      <c r="D1811" s="786" t="s">
        <v>4</v>
      </c>
      <c r="E1811" s="790">
        <v>28491.41</v>
      </c>
      <c r="F1811" s="786"/>
      <c r="G1811" s="809"/>
      <c r="H1811" s="786"/>
      <c r="I1811" s="786"/>
      <c r="J1811" s="786"/>
      <c r="K1811" s="788"/>
      <c r="L1811" s="786">
        <f>18.557-0.571-0.13-15.856-0.28</f>
        <v>1.7199999999999982</v>
      </c>
      <c r="M1811" s="819">
        <f t="shared" si="89"/>
        <v>49005.22519999995</v>
      </c>
      <c r="N1811" s="786"/>
      <c r="O1811" s="786"/>
    </row>
    <row r="1812" spans="1:15" ht="15.75">
      <c r="A1812" s="806"/>
      <c r="B1812" s="814" t="s">
        <v>218</v>
      </c>
      <c r="C1812" s="1191"/>
      <c r="D1812" s="786" t="s">
        <v>4</v>
      </c>
      <c r="E1812" s="790">
        <v>25000</v>
      </c>
      <c r="F1812" s="786"/>
      <c r="G1812" s="786"/>
      <c r="H1812" s="786"/>
      <c r="I1812" s="786"/>
      <c r="J1812" s="786"/>
      <c r="K1812" s="788"/>
      <c r="L1812" s="786">
        <f>0.6-0.2-0.15-0.25</f>
        <v>0</v>
      </c>
      <c r="M1812" s="819">
        <f t="shared" si="89"/>
        <v>0</v>
      </c>
      <c r="N1812" s="786"/>
      <c r="O1812" s="786"/>
    </row>
    <row r="1813" spans="1:15" ht="15.75">
      <c r="A1813" s="806"/>
      <c r="B1813" s="814" t="s">
        <v>218</v>
      </c>
      <c r="C1813" s="815" t="s">
        <v>2248</v>
      </c>
      <c r="D1813" s="786" t="s">
        <v>4</v>
      </c>
      <c r="E1813" s="790">
        <v>25000</v>
      </c>
      <c r="F1813" s="786"/>
      <c r="G1813" s="786"/>
      <c r="H1813" s="786"/>
      <c r="I1813" s="786"/>
      <c r="J1813" s="786"/>
      <c r="K1813" s="788"/>
      <c r="L1813" s="792">
        <f>13.5+27.89</f>
        <v>41.39</v>
      </c>
      <c r="M1813" s="819">
        <f t="shared" si="89"/>
        <v>1034750</v>
      </c>
      <c r="N1813" s="786"/>
      <c r="O1813" s="786"/>
    </row>
    <row r="1814" spans="1:15" ht="15.75">
      <c r="A1814" s="806"/>
      <c r="B1814" s="814" t="s">
        <v>218</v>
      </c>
      <c r="C1814" s="815" t="s">
        <v>2249</v>
      </c>
      <c r="D1814" s="786" t="s">
        <v>4</v>
      </c>
      <c r="E1814" s="790">
        <v>25000</v>
      </c>
      <c r="F1814" s="786"/>
      <c r="G1814" s="786"/>
      <c r="H1814" s="786"/>
      <c r="I1814" s="786"/>
      <c r="J1814" s="786"/>
      <c r="K1814" s="788"/>
      <c r="L1814" s="792">
        <v>18.920000000000002</v>
      </c>
      <c r="M1814" s="819">
        <f t="shared" si="89"/>
        <v>473000.00000000006</v>
      </c>
      <c r="N1814" s="786"/>
      <c r="O1814" s="786"/>
    </row>
    <row r="1815" spans="1:15" ht="15.75">
      <c r="A1815" s="806"/>
      <c r="B1815" s="820" t="s">
        <v>2250</v>
      </c>
      <c r="C1815" s="821" t="s">
        <v>2251</v>
      </c>
      <c r="D1815" s="786" t="s">
        <v>4</v>
      </c>
      <c r="E1815" s="790">
        <v>25000</v>
      </c>
      <c r="F1815" s="786"/>
      <c r="G1815" s="786"/>
      <c r="H1815" s="786"/>
      <c r="I1815" s="786"/>
      <c r="J1815" s="786"/>
      <c r="K1815" s="788"/>
      <c r="L1815" s="792">
        <v>20.73</v>
      </c>
      <c r="M1815" s="819">
        <f t="shared" si="89"/>
        <v>518250</v>
      </c>
      <c r="N1815" s="786"/>
      <c r="O1815" s="786"/>
    </row>
    <row r="1816" spans="1:15" ht="15.75">
      <c r="A1816" s="806"/>
      <c r="B1816" s="822"/>
      <c r="C1816" s="815" t="s">
        <v>2252</v>
      </c>
      <c r="D1816" s="806" t="s">
        <v>195</v>
      </c>
      <c r="E1816" s="806">
        <v>289.10000000000002</v>
      </c>
      <c r="F1816" s="806">
        <f>30-5</f>
        <v>25</v>
      </c>
      <c r="G1816" s="786">
        <f t="shared" ref="G1816:G1822" si="90">E1816*F1816</f>
        <v>7227.5000000000009</v>
      </c>
      <c r="H1816" s="806"/>
      <c r="I1816" s="806"/>
      <c r="J1816" s="806"/>
      <c r="K1816" s="806"/>
      <c r="L1816" s="806"/>
      <c r="M1816" s="806"/>
      <c r="N1816" s="806"/>
      <c r="O1816" s="806"/>
    </row>
    <row r="1817" spans="1:15" ht="15.75">
      <c r="A1817" s="806">
        <v>375</v>
      </c>
      <c r="B1817" s="822" t="s">
        <v>2253</v>
      </c>
      <c r="C1817" s="815" t="s">
        <v>2254</v>
      </c>
      <c r="D1817" s="806" t="s">
        <v>195</v>
      </c>
      <c r="E1817" s="806">
        <v>289.10000000000002</v>
      </c>
      <c r="F1817" s="806">
        <f>30-5</f>
        <v>25</v>
      </c>
      <c r="G1817" s="786">
        <f t="shared" si="90"/>
        <v>7227.5000000000009</v>
      </c>
      <c r="H1817" s="806"/>
      <c r="I1817" s="806"/>
      <c r="J1817" s="806"/>
      <c r="K1817" s="806"/>
      <c r="L1817" s="806"/>
      <c r="M1817" s="806"/>
      <c r="N1817" s="806"/>
      <c r="O1817" s="806"/>
    </row>
    <row r="1818" spans="1:15" ht="15.75">
      <c r="A1818" s="823"/>
      <c r="B1818" s="824"/>
      <c r="C1818" s="825" t="s">
        <v>2255</v>
      </c>
      <c r="D1818" s="806" t="s">
        <v>195</v>
      </c>
      <c r="E1818" s="806">
        <v>289.10000000000002</v>
      </c>
      <c r="F1818" s="806">
        <f>20-5</f>
        <v>15</v>
      </c>
      <c r="G1818" s="786">
        <f t="shared" si="90"/>
        <v>4336.5</v>
      </c>
      <c r="H1818" s="806"/>
      <c r="I1818" s="806"/>
      <c r="J1818" s="806"/>
      <c r="K1818" s="810"/>
      <c r="L1818" s="810"/>
      <c r="M1818" s="810"/>
      <c r="N1818" s="806"/>
      <c r="O1818" s="806"/>
    </row>
    <row r="1819" spans="1:15" ht="15.75">
      <c r="A1819" s="823">
        <v>385</v>
      </c>
      <c r="B1819" s="824" t="s">
        <v>2256</v>
      </c>
      <c r="C1819" s="826" t="s">
        <v>2257</v>
      </c>
      <c r="D1819" s="806" t="s">
        <v>195</v>
      </c>
      <c r="E1819" s="806">
        <v>289.10000000000002</v>
      </c>
      <c r="F1819" s="806">
        <f>20-5</f>
        <v>15</v>
      </c>
      <c r="G1819" s="786">
        <f t="shared" si="90"/>
        <v>4336.5</v>
      </c>
      <c r="H1819" s="806"/>
      <c r="I1819" s="806"/>
      <c r="J1819" s="806"/>
      <c r="K1819" s="810"/>
      <c r="L1819" s="810"/>
      <c r="M1819" s="810"/>
      <c r="N1819" s="806"/>
      <c r="O1819" s="806"/>
    </row>
    <row r="1820" spans="1:15" ht="31.5">
      <c r="A1820" s="806">
        <v>424</v>
      </c>
      <c r="B1820" s="814" t="s">
        <v>262</v>
      </c>
      <c r="C1820" s="812" t="s">
        <v>2258</v>
      </c>
      <c r="D1820" s="786" t="s">
        <v>40</v>
      </c>
      <c r="E1820" s="790">
        <v>10</v>
      </c>
      <c r="F1820" s="786">
        <f>615-300-100</f>
        <v>215</v>
      </c>
      <c r="G1820" s="786">
        <f t="shared" si="90"/>
        <v>2150</v>
      </c>
      <c r="H1820" s="786"/>
      <c r="I1820" s="786"/>
      <c r="J1820" s="786"/>
      <c r="K1820" s="788"/>
      <c r="L1820" s="788"/>
      <c r="M1820" s="788"/>
      <c r="N1820" s="786"/>
      <c r="O1820" s="786"/>
    </row>
    <row r="1821" spans="1:15" ht="15.75">
      <c r="A1821" s="806">
        <v>426</v>
      </c>
      <c r="B1821" s="814" t="s">
        <v>2259</v>
      </c>
      <c r="C1821" s="815" t="s">
        <v>2260</v>
      </c>
      <c r="D1821" s="786" t="s">
        <v>40</v>
      </c>
      <c r="E1821" s="790">
        <v>10</v>
      </c>
      <c r="F1821" s="786">
        <f>650-300-100</f>
        <v>250</v>
      </c>
      <c r="G1821" s="786">
        <f t="shared" si="90"/>
        <v>2500</v>
      </c>
      <c r="H1821" s="786"/>
      <c r="I1821" s="786"/>
      <c r="J1821" s="786"/>
      <c r="K1821" s="788"/>
      <c r="L1821" s="788"/>
      <c r="M1821" s="788"/>
      <c r="N1821" s="786"/>
      <c r="O1821" s="786"/>
    </row>
    <row r="1822" spans="1:15" ht="15.75">
      <c r="A1822" s="806">
        <v>581</v>
      </c>
      <c r="B1822" s="822" t="s">
        <v>2261</v>
      </c>
      <c r="C1822" s="815" t="s">
        <v>2262</v>
      </c>
      <c r="D1822" s="786" t="s">
        <v>37</v>
      </c>
      <c r="E1822" s="790">
        <v>0</v>
      </c>
      <c r="F1822" s="786">
        <v>0</v>
      </c>
      <c r="G1822" s="786">
        <f t="shared" si="90"/>
        <v>0</v>
      </c>
      <c r="H1822" s="786"/>
      <c r="I1822" s="786"/>
      <c r="J1822" s="786"/>
      <c r="K1822" s="788"/>
      <c r="L1822" s="788"/>
      <c r="M1822" s="788"/>
      <c r="N1822" s="786"/>
      <c r="O1822" s="786"/>
    </row>
    <row r="1823" spans="1:15" ht="15.75">
      <c r="A1823" s="806"/>
      <c r="B1823" s="814"/>
      <c r="C1823" s="815" t="s">
        <v>2263</v>
      </c>
      <c r="D1823" s="786" t="s">
        <v>4</v>
      </c>
      <c r="E1823" s="790">
        <v>10000</v>
      </c>
      <c r="F1823" s="786"/>
      <c r="G1823" s="786"/>
      <c r="H1823" s="786"/>
      <c r="I1823" s="786"/>
      <c r="J1823" s="786"/>
      <c r="K1823" s="786"/>
      <c r="L1823" s="786">
        <v>1.6</v>
      </c>
      <c r="M1823" s="819">
        <f>E1823*L1823</f>
        <v>16000</v>
      </c>
      <c r="N1823" s="786"/>
      <c r="O1823" s="786"/>
    </row>
    <row r="1824" spans="1:15" ht="15.75">
      <c r="A1824" s="806"/>
      <c r="B1824" s="800"/>
      <c r="C1824" s="815"/>
      <c r="D1824" s="786"/>
      <c r="E1824" s="790"/>
      <c r="F1824" s="786"/>
      <c r="G1824" s="786"/>
      <c r="H1824" s="786"/>
      <c r="I1824" s="786"/>
      <c r="J1824" s="786"/>
      <c r="K1824" s="786"/>
      <c r="L1824" s="786"/>
      <c r="M1824" s="786"/>
      <c r="N1824" s="786"/>
      <c r="O1824" s="786"/>
    </row>
    <row r="1825" spans="1:15" ht="49.5">
      <c r="A1825" s="827">
        <v>1</v>
      </c>
      <c r="B1825" s="828" t="s">
        <v>1682</v>
      </c>
      <c r="C1825" s="829" t="s">
        <v>2264</v>
      </c>
      <c r="D1825" s="830" t="s">
        <v>195</v>
      </c>
      <c r="E1825" s="790">
        <v>765.82</v>
      </c>
      <c r="F1825" s="827">
        <f>12-10-2</f>
        <v>0</v>
      </c>
      <c r="G1825" s="831">
        <f t="shared" ref="G1825:G1827" si="91">E1825*F1825</f>
        <v>0</v>
      </c>
      <c r="H1825" s="832"/>
      <c r="I1825" s="832"/>
      <c r="J1825" s="832"/>
      <c r="K1825" s="832"/>
      <c r="L1825" s="832"/>
      <c r="M1825" s="832"/>
      <c r="N1825" s="832"/>
      <c r="O1825" s="832"/>
    </row>
    <row r="1826" spans="1:15" ht="49.5">
      <c r="A1826" s="827">
        <v>3</v>
      </c>
      <c r="B1826" s="828" t="s">
        <v>1684</v>
      </c>
      <c r="C1826" s="829" t="s">
        <v>2265</v>
      </c>
      <c r="D1826" s="830" t="s">
        <v>40</v>
      </c>
      <c r="E1826" s="790">
        <v>824.82</v>
      </c>
      <c r="F1826" s="827">
        <f>14-10-2-2</f>
        <v>0</v>
      </c>
      <c r="G1826" s="831">
        <f t="shared" si="91"/>
        <v>0</v>
      </c>
      <c r="H1826" s="832"/>
      <c r="I1826" s="832"/>
      <c r="J1826" s="832"/>
      <c r="K1826" s="832"/>
      <c r="L1826" s="832"/>
      <c r="M1826" s="832"/>
      <c r="N1826" s="832"/>
      <c r="O1826" s="832"/>
    </row>
    <row r="1827" spans="1:15" ht="33">
      <c r="A1827" s="827">
        <v>7</v>
      </c>
      <c r="B1827" s="833" t="s">
        <v>2266</v>
      </c>
      <c r="C1827" s="829" t="s">
        <v>2267</v>
      </c>
      <c r="D1827" s="830" t="s">
        <v>195</v>
      </c>
      <c r="E1827" s="790">
        <v>2122.8200000000002</v>
      </c>
      <c r="F1827" s="827">
        <f>4-4</f>
        <v>0</v>
      </c>
      <c r="G1827" s="831">
        <f t="shared" si="91"/>
        <v>0</v>
      </c>
      <c r="H1827" s="832"/>
      <c r="I1827" s="832"/>
      <c r="J1827" s="832"/>
      <c r="K1827" s="832"/>
      <c r="L1827" s="832"/>
      <c r="M1827" s="832"/>
      <c r="N1827" s="832"/>
      <c r="O1827" s="832"/>
    </row>
    <row r="1828" spans="1:15" ht="15.75">
      <c r="A1828" s="806"/>
      <c r="B1828" s="834"/>
      <c r="C1828" s="812"/>
      <c r="D1828" s="835"/>
      <c r="E1828" s="790"/>
      <c r="F1828" s="424"/>
      <c r="G1828" s="424"/>
      <c r="H1828" s="424"/>
      <c r="I1828" s="424"/>
      <c r="J1828" s="424"/>
      <c r="K1828" s="424"/>
      <c r="L1828" s="424"/>
      <c r="M1828" s="424"/>
      <c r="N1828" s="424"/>
      <c r="O1828" s="424"/>
    </row>
    <row r="1829" spans="1:15" ht="31.5">
      <c r="A1829" s="786"/>
      <c r="B1829" s="836"/>
      <c r="C1829" s="837" t="s">
        <v>2268</v>
      </c>
      <c r="D1829" s="786" t="s">
        <v>40</v>
      </c>
      <c r="E1829" s="790">
        <v>70210</v>
      </c>
      <c r="F1829" s="786">
        <v>1</v>
      </c>
      <c r="G1829" s="786">
        <f t="shared" ref="G1829:G1831" si="92">E1829*F1829</f>
        <v>70210</v>
      </c>
      <c r="H1829" s="786"/>
      <c r="I1829" s="786"/>
      <c r="J1829" s="786"/>
      <c r="K1829" s="786"/>
      <c r="L1829" s="786"/>
      <c r="M1829" s="786"/>
      <c r="N1829" s="786"/>
      <c r="O1829" s="786"/>
    </row>
    <row r="1830" spans="1:15" ht="31.5">
      <c r="A1830" s="786"/>
      <c r="B1830" s="836"/>
      <c r="C1830" s="837" t="s">
        <v>2269</v>
      </c>
      <c r="D1830" s="786" t="s">
        <v>40</v>
      </c>
      <c r="E1830" s="790">
        <v>82364</v>
      </c>
      <c r="F1830" s="786">
        <v>2</v>
      </c>
      <c r="G1830" s="786">
        <f t="shared" si="92"/>
        <v>164728</v>
      </c>
      <c r="H1830" s="786"/>
      <c r="I1830" s="786"/>
      <c r="J1830" s="786"/>
      <c r="K1830" s="786"/>
      <c r="L1830" s="786"/>
      <c r="M1830" s="786"/>
      <c r="N1830" s="786"/>
      <c r="O1830" s="786"/>
    </row>
    <row r="1831" spans="1:15" ht="31.5">
      <c r="A1831" s="786"/>
      <c r="B1831" s="836"/>
      <c r="C1831" s="837" t="s">
        <v>2269</v>
      </c>
      <c r="D1831" s="786" t="s">
        <v>40</v>
      </c>
      <c r="E1831" s="790">
        <v>47200</v>
      </c>
      <c r="F1831" s="786">
        <f>4-1-1-1</f>
        <v>1</v>
      </c>
      <c r="G1831" s="786">
        <f t="shared" si="92"/>
        <v>47200</v>
      </c>
      <c r="H1831" s="786"/>
      <c r="I1831" s="786"/>
      <c r="J1831" s="786"/>
      <c r="K1831" s="788"/>
      <c r="L1831" s="788"/>
      <c r="M1831" s="788"/>
      <c r="N1831" s="786"/>
      <c r="O1831" s="786"/>
    </row>
    <row r="1832" spans="1:15" ht="31.5">
      <c r="A1832" s="786"/>
      <c r="B1832" s="838" t="s">
        <v>2270</v>
      </c>
      <c r="C1832" s="837" t="s">
        <v>2271</v>
      </c>
      <c r="D1832" s="786" t="s">
        <v>40</v>
      </c>
      <c r="E1832" s="790">
        <v>5000</v>
      </c>
      <c r="F1832" s="786"/>
      <c r="G1832" s="786"/>
      <c r="H1832" s="786"/>
      <c r="I1832" s="786"/>
      <c r="J1832" s="786"/>
      <c r="K1832" s="788"/>
      <c r="L1832" s="788">
        <v>1</v>
      </c>
      <c r="M1832" s="819">
        <f>E1832*L1832</f>
        <v>5000</v>
      </c>
      <c r="N1832" s="786"/>
      <c r="O1832" s="786"/>
    </row>
    <row r="1833" spans="1:15" ht="47.25">
      <c r="A1833" s="786">
        <v>10</v>
      </c>
      <c r="B1833" s="838" t="s">
        <v>2272</v>
      </c>
      <c r="C1833" s="837" t="s">
        <v>2273</v>
      </c>
      <c r="D1833" s="786" t="s">
        <v>37</v>
      </c>
      <c r="E1833" s="790">
        <v>101598</v>
      </c>
      <c r="F1833" s="786">
        <f>2-1</f>
        <v>1</v>
      </c>
      <c r="G1833" s="786">
        <f t="shared" ref="G1833:G1851" si="93">E1833*F1833</f>
        <v>101598</v>
      </c>
      <c r="H1833" s="786"/>
      <c r="I1833" s="786"/>
      <c r="J1833" s="786"/>
      <c r="K1833" s="788"/>
      <c r="L1833" s="788"/>
      <c r="M1833" s="788"/>
      <c r="N1833" s="786"/>
      <c r="O1833" s="786"/>
    </row>
    <row r="1834" spans="1:15" ht="31.5">
      <c r="A1834" s="786">
        <v>63</v>
      </c>
      <c r="B1834" s="838" t="s">
        <v>427</v>
      </c>
      <c r="C1834" s="837" t="s">
        <v>2274</v>
      </c>
      <c r="D1834" s="786" t="s">
        <v>40</v>
      </c>
      <c r="E1834" s="790">
        <v>8501</v>
      </c>
      <c r="F1834" s="786">
        <v>1</v>
      </c>
      <c r="G1834" s="786">
        <f t="shared" si="93"/>
        <v>8501</v>
      </c>
      <c r="H1834" s="786"/>
      <c r="I1834" s="786"/>
      <c r="J1834" s="786"/>
      <c r="K1834" s="788"/>
      <c r="L1834" s="788"/>
      <c r="M1834" s="788"/>
      <c r="N1834" s="786"/>
      <c r="O1834" s="786"/>
    </row>
    <row r="1835" spans="1:15" ht="31.5">
      <c r="A1835" s="786">
        <v>64</v>
      </c>
      <c r="B1835" s="838" t="s">
        <v>429</v>
      </c>
      <c r="C1835" s="837" t="s">
        <v>2275</v>
      </c>
      <c r="D1835" s="786" t="s">
        <v>40</v>
      </c>
      <c r="E1835" s="790">
        <v>8513</v>
      </c>
      <c r="F1835" s="786">
        <v>1</v>
      </c>
      <c r="G1835" s="786">
        <f t="shared" si="93"/>
        <v>8513</v>
      </c>
      <c r="H1835" s="786"/>
      <c r="I1835" s="786"/>
      <c r="J1835" s="786"/>
      <c r="K1835" s="788"/>
      <c r="L1835" s="788"/>
      <c r="M1835" s="788"/>
      <c r="N1835" s="786"/>
      <c r="O1835" s="786"/>
    </row>
    <row r="1836" spans="1:15" ht="31.5">
      <c r="A1836" s="793">
        <v>81</v>
      </c>
      <c r="B1836" s="839" t="s">
        <v>1755</v>
      </c>
      <c r="C1836" s="840" t="s">
        <v>2276</v>
      </c>
      <c r="D1836" s="786" t="s">
        <v>40</v>
      </c>
      <c r="E1836" s="790">
        <v>5422.1</v>
      </c>
      <c r="F1836" s="786">
        <f>16-11-1-1-1-2</f>
        <v>0</v>
      </c>
      <c r="G1836" s="786">
        <f t="shared" si="93"/>
        <v>0</v>
      </c>
      <c r="H1836" s="786"/>
      <c r="I1836" s="786"/>
      <c r="J1836" s="786"/>
      <c r="K1836" s="788"/>
      <c r="L1836" s="788"/>
      <c r="M1836" s="788"/>
      <c r="N1836" s="786"/>
      <c r="O1836" s="786"/>
    </row>
    <row r="1837" spans="1:15" ht="31.5">
      <c r="A1837" s="793">
        <v>90</v>
      </c>
      <c r="B1837" s="839" t="s">
        <v>475</v>
      </c>
      <c r="C1837" s="840" t="s">
        <v>2277</v>
      </c>
      <c r="D1837" s="786" t="s">
        <v>40</v>
      </c>
      <c r="E1837" s="790">
        <v>7074.1</v>
      </c>
      <c r="F1837" s="786">
        <f>7-5-1-1</f>
        <v>0</v>
      </c>
      <c r="G1837" s="786">
        <f t="shared" si="93"/>
        <v>0</v>
      </c>
      <c r="H1837" s="786"/>
      <c r="I1837" s="786"/>
      <c r="J1837" s="786"/>
      <c r="K1837" s="788"/>
      <c r="L1837" s="788"/>
      <c r="M1837" s="788"/>
      <c r="N1837" s="786"/>
      <c r="O1837" s="786"/>
    </row>
    <row r="1838" spans="1:15" ht="31.5">
      <c r="A1838" s="793"/>
      <c r="B1838" s="839"/>
      <c r="C1838" s="840" t="s">
        <v>2278</v>
      </c>
      <c r="D1838" s="786" t="s">
        <v>40</v>
      </c>
      <c r="E1838" s="790">
        <v>7664.1</v>
      </c>
      <c r="F1838" s="786">
        <v>6</v>
      </c>
      <c r="G1838" s="786">
        <f t="shared" si="93"/>
        <v>45984.600000000006</v>
      </c>
      <c r="H1838" s="786"/>
      <c r="I1838" s="786"/>
      <c r="J1838" s="786"/>
      <c r="K1838" s="788"/>
      <c r="L1838" s="788"/>
      <c r="M1838" s="788"/>
      <c r="N1838" s="786"/>
      <c r="O1838" s="786"/>
    </row>
    <row r="1839" spans="1:15" ht="31.5">
      <c r="A1839" s="793"/>
      <c r="B1839" s="839"/>
      <c r="C1839" s="840" t="s">
        <v>2279</v>
      </c>
      <c r="D1839" s="786" t="s">
        <v>40</v>
      </c>
      <c r="E1839" s="790">
        <v>10024.1</v>
      </c>
      <c r="F1839" s="786">
        <v>4</v>
      </c>
      <c r="G1839" s="786">
        <f t="shared" si="93"/>
        <v>40096.400000000001</v>
      </c>
      <c r="H1839" s="786"/>
      <c r="I1839" s="786"/>
      <c r="J1839" s="786"/>
      <c r="K1839" s="788"/>
      <c r="L1839" s="788"/>
      <c r="M1839" s="788"/>
      <c r="N1839" s="786"/>
      <c r="O1839" s="786"/>
    </row>
    <row r="1840" spans="1:15" ht="47.25">
      <c r="A1840" s="786">
        <v>101</v>
      </c>
      <c r="B1840" s="838" t="s">
        <v>2280</v>
      </c>
      <c r="C1840" s="841" t="s">
        <v>2281</v>
      </c>
      <c r="D1840" s="786" t="s">
        <v>40</v>
      </c>
      <c r="E1840" s="790">
        <v>3534.1</v>
      </c>
      <c r="F1840" s="786">
        <f>4-1-1</f>
        <v>2</v>
      </c>
      <c r="G1840" s="786">
        <f t="shared" si="93"/>
        <v>7068.2</v>
      </c>
      <c r="H1840" s="786"/>
      <c r="I1840" s="786"/>
      <c r="J1840" s="786"/>
      <c r="K1840" s="788"/>
      <c r="L1840" s="788"/>
      <c r="M1840" s="788"/>
      <c r="N1840" s="786"/>
      <c r="O1840" s="786"/>
    </row>
    <row r="1841" spans="1:15" ht="47.25">
      <c r="A1841" s="786">
        <v>102</v>
      </c>
      <c r="B1841" s="838" t="s">
        <v>1911</v>
      </c>
      <c r="C1841" s="841" t="s">
        <v>2282</v>
      </c>
      <c r="D1841" s="786" t="s">
        <v>40</v>
      </c>
      <c r="E1841" s="790">
        <v>2904</v>
      </c>
      <c r="F1841" s="786">
        <v>10</v>
      </c>
      <c r="G1841" s="786">
        <f t="shared" si="93"/>
        <v>29040</v>
      </c>
      <c r="H1841" s="786"/>
      <c r="I1841" s="786"/>
      <c r="J1841" s="786"/>
      <c r="K1841" s="788"/>
      <c r="L1841" s="788"/>
      <c r="M1841" s="788"/>
      <c r="N1841" s="786"/>
      <c r="O1841" s="786"/>
    </row>
    <row r="1842" spans="1:15" ht="31.5">
      <c r="A1842" s="793">
        <v>106</v>
      </c>
      <c r="B1842" s="839" t="s">
        <v>2283</v>
      </c>
      <c r="C1842" s="840" t="s">
        <v>2284</v>
      </c>
      <c r="D1842" s="786" t="s">
        <v>40</v>
      </c>
      <c r="E1842" s="790">
        <v>2944.1</v>
      </c>
      <c r="F1842" s="786">
        <f>10</f>
        <v>10</v>
      </c>
      <c r="G1842" s="786">
        <f t="shared" si="93"/>
        <v>29441</v>
      </c>
      <c r="H1842" s="786"/>
      <c r="I1842" s="786"/>
      <c r="J1842" s="786"/>
      <c r="K1842" s="788"/>
      <c r="L1842" s="788"/>
      <c r="M1842" s="788"/>
      <c r="N1842" s="786"/>
      <c r="O1842" s="786"/>
    </row>
    <row r="1843" spans="1:15" ht="31.5">
      <c r="A1843" s="842">
        <v>107</v>
      </c>
      <c r="B1843" s="843" t="s">
        <v>2285</v>
      </c>
      <c r="C1843" s="844" t="s">
        <v>2286</v>
      </c>
      <c r="D1843" s="786" t="s">
        <v>40</v>
      </c>
      <c r="E1843" s="790">
        <v>1115.0999999999999</v>
      </c>
      <c r="F1843" s="786">
        <f>20-4-3-2-2</f>
        <v>9</v>
      </c>
      <c r="G1843" s="786">
        <f t="shared" si="93"/>
        <v>10035.9</v>
      </c>
      <c r="H1843" s="786"/>
      <c r="I1843" s="786"/>
      <c r="J1843" s="786"/>
      <c r="K1843" s="788"/>
      <c r="L1843" s="788"/>
      <c r="M1843" s="788"/>
      <c r="N1843" s="786"/>
      <c r="O1843" s="786"/>
    </row>
    <row r="1844" spans="1:15" ht="47.25">
      <c r="A1844" s="845"/>
      <c r="B1844" s="838" t="s">
        <v>427</v>
      </c>
      <c r="C1844" s="837" t="s">
        <v>2287</v>
      </c>
      <c r="D1844" s="786" t="s">
        <v>40</v>
      </c>
      <c r="E1844" s="790">
        <v>29323</v>
      </c>
      <c r="F1844" s="786">
        <v>2</v>
      </c>
      <c r="G1844" s="786">
        <f t="shared" si="93"/>
        <v>58646</v>
      </c>
      <c r="H1844" s="786"/>
      <c r="I1844" s="786"/>
      <c r="J1844" s="786"/>
      <c r="K1844" s="788"/>
      <c r="L1844" s="788"/>
      <c r="M1844" s="788"/>
      <c r="N1844" s="786"/>
      <c r="O1844" s="786"/>
    </row>
    <row r="1845" spans="1:15" ht="47.25">
      <c r="A1845" s="845"/>
      <c r="B1845" s="838" t="s">
        <v>429</v>
      </c>
      <c r="C1845" s="837" t="s">
        <v>2288</v>
      </c>
      <c r="D1845" s="786" t="s">
        <v>40</v>
      </c>
      <c r="E1845" s="790">
        <v>29323</v>
      </c>
      <c r="F1845" s="786">
        <v>2</v>
      </c>
      <c r="G1845" s="786">
        <f t="shared" si="93"/>
        <v>58646</v>
      </c>
      <c r="H1845" s="786"/>
      <c r="I1845" s="786"/>
      <c r="J1845" s="786"/>
      <c r="K1845" s="788"/>
      <c r="L1845" s="788"/>
      <c r="M1845" s="788"/>
      <c r="N1845" s="786"/>
      <c r="O1845" s="786"/>
    </row>
    <row r="1846" spans="1:15" ht="31.5">
      <c r="A1846" s="845"/>
      <c r="B1846" s="846"/>
      <c r="C1846" s="837" t="s">
        <v>2289</v>
      </c>
      <c r="D1846" s="786" t="s">
        <v>40</v>
      </c>
      <c r="E1846" s="786">
        <v>2938.2</v>
      </c>
      <c r="F1846" s="786">
        <f>12-10</f>
        <v>2</v>
      </c>
      <c r="G1846" s="786">
        <f t="shared" si="93"/>
        <v>5876.4</v>
      </c>
      <c r="H1846" s="786"/>
      <c r="I1846" s="786"/>
      <c r="J1846" s="786"/>
      <c r="K1846" s="788"/>
      <c r="L1846" s="788"/>
      <c r="M1846" s="788"/>
      <c r="N1846" s="786"/>
      <c r="O1846" s="786"/>
    </row>
    <row r="1847" spans="1:15" ht="31.5">
      <c r="A1847" s="845"/>
      <c r="B1847" s="846"/>
      <c r="C1847" s="837" t="s">
        <v>2290</v>
      </c>
      <c r="D1847" s="786" t="s">
        <v>40</v>
      </c>
      <c r="E1847" s="809">
        <v>2944.1</v>
      </c>
      <c r="F1847" s="786">
        <v>4</v>
      </c>
      <c r="G1847" s="786">
        <f t="shared" si="93"/>
        <v>11776.4</v>
      </c>
      <c r="H1847" s="786"/>
      <c r="I1847" s="786"/>
      <c r="J1847" s="786"/>
      <c r="K1847" s="788"/>
      <c r="L1847" s="788"/>
      <c r="M1847" s="788"/>
      <c r="N1847" s="786"/>
      <c r="O1847" s="786"/>
    </row>
    <row r="1848" spans="1:15" ht="31.5">
      <c r="A1848" s="845"/>
      <c r="B1848" s="846"/>
      <c r="C1848" s="841" t="s">
        <v>2291</v>
      </c>
      <c r="D1848" s="786" t="s">
        <v>40</v>
      </c>
      <c r="E1848" s="847">
        <v>11204.1</v>
      </c>
      <c r="F1848" s="424">
        <f>4-3+4</f>
        <v>5</v>
      </c>
      <c r="G1848" s="786">
        <f t="shared" si="93"/>
        <v>56020.5</v>
      </c>
      <c r="H1848" s="848"/>
      <c r="I1848" s="848"/>
      <c r="J1848" s="848"/>
      <c r="K1848" s="849"/>
      <c r="L1848" s="849"/>
      <c r="M1848" s="849"/>
      <c r="N1848" s="848"/>
      <c r="O1848" s="848"/>
    </row>
    <row r="1849" spans="1:15" ht="31.5">
      <c r="A1849" s="845"/>
      <c r="B1849" s="846"/>
      <c r="C1849" s="837" t="s">
        <v>2292</v>
      </c>
      <c r="D1849" s="786" t="s">
        <v>40</v>
      </c>
      <c r="E1849" s="847">
        <v>9434.1</v>
      </c>
      <c r="F1849" s="424">
        <v>6</v>
      </c>
      <c r="G1849" s="786">
        <f t="shared" si="93"/>
        <v>56604.600000000006</v>
      </c>
      <c r="H1849" s="848"/>
      <c r="I1849" s="848"/>
      <c r="J1849" s="848"/>
      <c r="K1849" s="849"/>
      <c r="L1849" s="849"/>
      <c r="M1849" s="849"/>
      <c r="N1849" s="848"/>
      <c r="O1849" s="848"/>
    </row>
    <row r="1850" spans="1:15" ht="31.5">
      <c r="A1850" s="845"/>
      <c r="B1850" s="846"/>
      <c r="C1850" s="837" t="s">
        <v>2293</v>
      </c>
      <c r="D1850" s="786" t="s">
        <v>40</v>
      </c>
      <c r="E1850" s="847">
        <v>2944.1</v>
      </c>
      <c r="F1850" s="424">
        <f>10-2-1</f>
        <v>7</v>
      </c>
      <c r="G1850" s="786">
        <f t="shared" si="93"/>
        <v>20608.7</v>
      </c>
      <c r="H1850" s="848"/>
      <c r="I1850" s="848"/>
      <c r="J1850" s="848"/>
      <c r="K1850" s="848"/>
      <c r="L1850" s="848"/>
      <c r="M1850" s="848"/>
      <c r="N1850" s="848"/>
      <c r="O1850" s="848"/>
    </row>
    <row r="1851" spans="1:15" ht="31.5">
      <c r="A1851" s="845"/>
      <c r="B1851" s="846"/>
      <c r="C1851" s="837" t="s">
        <v>2294</v>
      </c>
      <c r="D1851" s="786" t="s">
        <v>40</v>
      </c>
      <c r="E1851" s="847">
        <v>2944.1</v>
      </c>
      <c r="F1851" s="424">
        <v>6</v>
      </c>
      <c r="G1851" s="786">
        <f t="shared" si="93"/>
        <v>17664.599999999999</v>
      </c>
      <c r="H1851" s="848"/>
      <c r="I1851" s="848"/>
      <c r="J1851" s="848"/>
      <c r="K1851" s="848"/>
      <c r="L1851" s="848"/>
      <c r="M1851" s="848"/>
      <c r="N1851" s="848"/>
      <c r="O1851" s="848"/>
    </row>
    <row r="1852" spans="1:15" ht="47.25">
      <c r="A1852" s="845"/>
      <c r="B1852" s="846"/>
      <c r="C1852" s="837" t="s">
        <v>2295</v>
      </c>
      <c r="D1852" s="786" t="s">
        <v>195</v>
      </c>
      <c r="E1852" s="847">
        <v>50</v>
      </c>
      <c r="F1852" s="424"/>
      <c r="G1852" s="786"/>
      <c r="H1852" s="848"/>
      <c r="I1852" s="848"/>
      <c r="J1852" s="848"/>
      <c r="K1852" s="849"/>
      <c r="L1852" s="849">
        <f>80+5</f>
        <v>85</v>
      </c>
      <c r="M1852" s="819">
        <f t="shared" ref="M1852:M1855" si="94">E1852*L1852</f>
        <v>4250</v>
      </c>
      <c r="N1852" s="848"/>
      <c r="O1852" s="848"/>
    </row>
    <row r="1853" spans="1:15" ht="31.5">
      <c r="A1853" s="845"/>
      <c r="B1853" s="846"/>
      <c r="C1853" s="837" t="s">
        <v>2296</v>
      </c>
      <c r="D1853" s="786" t="s">
        <v>195</v>
      </c>
      <c r="E1853" s="847">
        <v>50</v>
      </c>
      <c r="F1853" s="424"/>
      <c r="G1853" s="786"/>
      <c r="H1853" s="848"/>
      <c r="I1853" s="848"/>
      <c r="J1853" s="848"/>
      <c r="K1853" s="849"/>
      <c r="L1853" s="849">
        <v>70</v>
      </c>
      <c r="M1853" s="819">
        <f t="shared" si="94"/>
        <v>3500</v>
      </c>
      <c r="N1853" s="848"/>
      <c r="O1853" s="848"/>
    </row>
    <row r="1854" spans="1:15" ht="31.5">
      <c r="A1854" s="845"/>
      <c r="B1854" s="846"/>
      <c r="C1854" s="837" t="s">
        <v>2297</v>
      </c>
      <c r="D1854" s="786" t="s">
        <v>195</v>
      </c>
      <c r="E1854" s="847">
        <v>200</v>
      </c>
      <c r="F1854" s="424"/>
      <c r="G1854" s="786"/>
      <c r="H1854" s="848"/>
      <c r="I1854" s="848"/>
      <c r="J1854" s="848"/>
      <c r="K1854" s="849"/>
      <c r="L1854" s="849">
        <f>22+115</f>
        <v>137</v>
      </c>
      <c r="M1854" s="819">
        <f t="shared" si="94"/>
        <v>27400</v>
      </c>
      <c r="N1854" s="848"/>
      <c r="O1854" s="848"/>
    </row>
    <row r="1855" spans="1:15" ht="31.5">
      <c r="A1855" s="845"/>
      <c r="B1855" s="846"/>
      <c r="C1855" s="837" t="s">
        <v>2298</v>
      </c>
      <c r="D1855" s="786" t="s">
        <v>195</v>
      </c>
      <c r="E1855" s="847">
        <v>200</v>
      </c>
      <c r="F1855" s="424"/>
      <c r="G1855" s="786"/>
      <c r="H1855" s="848"/>
      <c r="I1855" s="848"/>
      <c r="J1855" s="848"/>
      <c r="K1855" s="849"/>
      <c r="L1855" s="849">
        <v>18</v>
      </c>
      <c r="M1855" s="819">
        <f t="shared" si="94"/>
        <v>3600</v>
      </c>
      <c r="N1855" s="848"/>
      <c r="O1855" s="848"/>
    </row>
    <row r="1856" spans="1:15" ht="15.75">
      <c r="A1856" s="845"/>
      <c r="B1856" s="850"/>
      <c r="C1856" s="837"/>
      <c r="D1856" s="786"/>
      <c r="E1856" s="847"/>
      <c r="F1856" s="424"/>
      <c r="G1856" s="424"/>
      <c r="H1856" s="848"/>
      <c r="I1856" s="848"/>
      <c r="J1856" s="848"/>
      <c r="K1856" s="849"/>
      <c r="L1856" s="849"/>
      <c r="M1856" s="849"/>
      <c r="N1856" s="848"/>
      <c r="O1856" s="848"/>
    </row>
    <row r="1857" spans="1:15" ht="31.5">
      <c r="A1857" s="786">
        <v>1</v>
      </c>
      <c r="B1857" s="851" t="s">
        <v>160</v>
      </c>
      <c r="C1857" s="837" t="s">
        <v>2299</v>
      </c>
      <c r="D1857" s="786" t="s">
        <v>40</v>
      </c>
      <c r="E1857" s="790">
        <v>250</v>
      </c>
      <c r="F1857" s="786">
        <v>15</v>
      </c>
      <c r="G1857" s="786">
        <f t="shared" ref="G1857:G1860" si="95">E1857*F1857</f>
        <v>3750</v>
      </c>
      <c r="H1857" s="786"/>
      <c r="I1857" s="786"/>
      <c r="J1857" s="786"/>
      <c r="K1857" s="788"/>
      <c r="L1857" s="788"/>
      <c r="M1857" s="788"/>
      <c r="N1857" s="786"/>
      <c r="O1857" s="786"/>
    </row>
    <row r="1858" spans="1:15" ht="31.5">
      <c r="A1858" s="786">
        <v>3</v>
      </c>
      <c r="B1858" s="851" t="s">
        <v>390</v>
      </c>
      <c r="C1858" s="837" t="s">
        <v>2300</v>
      </c>
      <c r="D1858" s="786" t="s">
        <v>40</v>
      </c>
      <c r="E1858" s="790">
        <v>120</v>
      </c>
      <c r="F1858" s="786">
        <f>1060-152-9-350-12</f>
        <v>537</v>
      </c>
      <c r="G1858" s="786">
        <f t="shared" si="95"/>
        <v>64440</v>
      </c>
      <c r="H1858" s="786"/>
      <c r="I1858" s="786"/>
      <c r="J1858" s="786"/>
      <c r="K1858" s="788"/>
      <c r="L1858" s="788"/>
      <c r="M1858" s="788"/>
      <c r="N1858" s="786"/>
      <c r="O1858" s="786"/>
    </row>
    <row r="1859" spans="1:15" ht="15.75">
      <c r="A1859" s="786">
        <v>7</v>
      </c>
      <c r="B1859" s="851" t="s">
        <v>226</v>
      </c>
      <c r="C1859" s="1182" t="s">
        <v>2301</v>
      </c>
      <c r="D1859" s="786" t="s">
        <v>40</v>
      </c>
      <c r="E1859" s="790">
        <v>0</v>
      </c>
      <c r="F1859" s="786">
        <v>0</v>
      </c>
      <c r="G1859" s="786">
        <f t="shared" si="95"/>
        <v>0</v>
      </c>
      <c r="H1859" s="786"/>
      <c r="I1859" s="786"/>
      <c r="J1859" s="786"/>
      <c r="K1859" s="788"/>
      <c r="L1859" s="788"/>
      <c r="M1859" s="788"/>
      <c r="N1859" s="786"/>
      <c r="O1859" s="786"/>
    </row>
    <row r="1860" spans="1:15" ht="15.75">
      <c r="A1860" s="786"/>
      <c r="B1860" s="852"/>
      <c r="C1860" s="1182"/>
      <c r="D1860" s="786" t="s">
        <v>40</v>
      </c>
      <c r="E1860" s="790">
        <v>100</v>
      </c>
      <c r="F1860" s="786">
        <f>401+38-9</f>
        <v>430</v>
      </c>
      <c r="G1860" s="786">
        <f t="shared" si="95"/>
        <v>43000</v>
      </c>
      <c r="H1860" s="786"/>
      <c r="I1860" s="786"/>
      <c r="J1860" s="786"/>
      <c r="K1860" s="788"/>
      <c r="L1860" s="788"/>
      <c r="M1860" s="788"/>
      <c r="N1860" s="786"/>
      <c r="O1860" s="786"/>
    </row>
    <row r="1861" spans="1:15" ht="31.5">
      <c r="A1861" s="786"/>
      <c r="B1861" s="851" t="s">
        <v>160</v>
      </c>
      <c r="C1861" s="841" t="s">
        <v>2302</v>
      </c>
      <c r="D1861" s="786" t="s">
        <v>40</v>
      </c>
      <c r="E1861" s="790">
        <v>10</v>
      </c>
      <c r="F1861" s="786"/>
      <c r="G1861" s="786"/>
      <c r="H1861" s="786"/>
      <c r="I1861" s="786"/>
      <c r="J1861" s="786"/>
      <c r="K1861" s="788"/>
      <c r="L1861" s="792">
        <v>817</v>
      </c>
      <c r="M1861" s="819">
        <f>E1861*L1861</f>
        <v>8170</v>
      </c>
      <c r="N1861" s="786"/>
      <c r="O1861" s="786"/>
    </row>
    <row r="1862" spans="1:15" ht="31.5">
      <c r="A1862" s="786"/>
      <c r="B1862" s="851" t="s">
        <v>390</v>
      </c>
      <c r="C1862" s="841" t="s">
        <v>2303</v>
      </c>
      <c r="D1862" s="786" t="s">
        <v>40</v>
      </c>
      <c r="E1862" s="790">
        <v>10</v>
      </c>
      <c r="F1862" s="786"/>
      <c r="G1862" s="786"/>
      <c r="H1862" s="786"/>
      <c r="I1862" s="786"/>
      <c r="J1862" s="786"/>
      <c r="K1862" s="788"/>
      <c r="L1862" s="792">
        <v>420</v>
      </c>
      <c r="M1862" s="819">
        <f>E1862*L1862</f>
        <v>4200</v>
      </c>
      <c r="N1862" s="786"/>
      <c r="O1862" s="786"/>
    </row>
    <row r="1863" spans="1:15" ht="31.5">
      <c r="A1863" s="786"/>
      <c r="B1863" s="851" t="s">
        <v>2304</v>
      </c>
      <c r="C1863" s="841" t="s">
        <v>2305</v>
      </c>
      <c r="D1863" s="786" t="s">
        <v>37</v>
      </c>
      <c r="E1863" s="790">
        <v>7316</v>
      </c>
      <c r="F1863" s="786">
        <v>4</v>
      </c>
      <c r="G1863" s="786">
        <f t="shared" ref="G1863:G1907" si="96">E1863*F1863</f>
        <v>29264</v>
      </c>
      <c r="H1863" s="786"/>
      <c r="I1863" s="786"/>
      <c r="J1863" s="786"/>
      <c r="K1863" s="788"/>
      <c r="L1863" s="788"/>
      <c r="M1863" s="788"/>
      <c r="N1863" s="786"/>
      <c r="O1863" s="786"/>
    </row>
    <row r="1864" spans="1:15" ht="31.5">
      <c r="A1864" s="806">
        <v>15</v>
      </c>
      <c r="B1864" s="851" t="s">
        <v>2306</v>
      </c>
      <c r="C1864" s="812" t="s">
        <v>2307</v>
      </c>
      <c r="D1864" s="806" t="s">
        <v>40</v>
      </c>
      <c r="E1864" s="806">
        <v>1078.25</v>
      </c>
      <c r="F1864" s="806">
        <v>4</v>
      </c>
      <c r="G1864" s="786">
        <f t="shared" si="96"/>
        <v>4313</v>
      </c>
      <c r="H1864" s="806"/>
      <c r="I1864" s="806"/>
      <c r="J1864" s="806"/>
      <c r="K1864" s="806"/>
      <c r="L1864" s="806"/>
      <c r="M1864" s="806"/>
      <c r="N1864" s="806"/>
      <c r="O1864" s="806"/>
    </row>
    <row r="1865" spans="1:15" ht="31.5">
      <c r="A1865" s="786">
        <v>48</v>
      </c>
      <c r="B1865" s="853" t="s">
        <v>435</v>
      </c>
      <c r="C1865" s="837" t="s">
        <v>2308</v>
      </c>
      <c r="D1865" s="786" t="s">
        <v>40</v>
      </c>
      <c r="E1865" s="790">
        <v>3652.12</v>
      </c>
      <c r="F1865" s="786">
        <f>8-2-1-3-2</f>
        <v>0</v>
      </c>
      <c r="G1865" s="786">
        <f t="shared" si="96"/>
        <v>0</v>
      </c>
      <c r="H1865" s="786"/>
      <c r="I1865" s="786"/>
      <c r="J1865" s="786"/>
      <c r="K1865" s="788"/>
      <c r="L1865" s="788"/>
      <c r="M1865" s="788"/>
      <c r="N1865" s="786"/>
      <c r="O1865" s="786"/>
    </row>
    <row r="1866" spans="1:15" ht="31.5">
      <c r="A1866" s="786"/>
      <c r="B1866" s="853" t="s">
        <v>435</v>
      </c>
      <c r="C1866" s="837" t="s">
        <v>2308</v>
      </c>
      <c r="D1866" s="786" t="s">
        <v>40</v>
      </c>
      <c r="E1866" s="790">
        <v>3030.43</v>
      </c>
      <c r="F1866" s="786">
        <v>16</v>
      </c>
      <c r="G1866" s="786">
        <f t="shared" si="96"/>
        <v>48486.879999999997</v>
      </c>
      <c r="H1866" s="786"/>
      <c r="I1866" s="786"/>
      <c r="J1866" s="786"/>
      <c r="K1866" s="788"/>
      <c r="L1866" s="788"/>
      <c r="M1866" s="788"/>
      <c r="N1866" s="786"/>
      <c r="O1866" s="786"/>
    </row>
    <row r="1867" spans="1:15" ht="15.75">
      <c r="A1867" s="1169">
        <v>56</v>
      </c>
      <c r="B1867" s="1183" t="s">
        <v>376</v>
      </c>
      <c r="C1867" s="1171" t="s">
        <v>2309</v>
      </c>
      <c r="D1867" s="786" t="s">
        <v>40</v>
      </c>
      <c r="E1867" s="790">
        <v>2933.64</v>
      </c>
      <c r="F1867" s="786">
        <v>11</v>
      </c>
      <c r="G1867" s="786">
        <f t="shared" si="96"/>
        <v>32270.039999999997</v>
      </c>
      <c r="H1867" s="786"/>
      <c r="I1867" s="786"/>
      <c r="J1867" s="786"/>
      <c r="K1867" s="788"/>
      <c r="L1867" s="788"/>
      <c r="M1867" s="788"/>
      <c r="N1867" s="786"/>
      <c r="O1867" s="786"/>
    </row>
    <row r="1868" spans="1:15" ht="15.75">
      <c r="A1868" s="1178"/>
      <c r="B1868" s="1185"/>
      <c r="C1868" s="1181"/>
      <c r="D1868" s="786" t="s">
        <v>40</v>
      </c>
      <c r="E1868" s="790">
        <v>2938.2</v>
      </c>
      <c r="F1868" s="786">
        <f>10-6-4</f>
        <v>0</v>
      </c>
      <c r="G1868" s="786">
        <f t="shared" si="96"/>
        <v>0</v>
      </c>
      <c r="H1868" s="786"/>
      <c r="I1868" s="786"/>
      <c r="J1868" s="786"/>
      <c r="K1868" s="788"/>
      <c r="L1868" s="788"/>
      <c r="M1868" s="788"/>
      <c r="N1868" s="786"/>
      <c r="O1868" s="786"/>
    </row>
    <row r="1869" spans="1:15" ht="31.5">
      <c r="A1869" s="786">
        <v>57</v>
      </c>
      <c r="B1869" s="853" t="s">
        <v>417</v>
      </c>
      <c r="C1869" s="837" t="s">
        <v>2310</v>
      </c>
      <c r="D1869" s="786" t="s">
        <v>40</v>
      </c>
      <c r="E1869" s="790">
        <v>2175.5</v>
      </c>
      <c r="F1869" s="786">
        <f>34-17</f>
        <v>17</v>
      </c>
      <c r="G1869" s="786">
        <f t="shared" si="96"/>
        <v>36983.5</v>
      </c>
      <c r="H1869" s="786"/>
      <c r="I1869" s="786"/>
      <c r="J1869" s="786"/>
      <c r="K1869" s="788"/>
      <c r="L1869" s="788"/>
      <c r="M1869" s="788"/>
      <c r="N1869" s="786"/>
      <c r="O1869" s="786"/>
    </row>
    <row r="1870" spans="1:15" ht="31.5">
      <c r="A1870" s="786">
        <v>59</v>
      </c>
      <c r="B1870" s="853" t="s">
        <v>260</v>
      </c>
      <c r="C1870" s="837" t="s">
        <v>2311</v>
      </c>
      <c r="D1870" s="786" t="s">
        <v>40</v>
      </c>
      <c r="E1870" s="790">
        <v>2061</v>
      </c>
      <c r="F1870" s="786">
        <f>50-10-22</f>
        <v>18</v>
      </c>
      <c r="G1870" s="786">
        <f t="shared" si="96"/>
        <v>37098</v>
      </c>
      <c r="H1870" s="786"/>
      <c r="I1870" s="786"/>
      <c r="J1870" s="786"/>
      <c r="K1870" s="788"/>
      <c r="L1870" s="788"/>
      <c r="M1870" s="788"/>
      <c r="N1870" s="786"/>
      <c r="O1870" s="786"/>
    </row>
    <row r="1871" spans="1:15" ht="31.5">
      <c r="A1871" s="786">
        <v>67</v>
      </c>
      <c r="B1871" s="853" t="s">
        <v>2312</v>
      </c>
      <c r="C1871" s="837" t="s">
        <v>2313</v>
      </c>
      <c r="D1871" s="786" t="s">
        <v>40</v>
      </c>
      <c r="E1871" s="790">
        <v>1469.1</v>
      </c>
      <c r="F1871" s="786">
        <v>5</v>
      </c>
      <c r="G1871" s="786">
        <f t="shared" si="96"/>
        <v>7345.5</v>
      </c>
      <c r="H1871" s="786"/>
      <c r="I1871" s="786"/>
      <c r="J1871" s="786"/>
      <c r="K1871" s="788"/>
      <c r="L1871" s="788"/>
      <c r="M1871" s="788"/>
      <c r="N1871" s="786"/>
      <c r="O1871" s="786"/>
    </row>
    <row r="1872" spans="1:15" ht="31.5">
      <c r="A1872" s="786">
        <v>91</v>
      </c>
      <c r="B1872" s="853" t="s">
        <v>88</v>
      </c>
      <c r="C1872" s="837" t="s">
        <v>2314</v>
      </c>
      <c r="D1872" s="786" t="s">
        <v>40</v>
      </c>
      <c r="E1872" s="790">
        <v>586</v>
      </c>
      <c r="F1872" s="786">
        <v>17</v>
      </c>
      <c r="G1872" s="786">
        <f t="shared" si="96"/>
        <v>9962</v>
      </c>
      <c r="H1872" s="786"/>
      <c r="I1872" s="786"/>
      <c r="J1872" s="786"/>
      <c r="K1872" s="788"/>
      <c r="L1872" s="788"/>
      <c r="M1872" s="788"/>
      <c r="N1872" s="786"/>
      <c r="O1872" s="786"/>
    </row>
    <row r="1873" spans="1:15" ht="31.5">
      <c r="A1873" s="786">
        <v>94</v>
      </c>
      <c r="B1873" s="853" t="s">
        <v>2315</v>
      </c>
      <c r="C1873" s="837" t="s">
        <v>2316</v>
      </c>
      <c r="D1873" s="786" t="s">
        <v>40</v>
      </c>
      <c r="E1873" s="790">
        <v>473</v>
      </c>
      <c r="F1873" s="786">
        <v>62</v>
      </c>
      <c r="G1873" s="786">
        <f t="shared" si="96"/>
        <v>29326</v>
      </c>
      <c r="H1873" s="786"/>
      <c r="I1873" s="786"/>
      <c r="J1873" s="786"/>
      <c r="K1873" s="788"/>
      <c r="L1873" s="788"/>
      <c r="M1873" s="788"/>
      <c r="N1873" s="786"/>
      <c r="O1873" s="786"/>
    </row>
    <row r="1874" spans="1:15" ht="31.5">
      <c r="A1874" s="786">
        <v>130</v>
      </c>
      <c r="B1874" s="853" t="s">
        <v>2317</v>
      </c>
      <c r="C1874" s="837" t="s">
        <v>2318</v>
      </c>
      <c r="D1874" s="786" t="s">
        <v>40</v>
      </c>
      <c r="E1874" s="790">
        <v>1888</v>
      </c>
      <c r="F1874" s="786">
        <v>20</v>
      </c>
      <c r="G1874" s="786">
        <f t="shared" si="96"/>
        <v>37760</v>
      </c>
      <c r="H1874" s="848"/>
      <c r="I1874" s="848"/>
      <c r="J1874" s="786"/>
      <c r="K1874" s="788"/>
      <c r="L1874" s="788"/>
      <c r="M1874" s="788"/>
      <c r="N1874" s="786"/>
      <c r="O1874" s="786"/>
    </row>
    <row r="1875" spans="1:15" ht="15.75">
      <c r="A1875" s="786">
        <v>132</v>
      </c>
      <c r="B1875" s="1183" t="s">
        <v>2319</v>
      </c>
      <c r="C1875" s="1182" t="s">
        <v>2320</v>
      </c>
      <c r="D1875" s="786" t="s">
        <v>40</v>
      </c>
      <c r="E1875" s="790">
        <v>1298</v>
      </c>
      <c r="F1875" s="786">
        <f>50-6</f>
        <v>44</v>
      </c>
      <c r="G1875" s="786">
        <f t="shared" si="96"/>
        <v>57112</v>
      </c>
      <c r="H1875" s="848"/>
      <c r="I1875" s="848"/>
      <c r="J1875" s="786"/>
      <c r="K1875" s="788"/>
      <c r="L1875" s="788"/>
      <c r="M1875" s="788"/>
      <c r="N1875" s="786"/>
      <c r="O1875" s="786"/>
    </row>
    <row r="1876" spans="1:15" ht="15.75">
      <c r="A1876" s="786"/>
      <c r="B1876" s="1184"/>
      <c r="C1876" s="1182"/>
      <c r="D1876" s="786" t="s">
        <v>40</v>
      </c>
      <c r="E1876" s="790">
        <v>854</v>
      </c>
      <c r="F1876" s="786">
        <v>2</v>
      </c>
      <c r="G1876" s="786">
        <f t="shared" si="96"/>
        <v>1708</v>
      </c>
      <c r="H1876" s="848"/>
      <c r="I1876" s="848"/>
      <c r="J1876" s="786"/>
      <c r="K1876" s="788"/>
      <c r="L1876" s="788"/>
      <c r="M1876" s="788"/>
      <c r="N1876" s="786"/>
      <c r="O1876" s="786"/>
    </row>
    <row r="1877" spans="1:15" ht="15.75">
      <c r="A1877" s="786"/>
      <c r="B1877" s="1185"/>
      <c r="C1877" s="1182"/>
      <c r="D1877" s="786" t="s">
        <v>40</v>
      </c>
      <c r="E1877" s="790">
        <v>1007.7</v>
      </c>
      <c r="F1877" s="786">
        <f>6-3-3</f>
        <v>0</v>
      </c>
      <c r="G1877" s="786">
        <f t="shared" si="96"/>
        <v>0</v>
      </c>
      <c r="H1877" s="848"/>
      <c r="I1877" s="848"/>
      <c r="J1877" s="786"/>
      <c r="K1877" s="788"/>
      <c r="L1877" s="788"/>
      <c r="M1877" s="788"/>
      <c r="N1877" s="786"/>
      <c r="O1877" s="786"/>
    </row>
    <row r="1878" spans="1:15" ht="15.75">
      <c r="A1878" s="786">
        <v>133</v>
      </c>
      <c r="B1878" s="1183" t="s">
        <v>235</v>
      </c>
      <c r="C1878" s="1182" t="s">
        <v>2321</v>
      </c>
      <c r="D1878" s="786" t="s">
        <v>40</v>
      </c>
      <c r="E1878" s="790">
        <v>1298</v>
      </c>
      <c r="F1878" s="786">
        <f>36-10</f>
        <v>26</v>
      </c>
      <c r="G1878" s="786">
        <f t="shared" si="96"/>
        <v>33748</v>
      </c>
      <c r="H1878" s="848"/>
      <c r="I1878" s="848"/>
      <c r="J1878" s="786"/>
      <c r="K1878" s="788"/>
      <c r="L1878" s="788"/>
      <c r="M1878" s="788"/>
      <c r="N1878" s="786"/>
      <c r="O1878" s="786"/>
    </row>
    <row r="1879" spans="1:15" ht="15.75">
      <c r="A1879" s="786"/>
      <c r="B1879" s="1185"/>
      <c r="C1879" s="1182"/>
      <c r="D1879" s="786" t="s">
        <v>40</v>
      </c>
      <c r="E1879" s="790">
        <v>545</v>
      </c>
      <c r="F1879" s="786">
        <v>55</v>
      </c>
      <c r="G1879" s="786">
        <f t="shared" si="96"/>
        <v>29975</v>
      </c>
      <c r="H1879" s="848"/>
      <c r="I1879" s="848"/>
      <c r="J1879" s="786"/>
      <c r="K1879" s="788"/>
      <c r="L1879" s="788"/>
      <c r="M1879" s="788"/>
      <c r="N1879" s="786"/>
      <c r="O1879" s="786"/>
    </row>
    <row r="1880" spans="1:15" ht="31.5">
      <c r="A1880" s="786">
        <v>137</v>
      </c>
      <c r="B1880" s="853" t="s">
        <v>2322</v>
      </c>
      <c r="C1880" s="837" t="s">
        <v>2323</v>
      </c>
      <c r="D1880" s="786" t="s">
        <v>40</v>
      </c>
      <c r="E1880" s="790">
        <v>708</v>
      </c>
      <c r="F1880" s="786">
        <f>15</f>
        <v>15</v>
      </c>
      <c r="G1880" s="786">
        <f t="shared" si="96"/>
        <v>10620</v>
      </c>
      <c r="H1880" s="786"/>
      <c r="I1880" s="786"/>
      <c r="J1880" s="786"/>
      <c r="K1880" s="788"/>
      <c r="L1880" s="788"/>
      <c r="M1880" s="788"/>
      <c r="N1880" s="786"/>
      <c r="O1880" s="786"/>
    </row>
    <row r="1881" spans="1:15" ht="15.75">
      <c r="A1881" s="786">
        <v>138</v>
      </c>
      <c r="B1881" s="1183" t="s">
        <v>242</v>
      </c>
      <c r="C1881" s="1171" t="s">
        <v>2324</v>
      </c>
      <c r="D1881" s="786" t="s">
        <v>40</v>
      </c>
      <c r="E1881" s="790">
        <v>531</v>
      </c>
      <c r="F1881" s="786">
        <v>15</v>
      </c>
      <c r="G1881" s="786">
        <f t="shared" si="96"/>
        <v>7965</v>
      </c>
      <c r="H1881" s="786"/>
      <c r="I1881" s="786"/>
      <c r="J1881" s="786"/>
      <c r="K1881" s="788"/>
      <c r="L1881" s="788"/>
      <c r="M1881" s="788"/>
      <c r="N1881" s="786"/>
      <c r="O1881" s="786"/>
    </row>
    <row r="1882" spans="1:15" ht="15.75">
      <c r="A1882" s="786"/>
      <c r="B1882" s="1185"/>
      <c r="C1882" s="1181"/>
      <c r="D1882" s="786" t="s">
        <v>40</v>
      </c>
      <c r="E1882" s="790">
        <v>100</v>
      </c>
      <c r="F1882" s="786">
        <v>18</v>
      </c>
      <c r="G1882" s="786">
        <f t="shared" si="96"/>
        <v>1800</v>
      </c>
      <c r="H1882" s="786"/>
      <c r="I1882" s="786"/>
      <c r="J1882" s="786"/>
      <c r="K1882" s="788"/>
      <c r="L1882" s="788"/>
      <c r="M1882" s="788"/>
      <c r="N1882" s="786"/>
      <c r="O1882" s="786"/>
    </row>
    <row r="1883" spans="1:15" ht="15.75">
      <c r="A1883" s="786">
        <v>139</v>
      </c>
      <c r="B1883" s="853" t="s">
        <v>2325</v>
      </c>
      <c r="C1883" s="837" t="s">
        <v>2326</v>
      </c>
      <c r="D1883" s="786" t="s">
        <v>40</v>
      </c>
      <c r="E1883" s="790">
        <v>1298</v>
      </c>
      <c r="F1883" s="786">
        <v>15</v>
      </c>
      <c r="G1883" s="786">
        <f t="shared" si="96"/>
        <v>19470</v>
      </c>
      <c r="H1883" s="786"/>
      <c r="I1883" s="786"/>
      <c r="J1883" s="786"/>
      <c r="K1883" s="788"/>
      <c r="L1883" s="788"/>
      <c r="M1883" s="788"/>
      <c r="N1883" s="786"/>
      <c r="O1883" s="786"/>
    </row>
    <row r="1884" spans="1:15" ht="15.75">
      <c r="A1884" s="786">
        <v>141</v>
      </c>
      <c r="B1884" s="1183" t="s">
        <v>2327</v>
      </c>
      <c r="C1884" s="1182" t="s">
        <v>2328</v>
      </c>
      <c r="D1884" s="786" t="s">
        <v>40</v>
      </c>
      <c r="E1884" s="790">
        <v>1062</v>
      </c>
      <c r="F1884" s="786">
        <f>20-1</f>
        <v>19</v>
      </c>
      <c r="G1884" s="786">
        <f t="shared" si="96"/>
        <v>20178</v>
      </c>
      <c r="H1884" s="786"/>
      <c r="I1884" s="786"/>
      <c r="J1884" s="786"/>
      <c r="K1884" s="788"/>
      <c r="L1884" s="788"/>
      <c r="M1884" s="788"/>
      <c r="N1884" s="786"/>
      <c r="O1884" s="786"/>
    </row>
    <row r="1885" spans="1:15" ht="15.75">
      <c r="A1885" s="786"/>
      <c r="B1885" s="1185"/>
      <c r="C1885" s="1182"/>
      <c r="D1885" s="786" t="s">
        <v>40</v>
      </c>
      <c r="E1885" s="790">
        <v>1209.26</v>
      </c>
      <c r="F1885" s="786">
        <f>6-3</f>
        <v>3</v>
      </c>
      <c r="G1885" s="786">
        <f t="shared" si="96"/>
        <v>3627.7799999999997</v>
      </c>
      <c r="H1885" s="786"/>
      <c r="I1885" s="786"/>
      <c r="J1885" s="786"/>
      <c r="K1885" s="788"/>
      <c r="L1885" s="788"/>
      <c r="M1885" s="788"/>
      <c r="N1885" s="786"/>
      <c r="O1885" s="786"/>
    </row>
    <row r="1886" spans="1:15" ht="15.75">
      <c r="A1886" s="786"/>
      <c r="B1886" s="853" t="s">
        <v>2327</v>
      </c>
      <c r="C1886" s="837" t="s">
        <v>2328</v>
      </c>
      <c r="D1886" s="786" t="s">
        <v>40</v>
      </c>
      <c r="E1886" s="790">
        <v>308</v>
      </c>
      <c r="F1886" s="786">
        <v>52</v>
      </c>
      <c r="G1886" s="786">
        <f t="shared" si="96"/>
        <v>16016</v>
      </c>
      <c r="H1886" s="786"/>
      <c r="I1886" s="786"/>
      <c r="J1886" s="786"/>
      <c r="K1886" s="788"/>
      <c r="L1886" s="788"/>
      <c r="M1886" s="788"/>
      <c r="N1886" s="786"/>
      <c r="O1886" s="786"/>
    </row>
    <row r="1887" spans="1:15" ht="31.5">
      <c r="A1887" s="806">
        <v>147</v>
      </c>
      <c r="B1887" s="853" t="s">
        <v>251</v>
      </c>
      <c r="C1887" s="812" t="s">
        <v>2329</v>
      </c>
      <c r="D1887" s="854" t="s">
        <v>40</v>
      </c>
      <c r="E1887" s="790">
        <v>531</v>
      </c>
      <c r="F1887" s="854">
        <v>15</v>
      </c>
      <c r="G1887" s="786">
        <f t="shared" si="96"/>
        <v>7965</v>
      </c>
      <c r="H1887" s="806"/>
      <c r="I1887" s="806"/>
      <c r="J1887" s="806"/>
      <c r="K1887" s="806"/>
      <c r="L1887" s="806"/>
      <c r="M1887" s="806"/>
      <c r="N1887" s="806"/>
      <c r="O1887" s="806"/>
    </row>
    <row r="1888" spans="1:15" ht="15.75">
      <c r="A1888" s="806">
        <v>150</v>
      </c>
      <c r="B1888" s="853" t="s">
        <v>2330</v>
      </c>
      <c r="C1888" s="812" t="s">
        <v>2331</v>
      </c>
      <c r="D1888" s="424" t="s">
        <v>40</v>
      </c>
      <c r="E1888" s="790">
        <v>1728.7</v>
      </c>
      <c r="F1888" s="854">
        <v>10</v>
      </c>
      <c r="G1888" s="786">
        <f t="shared" si="96"/>
        <v>17287</v>
      </c>
      <c r="H1888" s="806"/>
      <c r="I1888" s="806"/>
      <c r="J1888" s="806"/>
      <c r="K1888" s="806"/>
      <c r="L1888" s="806"/>
      <c r="M1888" s="806"/>
      <c r="N1888" s="806"/>
      <c r="O1888" s="806"/>
    </row>
    <row r="1889" spans="1:15" ht="31.5">
      <c r="A1889" s="786">
        <v>151</v>
      </c>
      <c r="B1889" s="853" t="s">
        <v>240</v>
      </c>
      <c r="C1889" s="837" t="s">
        <v>2332</v>
      </c>
      <c r="D1889" s="786" t="s">
        <v>40</v>
      </c>
      <c r="E1889" s="790">
        <v>480</v>
      </c>
      <c r="F1889" s="854">
        <f>100-89-11</f>
        <v>0</v>
      </c>
      <c r="G1889" s="786">
        <f t="shared" si="96"/>
        <v>0</v>
      </c>
      <c r="H1889" s="806"/>
      <c r="I1889" s="806"/>
      <c r="J1889" s="806"/>
      <c r="K1889" s="806"/>
      <c r="L1889" s="806"/>
      <c r="M1889" s="806"/>
      <c r="N1889" s="806"/>
      <c r="O1889" s="806"/>
    </row>
    <row r="1890" spans="1:15" ht="31.5">
      <c r="A1890" s="786">
        <v>155</v>
      </c>
      <c r="B1890" s="853" t="s">
        <v>2333</v>
      </c>
      <c r="C1890" s="837" t="s">
        <v>2334</v>
      </c>
      <c r="D1890" s="786" t="s">
        <v>40</v>
      </c>
      <c r="E1890" s="790">
        <v>1298</v>
      </c>
      <c r="F1890" s="786">
        <v>30</v>
      </c>
      <c r="G1890" s="786">
        <f t="shared" si="96"/>
        <v>38940</v>
      </c>
      <c r="H1890" s="786"/>
      <c r="I1890" s="786"/>
      <c r="J1890" s="786"/>
      <c r="K1890" s="788"/>
      <c r="L1890" s="788"/>
      <c r="M1890" s="788"/>
      <c r="N1890" s="786"/>
      <c r="O1890" s="786"/>
    </row>
    <row r="1891" spans="1:15" ht="31.5">
      <c r="A1891" s="786">
        <v>156</v>
      </c>
      <c r="B1891" s="853" t="s">
        <v>613</v>
      </c>
      <c r="C1891" s="837" t="s">
        <v>2335</v>
      </c>
      <c r="D1891" s="786" t="s">
        <v>40</v>
      </c>
      <c r="E1891" s="790">
        <v>0</v>
      </c>
      <c r="F1891" s="786">
        <f>30-30</f>
        <v>0</v>
      </c>
      <c r="G1891" s="786">
        <f t="shared" si="96"/>
        <v>0</v>
      </c>
      <c r="H1891" s="786"/>
      <c r="I1891" s="786"/>
      <c r="J1891" s="786"/>
      <c r="K1891" s="788"/>
      <c r="L1891" s="788"/>
      <c r="M1891" s="788"/>
      <c r="N1891" s="786"/>
      <c r="O1891" s="786"/>
    </row>
    <row r="1892" spans="1:15" ht="15.75">
      <c r="A1892" s="786">
        <v>160</v>
      </c>
      <c r="B1892" s="853" t="s">
        <v>595</v>
      </c>
      <c r="C1892" s="837" t="s">
        <v>2336</v>
      </c>
      <c r="D1892" s="786" t="s">
        <v>266</v>
      </c>
      <c r="E1892" s="790">
        <v>528.64</v>
      </c>
      <c r="F1892" s="786">
        <f>43-3</f>
        <v>40</v>
      </c>
      <c r="G1892" s="786">
        <f t="shared" si="96"/>
        <v>21145.599999999999</v>
      </c>
      <c r="H1892" s="786"/>
      <c r="I1892" s="786"/>
      <c r="J1892" s="786"/>
      <c r="K1892" s="788"/>
      <c r="L1892" s="788"/>
      <c r="M1892" s="788"/>
      <c r="N1892" s="786"/>
      <c r="O1892" s="786"/>
    </row>
    <row r="1893" spans="1:15" ht="15.75">
      <c r="A1893" s="786">
        <v>163</v>
      </c>
      <c r="B1893" s="853" t="s">
        <v>593</v>
      </c>
      <c r="C1893" s="837" t="s">
        <v>2337</v>
      </c>
      <c r="D1893" s="786" t="s">
        <v>40</v>
      </c>
      <c r="E1893" s="790">
        <v>1000</v>
      </c>
      <c r="F1893" s="786">
        <f>19-6</f>
        <v>13</v>
      </c>
      <c r="G1893" s="786">
        <f t="shared" si="96"/>
        <v>13000</v>
      </c>
      <c r="H1893" s="786"/>
      <c r="I1893" s="786"/>
      <c r="J1893" s="786"/>
      <c r="K1893" s="788"/>
      <c r="L1893" s="788"/>
      <c r="M1893" s="788"/>
      <c r="N1893" s="786"/>
      <c r="O1893" s="786"/>
    </row>
    <row r="1894" spans="1:15" ht="15.75">
      <c r="A1894" s="786">
        <v>195</v>
      </c>
      <c r="B1894" s="855" t="s">
        <v>2338</v>
      </c>
      <c r="C1894" s="837" t="s">
        <v>2339</v>
      </c>
      <c r="D1894" s="786" t="s">
        <v>40</v>
      </c>
      <c r="E1894" s="790">
        <v>841.34</v>
      </c>
      <c r="F1894" s="786">
        <f>6-6</f>
        <v>0</v>
      </c>
      <c r="G1894" s="786">
        <f t="shared" si="96"/>
        <v>0</v>
      </c>
      <c r="H1894" s="786"/>
      <c r="I1894" s="786"/>
      <c r="J1894" s="786"/>
      <c r="K1894" s="788"/>
      <c r="L1894" s="788"/>
      <c r="M1894" s="788"/>
      <c r="N1894" s="786"/>
      <c r="O1894" s="786"/>
    </row>
    <row r="1895" spans="1:15" ht="31.5">
      <c r="A1895" s="786">
        <v>219</v>
      </c>
      <c r="B1895" s="853" t="s">
        <v>1319</v>
      </c>
      <c r="C1895" s="841" t="s">
        <v>2340</v>
      </c>
      <c r="D1895" s="786" t="s">
        <v>239</v>
      </c>
      <c r="E1895" s="790">
        <v>9853</v>
      </c>
      <c r="F1895" s="786">
        <f>11-6-1</f>
        <v>4</v>
      </c>
      <c r="G1895" s="786">
        <f t="shared" si="96"/>
        <v>39412</v>
      </c>
      <c r="H1895" s="786"/>
      <c r="I1895" s="786"/>
      <c r="J1895" s="786"/>
      <c r="K1895" s="788"/>
      <c r="L1895" s="788"/>
      <c r="M1895" s="788"/>
      <c r="N1895" s="786"/>
      <c r="O1895" s="786"/>
    </row>
    <row r="1896" spans="1:15" ht="31.5">
      <c r="A1896" s="856">
        <v>220</v>
      </c>
      <c r="B1896" s="853" t="s">
        <v>237</v>
      </c>
      <c r="C1896" s="857" t="s">
        <v>2341</v>
      </c>
      <c r="D1896" s="786" t="s">
        <v>239</v>
      </c>
      <c r="E1896" s="790">
        <v>5428</v>
      </c>
      <c r="F1896" s="786">
        <v>1</v>
      </c>
      <c r="G1896" s="786">
        <f t="shared" si="96"/>
        <v>5428</v>
      </c>
      <c r="H1896" s="786"/>
      <c r="I1896" s="786"/>
      <c r="J1896" s="786"/>
      <c r="K1896" s="788"/>
      <c r="L1896" s="788"/>
      <c r="M1896" s="788"/>
      <c r="N1896" s="786"/>
      <c r="O1896" s="786"/>
    </row>
    <row r="1897" spans="1:15" ht="31.5">
      <c r="A1897" s="786">
        <v>224</v>
      </c>
      <c r="B1897" s="853" t="s">
        <v>2149</v>
      </c>
      <c r="C1897" s="841" t="s">
        <v>2342</v>
      </c>
      <c r="D1897" s="786" t="s">
        <v>40</v>
      </c>
      <c r="E1897" s="790">
        <v>1888</v>
      </c>
      <c r="F1897" s="786">
        <v>25</v>
      </c>
      <c r="G1897" s="786">
        <f t="shared" si="96"/>
        <v>47200</v>
      </c>
      <c r="H1897" s="786"/>
      <c r="I1897" s="786"/>
      <c r="J1897" s="786"/>
      <c r="K1897" s="788"/>
      <c r="L1897" s="788"/>
      <c r="M1897" s="788"/>
      <c r="N1897" s="786"/>
      <c r="O1897" s="786"/>
    </row>
    <row r="1898" spans="1:15" ht="31.5">
      <c r="A1898" s="786">
        <v>225</v>
      </c>
      <c r="B1898" s="853" t="s">
        <v>244</v>
      </c>
      <c r="C1898" s="837" t="s">
        <v>2343</v>
      </c>
      <c r="D1898" s="786" t="s">
        <v>40</v>
      </c>
      <c r="E1898" s="790">
        <v>0</v>
      </c>
      <c r="F1898" s="848">
        <f>10-10</f>
        <v>0</v>
      </c>
      <c r="G1898" s="786">
        <f t="shared" si="96"/>
        <v>0</v>
      </c>
      <c r="H1898" s="786"/>
      <c r="I1898" s="786"/>
      <c r="J1898" s="786"/>
      <c r="K1898" s="788"/>
      <c r="L1898" s="788"/>
      <c r="M1898" s="788"/>
      <c r="N1898" s="786"/>
      <c r="O1898" s="786"/>
    </row>
    <row r="1899" spans="1:15" ht="31.5">
      <c r="A1899" s="856">
        <v>229</v>
      </c>
      <c r="B1899" s="853" t="s">
        <v>1318</v>
      </c>
      <c r="C1899" s="857" t="s">
        <v>2344</v>
      </c>
      <c r="D1899" s="786" t="s">
        <v>40</v>
      </c>
      <c r="E1899" s="790">
        <v>19942</v>
      </c>
      <c r="F1899" s="848">
        <v>3</v>
      </c>
      <c r="G1899" s="786">
        <f t="shared" si="96"/>
        <v>59826</v>
      </c>
      <c r="H1899" s="786"/>
      <c r="I1899" s="786"/>
      <c r="J1899" s="786"/>
      <c r="K1899" s="788"/>
      <c r="L1899" s="788"/>
      <c r="M1899" s="788"/>
      <c r="N1899" s="786"/>
      <c r="O1899" s="786"/>
    </row>
    <row r="1900" spans="1:15" ht="31.5">
      <c r="A1900" s="786">
        <v>230</v>
      </c>
      <c r="B1900" s="853" t="s">
        <v>264</v>
      </c>
      <c r="C1900" s="837" t="s">
        <v>2345</v>
      </c>
      <c r="D1900" s="786" t="s">
        <v>40</v>
      </c>
      <c r="E1900" s="790">
        <v>3500</v>
      </c>
      <c r="F1900" s="848">
        <v>1</v>
      </c>
      <c r="G1900" s="786">
        <f t="shared" si="96"/>
        <v>3500</v>
      </c>
      <c r="H1900" s="786"/>
      <c r="I1900" s="786"/>
      <c r="J1900" s="786"/>
      <c r="K1900" s="788"/>
      <c r="L1900" s="788"/>
      <c r="M1900" s="788"/>
      <c r="N1900" s="786"/>
      <c r="O1900" s="786"/>
    </row>
    <row r="1901" spans="1:15" ht="31.5">
      <c r="A1901" s="856">
        <v>242</v>
      </c>
      <c r="B1901" s="853" t="s">
        <v>1644</v>
      </c>
      <c r="C1901" s="857" t="s">
        <v>2346</v>
      </c>
      <c r="D1901" s="786" t="s">
        <v>40</v>
      </c>
      <c r="E1901" s="790">
        <v>9204</v>
      </c>
      <c r="F1901" s="848">
        <v>6</v>
      </c>
      <c r="G1901" s="786">
        <f t="shared" si="96"/>
        <v>55224</v>
      </c>
      <c r="H1901" s="786"/>
      <c r="I1901" s="786"/>
      <c r="J1901" s="786"/>
      <c r="K1901" s="788"/>
      <c r="L1901" s="788"/>
      <c r="M1901" s="788"/>
      <c r="N1901" s="786"/>
      <c r="O1901" s="786"/>
    </row>
    <row r="1902" spans="1:15" ht="31.5">
      <c r="A1902" s="806">
        <v>247</v>
      </c>
      <c r="B1902" s="853" t="s">
        <v>248</v>
      </c>
      <c r="C1902" s="837" t="s">
        <v>2347</v>
      </c>
      <c r="D1902" s="786" t="s">
        <v>40</v>
      </c>
      <c r="E1902" s="790">
        <v>1888</v>
      </c>
      <c r="F1902" s="848">
        <v>15</v>
      </c>
      <c r="G1902" s="786">
        <f t="shared" si="96"/>
        <v>28320</v>
      </c>
      <c r="H1902" s="786"/>
      <c r="I1902" s="786"/>
      <c r="J1902" s="786"/>
      <c r="K1902" s="788"/>
      <c r="L1902" s="788"/>
      <c r="M1902" s="788"/>
      <c r="N1902" s="786"/>
      <c r="O1902" s="786"/>
    </row>
    <row r="1903" spans="1:15" ht="31.5">
      <c r="A1903" s="786">
        <v>248</v>
      </c>
      <c r="B1903" s="853" t="s">
        <v>248</v>
      </c>
      <c r="C1903" s="837" t="s">
        <v>2347</v>
      </c>
      <c r="D1903" s="786" t="s">
        <v>40</v>
      </c>
      <c r="E1903" s="790">
        <v>1534</v>
      </c>
      <c r="F1903" s="848">
        <v>10</v>
      </c>
      <c r="G1903" s="786">
        <f t="shared" si="96"/>
        <v>15340</v>
      </c>
      <c r="H1903" s="786"/>
      <c r="I1903" s="786"/>
      <c r="J1903" s="786"/>
      <c r="K1903" s="788"/>
      <c r="L1903" s="788"/>
      <c r="M1903" s="788"/>
      <c r="N1903" s="786"/>
      <c r="O1903" s="786"/>
    </row>
    <row r="1904" spans="1:15" ht="15.75">
      <c r="A1904" s="786"/>
      <c r="B1904" s="855"/>
      <c r="C1904" s="837" t="s">
        <v>2348</v>
      </c>
      <c r="D1904" s="786" t="s">
        <v>40</v>
      </c>
      <c r="E1904" s="790">
        <v>1713</v>
      </c>
      <c r="F1904" s="848">
        <f>77-3</f>
        <v>74</v>
      </c>
      <c r="G1904" s="786">
        <f t="shared" si="96"/>
        <v>126762</v>
      </c>
      <c r="H1904" s="786"/>
      <c r="I1904" s="786"/>
      <c r="J1904" s="786"/>
      <c r="K1904" s="786"/>
      <c r="L1904" s="786"/>
      <c r="M1904" s="786"/>
      <c r="N1904" s="786"/>
      <c r="O1904" s="786"/>
    </row>
    <row r="1905" spans="1:15" ht="31.5">
      <c r="A1905" s="786"/>
      <c r="B1905" s="855"/>
      <c r="C1905" s="837" t="s">
        <v>2349</v>
      </c>
      <c r="D1905" s="786" t="s">
        <v>40</v>
      </c>
      <c r="E1905" s="790">
        <v>9440</v>
      </c>
      <c r="F1905" s="848">
        <v>10</v>
      </c>
      <c r="G1905" s="786">
        <f t="shared" si="96"/>
        <v>94400</v>
      </c>
      <c r="H1905" s="786"/>
      <c r="I1905" s="786"/>
      <c r="J1905" s="786"/>
      <c r="K1905" s="786"/>
      <c r="L1905" s="786"/>
      <c r="M1905" s="786"/>
      <c r="N1905" s="786"/>
      <c r="O1905" s="786"/>
    </row>
    <row r="1906" spans="1:15" ht="31.5">
      <c r="A1906" s="786"/>
      <c r="B1906" s="855"/>
      <c r="C1906" s="837" t="s">
        <v>2350</v>
      </c>
      <c r="D1906" s="786" t="s">
        <v>40</v>
      </c>
      <c r="E1906" s="790">
        <v>4720</v>
      </c>
      <c r="F1906" s="848">
        <f>10-4-1</f>
        <v>5</v>
      </c>
      <c r="G1906" s="786">
        <f t="shared" si="96"/>
        <v>23600</v>
      </c>
      <c r="H1906" s="786"/>
      <c r="I1906" s="786"/>
      <c r="J1906" s="786"/>
      <c r="K1906" s="786"/>
      <c r="L1906" s="786"/>
      <c r="M1906" s="786"/>
      <c r="N1906" s="786"/>
      <c r="O1906" s="786"/>
    </row>
    <row r="1907" spans="1:15" ht="31.5">
      <c r="A1907" s="786"/>
      <c r="B1907" s="855"/>
      <c r="C1907" s="837" t="s">
        <v>2351</v>
      </c>
      <c r="D1907" s="786" t="s">
        <v>40</v>
      </c>
      <c r="E1907" s="790">
        <v>1038.4000000000001</v>
      </c>
      <c r="F1907" s="848">
        <f>10-6</f>
        <v>4</v>
      </c>
      <c r="G1907" s="786">
        <f t="shared" si="96"/>
        <v>4153.6000000000004</v>
      </c>
      <c r="H1907" s="786"/>
      <c r="I1907" s="786"/>
      <c r="J1907" s="786"/>
      <c r="K1907" s="786"/>
      <c r="L1907" s="786"/>
      <c r="M1907" s="786"/>
      <c r="N1907" s="786"/>
      <c r="O1907" s="786"/>
    </row>
    <row r="1908" spans="1:15" ht="15.75">
      <c r="A1908" s="786"/>
      <c r="B1908" s="805"/>
      <c r="C1908" s="837"/>
      <c r="D1908" s="786"/>
      <c r="E1908" s="790"/>
      <c r="F1908" s="848"/>
      <c r="G1908" s="848"/>
      <c r="H1908" s="786"/>
      <c r="I1908" s="786"/>
      <c r="J1908" s="786"/>
      <c r="K1908" s="786"/>
      <c r="L1908" s="786"/>
      <c r="M1908" s="786"/>
      <c r="N1908" s="786"/>
      <c r="O1908" s="786"/>
    </row>
    <row r="1909" spans="1:15" ht="31.5">
      <c r="A1909" s="806">
        <v>3</v>
      </c>
      <c r="B1909" s="858" t="s">
        <v>2352</v>
      </c>
      <c r="C1909" s="812" t="s">
        <v>2353</v>
      </c>
      <c r="D1909" s="806" t="s">
        <v>40</v>
      </c>
      <c r="E1909" s="804">
        <v>10000</v>
      </c>
      <c r="F1909" s="806"/>
      <c r="G1909" s="806"/>
      <c r="H1909" s="806">
        <v>7</v>
      </c>
      <c r="I1909" s="806">
        <f>H1909*E1909</f>
        <v>70000</v>
      </c>
      <c r="J1909" s="806"/>
      <c r="K1909" s="806"/>
      <c r="L1909" s="806"/>
      <c r="M1909" s="806"/>
      <c r="N1909" s="806"/>
      <c r="O1909" s="806"/>
    </row>
    <row r="1910" spans="1:15" ht="31.5">
      <c r="A1910" s="806">
        <v>11</v>
      </c>
      <c r="B1910" s="858" t="s">
        <v>2354</v>
      </c>
      <c r="C1910" s="812" t="s">
        <v>2355</v>
      </c>
      <c r="D1910" s="806" t="s">
        <v>40</v>
      </c>
      <c r="E1910" s="804">
        <v>5000</v>
      </c>
      <c r="F1910" s="806"/>
      <c r="G1910" s="806"/>
      <c r="H1910" s="806"/>
      <c r="I1910" s="806"/>
      <c r="J1910" s="806"/>
      <c r="K1910" s="806"/>
      <c r="L1910" s="806">
        <f>1+4</f>
        <v>5</v>
      </c>
      <c r="M1910" s="819">
        <f>E1910*L1910</f>
        <v>25000</v>
      </c>
      <c r="N1910" s="806"/>
      <c r="O1910" s="806"/>
    </row>
    <row r="1911" spans="1:15" ht="31.5">
      <c r="A1911" s="859">
        <v>12</v>
      </c>
      <c r="B1911" s="858" t="s">
        <v>480</v>
      </c>
      <c r="C1911" s="860" t="s">
        <v>2356</v>
      </c>
      <c r="D1911" s="786" t="s">
        <v>40</v>
      </c>
      <c r="E1911" s="804">
        <v>4500</v>
      </c>
      <c r="F1911" s="861">
        <v>1</v>
      </c>
      <c r="G1911" s="786">
        <f t="shared" ref="G1911:G1929" si="97">E1911*F1911</f>
        <v>4500</v>
      </c>
      <c r="H1911" s="786"/>
      <c r="I1911" s="786"/>
      <c r="J1911" s="786"/>
      <c r="K1911" s="788"/>
      <c r="L1911" s="788">
        <f>1+1</f>
        <v>2</v>
      </c>
      <c r="M1911" s="819">
        <f>E1911*L1911</f>
        <v>9000</v>
      </c>
      <c r="N1911" s="786"/>
      <c r="O1911" s="786"/>
    </row>
    <row r="1912" spans="1:15" ht="47.25">
      <c r="A1912" s="806">
        <v>37</v>
      </c>
      <c r="B1912" s="858" t="s">
        <v>2357</v>
      </c>
      <c r="C1912" s="812" t="s">
        <v>2358</v>
      </c>
      <c r="D1912" s="786" t="s">
        <v>40</v>
      </c>
      <c r="E1912" s="790">
        <v>12685</v>
      </c>
      <c r="F1912" s="835">
        <v>2</v>
      </c>
      <c r="G1912" s="786">
        <f t="shared" si="97"/>
        <v>25370</v>
      </c>
      <c r="H1912" s="786"/>
      <c r="I1912" s="786"/>
      <c r="J1912" s="786"/>
      <c r="K1912" s="788"/>
      <c r="L1912" s="788"/>
      <c r="M1912" s="788"/>
      <c r="N1912" s="786"/>
      <c r="O1912" s="786"/>
    </row>
    <row r="1913" spans="1:15" ht="15.75">
      <c r="A1913" s="1173">
        <v>37</v>
      </c>
      <c r="B1913" s="858" t="s">
        <v>2357</v>
      </c>
      <c r="C1913" s="1175" t="s">
        <v>2359</v>
      </c>
      <c r="D1913" s="786" t="s">
        <v>40</v>
      </c>
      <c r="E1913" s="790">
        <v>14012.5</v>
      </c>
      <c r="F1913" s="835">
        <v>2</v>
      </c>
      <c r="G1913" s="786">
        <f t="shared" si="97"/>
        <v>28025</v>
      </c>
      <c r="H1913" s="786"/>
      <c r="I1913" s="786"/>
      <c r="J1913" s="786"/>
      <c r="K1913" s="788"/>
      <c r="L1913" s="788"/>
      <c r="M1913" s="788"/>
      <c r="N1913" s="786"/>
      <c r="O1913" s="786"/>
    </row>
    <row r="1914" spans="1:15" ht="15.75">
      <c r="A1914" s="1174"/>
      <c r="B1914" s="858" t="s">
        <v>2357</v>
      </c>
      <c r="C1914" s="1177"/>
      <c r="D1914" s="786" t="s">
        <v>40</v>
      </c>
      <c r="E1914" s="790">
        <v>13983</v>
      </c>
      <c r="F1914" s="835">
        <v>1</v>
      </c>
      <c r="G1914" s="786">
        <f t="shared" si="97"/>
        <v>13983</v>
      </c>
      <c r="H1914" s="786"/>
      <c r="I1914" s="786"/>
      <c r="J1914" s="786"/>
      <c r="K1914" s="788"/>
      <c r="L1914" s="788"/>
      <c r="M1914" s="788"/>
      <c r="N1914" s="786"/>
      <c r="O1914" s="786"/>
    </row>
    <row r="1915" spans="1:15" ht="63">
      <c r="A1915" s="862">
        <v>40</v>
      </c>
      <c r="B1915" s="858" t="s">
        <v>2360</v>
      </c>
      <c r="C1915" s="812" t="s">
        <v>2361</v>
      </c>
      <c r="D1915" s="786" t="s">
        <v>40</v>
      </c>
      <c r="E1915" s="790">
        <v>8024</v>
      </c>
      <c r="F1915" s="835">
        <v>2</v>
      </c>
      <c r="G1915" s="786">
        <f t="shared" si="97"/>
        <v>16048</v>
      </c>
      <c r="H1915" s="786"/>
      <c r="I1915" s="786"/>
      <c r="J1915" s="786"/>
      <c r="K1915" s="788"/>
      <c r="L1915" s="788"/>
      <c r="M1915" s="788"/>
      <c r="N1915" s="786"/>
      <c r="O1915" s="786"/>
    </row>
    <row r="1916" spans="1:15" ht="63">
      <c r="A1916" s="806">
        <v>40</v>
      </c>
      <c r="B1916" s="858" t="s">
        <v>2360</v>
      </c>
      <c r="C1916" s="812" t="s">
        <v>2362</v>
      </c>
      <c r="D1916" s="786" t="s">
        <v>40</v>
      </c>
      <c r="E1916" s="790">
        <v>12626</v>
      </c>
      <c r="F1916" s="835">
        <v>1</v>
      </c>
      <c r="G1916" s="786">
        <f t="shared" si="97"/>
        <v>12626</v>
      </c>
      <c r="H1916" s="786"/>
      <c r="I1916" s="786"/>
      <c r="J1916" s="786"/>
      <c r="K1916" s="788"/>
      <c r="L1916" s="788"/>
      <c r="M1916" s="788"/>
      <c r="N1916" s="786"/>
      <c r="O1916" s="786"/>
    </row>
    <row r="1917" spans="1:15" ht="47.25">
      <c r="A1917" s="862">
        <v>59</v>
      </c>
      <c r="B1917" s="858" t="s">
        <v>2363</v>
      </c>
      <c r="C1917" s="808" t="s">
        <v>2364</v>
      </c>
      <c r="D1917" s="786" t="s">
        <v>40</v>
      </c>
      <c r="E1917" s="790">
        <v>14012.5</v>
      </c>
      <c r="F1917" s="835">
        <f>1+1</f>
        <v>2</v>
      </c>
      <c r="G1917" s="786">
        <f t="shared" si="97"/>
        <v>28025</v>
      </c>
      <c r="H1917" s="786"/>
      <c r="I1917" s="786"/>
      <c r="J1917" s="786"/>
      <c r="K1917" s="788"/>
      <c r="L1917" s="788"/>
      <c r="M1917" s="788"/>
      <c r="N1917" s="786"/>
      <c r="O1917" s="786"/>
    </row>
    <row r="1918" spans="1:15" ht="63">
      <c r="A1918" s="806">
        <v>61</v>
      </c>
      <c r="B1918" s="858" t="s">
        <v>2365</v>
      </c>
      <c r="C1918" s="812" t="s">
        <v>2366</v>
      </c>
      <c r="D1918" s="786" t="s">
        <v>40</v>
      </c>
      <c r="E1918" s="790">
        <v>8024</v>
      </c>
      <c r="F1918" s="835">
        <f>2-1</f>
        <v>1</v>
      </c>
      <c r="G1918" s="786">
        <f t="shared" si="97"/>
        <v>8024</v>
      </c>
      <c r="H1918" s="786"/>
      <c r="I1918" s="786"/>
      <c r="J1918" s="786"/>
      <c r="K1918" s="788"/>
      <c r="L1918" s="788"/>
      <c r="M1918" s="788"/>
      <c r="N1918" s="786"/>
      <c r="O1918" s="786"/>
    </row>
    <row r="1919" spans="1:15" ht="47.25">
      <c r="A1919" s="862">
        <v>123</v>
      </c>
      <c r="B1919" s="858" t="s">
        <v>2367</v>
      </c>
      <c r="C1919" s="808" t="s">
        <v>2368</v>
      </c>
      <c r="D1919" s="786" t="s">
        <v>40</v>
      </c>
      <c r="E1919" s="790">
        <v>14012.5</v>
      </c>
      <c r="F1919" s="835">
        <f>2-1-1</f>
        <v>0</v>
      </c>
      <c r="G1919" s="786">
        <f t="shared" si="97"/>
        <v>0</v>
      </c>
      <c r="H1919" s="786"/>
      <c r="I1919" s="786"/>
      <c r="J1919" s="786"/>
      <c r="K1919" s="788"/>
      <c r="L1919" s="788"/>
      <c r="M1919" s="788"/>
      <c r="N1919" s="786"/>
      <c r="O1919" s="786"/>
    </row>
    <row r="1920" spans="1:15" ht="63">
      <c r="A1920" s="806">
        <v>125</v>
      </c>
      <c r="B1920" s="858" t="s">
        <v>2369</v>
      </c>
      <c r="C1920" s="812" t="s">
        <v>2370</v>
      </c>
      <c r="D1920" s="786" t="s">
        <v>40</v>
      </c>
      <c r="E1920" s="790">
        <v>8024</v>
      </c>
      <c r="F1920" s="835">
        <f>2-1-1</f>
        <v>0</v>
      </c>
      <c r="G1920" s="786">
        <f t="shared" si="97"/>
        <v>0</v>
      </c>
      <c r="H1920" s="786"/>
      <c r="I1920" s="786"/>
      <c r="J1920" s="786"/>
      <c r="K1920" s="788"/>
      <c r="L1920" s="788"/>
      <c r="M1920" s="788"/>
      <c r="N1920" s="786"/>
      <c r="O1920" s="786"/>
    </row>
    <row r="1921" spans="1:15" ht="47.25">
      <c r="A1921" s="786">
        <v>127</v>
      </c>
      <c r="B1921" s="858" t="s">
        <v>1706</v>
      </c>
      <c r="C1921" s="837" t="s">
        <v>2371</v>
      </c>
      <c r="D1921" s="786" t="s">
        <v>37</v>
      </c>
      <c r="E1921" s="790">
        <v>6372</v>
      </c>
      <c r="F1921" s="861">
        <f>1-1</f>
        <v>0</v>
      </c>
      <c r="G1921" s="786">
        <f t="shared" si="97"/>
        <v>0</v>
      </c>
      <c r="H1921" s="786"/>
      <c r="I1921" s="786"/>
      <c r="J1921" s="786"/>
      <c r="K1921" s="788"/>
      <c r="L1921" s="788"/>
      <c r="M1921" s="788"/>
      <c r="N1921" s="786"/>
      <c r="O1921" s="786"/>
    </row>
    <row r="1922" spans="1:15" ht="47.25">
      <c r="A1922" s="786">
        <v>191</v>
      </c>
      <c r="B1922" s="858" t="s">
        <v>360</v>
      </c>
      <c r="C1922" s="837" t="s">
        <v>2372</v>
      </c>
      <c r="D1922" s="786" t="s">
        <v>40</v>
      </c>
      <c r="E1922" s="790">
        <v>2926.4</v>
      </c>
      <c r="F1922" s="861">
        <f>1-1</f>
        <v>0</v>
      </c>
      <c r="G1922" s="786">
        <f t="shared" si="97"/>
        <v>0</v>
      </c>
      <c r="H1922" s="786"/>
      <c r="I1922" s="786"/>
      <c r="J1922" s="786"/>
      <c r="K1922" s="788"/>
      <c r="L1922" s="788"/>
      <c r="M1922" s="788"/>
      <c r="N1922" s="786"/>
      <c r="O1922" s="786"/>
    </row>
    <row r="1923" spans="1:15" ht="47.25">
      <c r="A1923" s="786">
        <v>196</v>
      </c>
      <c r="B1923" s="858" t="s">
        <v>2373</v>
      </c>
      <c r="C1923" s="837" t="s">
        <v>2374</v>
      </c>
      <c r="D1923" s="786" t="s">
        <v>37</v>
      </c>
      <c r="E1923" s="790">
        <v>0</v>
      </c>
      <c r="F1923" s="861">
        <v>1</v>
      </c>
      <c r="G1923" s="786">
        <f t="shared" si="97"/>
        <v>0</v>
      </c>
      <c r="H1923" s="786"/>
      <c r="I1923" s="786"/>
      <c r="J1923" s="786"/>
      <c r="K1923" s="788"/>
      <c r="L1923" s="788"/>
      <c r="M1923" s="788"/>
      <c r="N1923" s="786"/>
      <c r="O1923" s="786"/>
    </row>
    <row r="1924" spans="1:15" ht="47.25">
      <c r="A1924" s="786"/>
      <c r="B1924" s="863"/>
      <c r="C1924" s="841" t="s">
        <v>2375</v>
      </c>
      <c r="D1924" s="786" t="s">
        <v>40</v>
      </c>
      <c r="E1924" s="790">
        <v>4661</v>
      </c>
      <c r="F1924" s="861">
        <v>2</v>
      </c>
      <c r="G1924" s="786">
        <f t="shared" si="97"/>
        <v>9322</v>
      </c>
      <c r="H1924" s="786"/>
      <c r="I1924" s="786"/>
      <c r="J1924" s="786"/>
      <c r="K1924" s="788"/>
      <c r="L1924" s="788"/>
      <c r="M1924" s="788"/>
      <c r="N1924" s="786"/>
      <c r="O1924" s="786"/>
    </row>
    <row r="1925" spans="1:15" ht="31.5">
      <c r="A1925" s="793">
        <v>227</v>
      </c>
      <c r="B1925" s="864" t="s">
        <v>2376</v>
      </c>
      <c r="C1925" s="837" t="s">
        <v>2377</v>
      </c>
      <c r="D1925" s="786" t="s">
        <v>40</v>
      </c>
      <c r="E1925" s="790">
        <v>1056.0999999999999</v>
      </c>
      <c r="F1925" s="861">
        <f>15-4-1-2-1</f>
        <v>7</v>
      </c>
      <c r="G1925" s="786">
        <f t="shared" si="97"/>
        <v>7392.6999999999989</v>
      </c>
      <c r="H1925" s="786"/>
      <c r="I1925" s="786"/>
      <c r="J1925" s="786"/>
      <c r="K1925" s="788"/>
      <c r="L1925" s="788"/>
      <c r="M1925" s="788"/>
      <c r="N1925" s="786"/>
      <c r="O1925" s="786"/>
    </row>
    <row r="1926" spans="1:15" ht="31.5">
      <c r="A1926" s="793">
        <v>228</v>
      </c>
      <c r="B1926" s="865" t="s">
        <v>2378</v>
      </c>
      <c r="C1926" s="841" t="s">
        <v>2379</v>
      </c>
      <c r="D1926" s="786" t="s">
        <v>37</v>
      </c>
      <c r="E1926" s="790">
        <v>2944.1</v>
      </c>
      <c r="F1926" s="861">
        <v>10</v>
      </c>
      <c r="G1926" s="786">
        <f t="shared" si="97"/>
        <v>29441</v>
      </c>
      <c r="H1926" s="786"/>
      <c r="I1926" s="786"/>
      <c r="J1926" s="786"/>
      <c r="K1926" s="788"/>
      <c r="L1926" s="788"/>
      <c r="M1926" s="788"/>
      <c r="N1926" s="786"/>
      <c r="O1926" s="786"/>
    </row>
    <row r="1927" spans="1:15" ht="15.75">
      <c r="A1927" s="806">
        <v>397</v>
      </c>
      <c r="B1927" s="858" t="s">
        <v>698</v>
      </c>
      <c r="C1927" s="840" t="s">
        <v>1716</v>
      </c>
      <c r="D1927" s="786" t="s">
        <v>195</v>
      </c>
      <c r="E1927" s="790">
        <v>5829.2</v>
      </c>
      <c r="F1927" s="861">
        <f>100-4-2-1-2-4-4-4-4-20-4-3-2-2-5-2-2-2-2-1-2-1-2-1-1-1-1</f>
        <v>21</v>
      </c>
      <c r="G1927" s="809">
        <f t="shared" si="97"/>
        <v>122413.2</v>
      </c>
      <c r="H1927" s="786"/>
      <c r="I1927" s="786"/>
      <c r="J1927" s="786"/>
      <c r="K1927" s="788"/>
      <c r="L1927" s="788"/>
      <c r="M1927" s="788"/>
      <c r="N1927" s="786"/>
      <c r="O1927" s="786"/>
    </row>
    <row r="1928" spans="1:15" ht="15.75">
      <c r="A1928" s="786"/>
      <c r="B1928" s="858" t="s">
        <v>2354</v>
      </c>
      <c r="C1928" s="837" t="s">
        <v>2380</v>
      </c>
      <c r="D1928" s="786" t="s">
        <v>40</v>
      </c>
      <c r="E1928" s="790">
        <v>10000</v>
      </c>
      <c r="F1928" s="861"/>
      <c r="G1928" s="786">
        <f t="shared" si="97"/>
        <v>0</v>
      </c>
      <c r="H1928" s="786"/>
      <c r="I1928" s="786"/>
      <c r="J1928" s="786"/>
      <c r="K1928" s="788"/>
      <c r="L1928" s="788">
        <f>1+1-1</f>
        <v>1</v>
      </c>
      <c r="M1928" s="819">
        <f>E1928*L1928</f>
        <v>10000</v>
      </c>
      <c r="N1928" s="786"/>
      <c r="O1928" s="786"/>
    </row>
    <row r="1929" spans="1:15" ht="63">
      <c r="A1929" s="786"/>
      <c r="B1929" s="858" t="s">
        <v>2381</v>
      </c>
      <c r="C1929" s="837" t="s">
        <v>2382</v>
      </c>
      <c r="D1929" s="786" t="s">
        <v>40</v>
      </c>
      <c r="E1929" s="790">
        <v>13546.4</v>
      </c>
      <c r="F1929" s="861">
        <f>4-3</f>
        <v>1</v>
      </c>
      <c r="G1929" s="786">
        <f t="shared" si="97"/>
        <v>13546.4</v>
      </c>
      <c r="H1929" s="786"/>
      <c r="I1929" s="786"/>
      <c r="J1929" s="786"/>
      <c r="K1929" s="788"/>
      <c r="L1929" s="788"/>
      <c r="M1929" s="788"/>
      <c r="N1929" s="786"/>
      <c r="O1929" s="786"/>
    </row>
    <row r="1930" spans="1:15" ht="15.75">
      <c r="A1930" s="786"/>
      <c r="B1930" s="834"/>
      <c r="C1930" s="837"/>
      <c r="D1930" s="786"/>
      <c r="E1930" s="790"/>
      <c r="F1930" s="861"/>
      <c r="G1930" s="861"/>
      <c r="H1930" s="786"/>
      <c r="I1930" s="786"/>
      <c r="J1930" s="786"/>
      <c r="K1930" s="788"/>
      <c r="L1930" s="788"/>
      <c r="M1930" s="788"/>
      <c r="N1930" s="786"/>
      <c r="O1930" s="786"/>
    </row>
    <row r="1931" spans="1:15" ht="15.75">
      <c r="A1931" s="786">
        <v>2</v>
      </c>
      <c r="B1931" s="866" t="s">
        <v>2383</v>
      </c>
      <c r="C1931" s="1182" t="s">
        <v>842</v>
      </c>
      <c r="D1931" s="786" t="s">
        <v>40</v>
      </c>
      <c r="E1931" s="790">
        <v>187956</v>
      </c>
      <c r="F1931" s="786">
        <f>6-3</f>
        <v>3</v>
      </c>
      <c r="G1931" s="786">
        <f t="shared" ref="G1931:G1936" si="98">E1931*F1931</f>
        <v>563868</v>
      </c>
      <c r="H1931" s="786"/>
      <c r="I1931" s="786"/>
      <c r="J1931" s="786"/>
      <c r="K1931" s="788"/>
      <c r="L1931" s="788"/>
      <c r="M1931" s="788"/>
      <c r="N1931" s="786"/>
      <c r="O1931" s="786"/>
    </row>
    <row r="1932" spans="1:15" ht="15.75">
      <c r="A1932" s="786"/>
      <c r="B1932" s="866" t="s">
        <v>2383</v>
      </c>
      <c r="C1932" s="1182"/>
      <c r="D1932" s="786" t="s">
        <v>40</v>
      </c>
      <c r="E1932" s="790">
        <v>500</v>
      </c>
      <c r="F1932" s="786">
        <f>15+3</f>
        <v>18</v>
      </c>
      <c r="G1932" s="786">
        <f t="shared" si="98"/>
        <v>9000</v>
      </c>
      <c r="H1932" s="786"/>
      <c r="I1932" s="786"/>
      <c r="J1932" s="786"/>
      <c r="K1932" s="788"/>
      <c r="L1932" s="788"/>
      <c r="M1932" s="788"/>
      <c r="N1932" s="786"/>
      <c r="O1932" s="786"/>
    </row>
    <row r="1933" spans="1:15" ht="31.5">
      <c r="A1933" s="786">
        <v>3</v>
      </c>
      <c r="B1933" s="866" t="s">
        <v>421</v>
      </c>
      <c r="C1933" s="837" t="s">
        <v>2384</v>
      </c>
      <c r="D1933" s="786" t="s">
        <v>40</v>
      </c>
      <c r="E1933" s="790">
        <v>500</v>
      </c>
      <c r="F1933" s="786">
        <f>3-1-1+12</f>
        <v>13</v>
      </c>
      <c r="G1933" s="786">
        <f t="shared" si="98"/>
        <v>6500</v>
      </c>
      <c r="H1933" s="786"/>
      <c r="I1933" s="786"/>
      <c r="J1933" s="867"/>
      <c r="K1933" s="868"/>
      <c r="L1933" s="868"/>
      <c r="M1933" s="868"/>
      <c r="N1933" s="867"/>
      <c r="O1933" s="867"/>
    </row>
    <row r="1934" spans="1:15" ht="15.75">
      <c r="A1934" s="786">
        <v>6</v>
      </c>
      <c r="B1934" s="866" t="s">
        <v>42</v>
      </c>
      <c r="C1934" s="837" t="s">
        <v>843</v>
      </c>
      <c r="D1934" s="786" t="s">
        <v>40</v>
      </c>
      <c r="E1934" s="790">
        <v>200</v>
      </c>
      <c r="F1934" s="786">
        <v>19</v>
      </c>
      <c r="G1934" s="786">
        <f t="shared" si="98"/>
        <v>3800</v>
      </c>
      <c r="H1934" s="786"/>
      <c r="I1934" s="786"/>
      <c r="J1934" s="848"/>
      <c r="K1934" s="849"/>
      <c r="L1934" s="849"/>
      <c r="M1934" s="849"/>
      <c r="N1934" s="848"/>
      <c r="O1934" s="848"/>
    </row>
    <row r="1935" spans="1:15" ht="15.75">
      <c r="A1935" s="806"/>
      <c r="B1935" s="834"/>
      <c r="C1935" s="812"/>
      <c r="D1935" s="786"/>
      <c r="E1935" s="790"/>
      <c r="F1935" s="786"/>
      <c r="G1935" s="786">
        <f t="shared" si="98"/>
        <v>0</v>
      </c>
      <c r="H1935" s="786"/>
      <c r="I1935" s="786"/>
      <c r="J1935" s="786"/>
      <c r="K1935" s="788"/>
      <c r="L1935" s="788"/>
      <c r="M1935" s="788"/>
      <c r="N1935" s="786"/>
      <c r="O1935" s="786"/>
    </row>
    <row r="1936" spans="1:15" ht="31.5">
      <c r="A1936" s="786">
        <v>144</v>
      </c>
      <c r="B1936" s="869" t="s">
        <v>2385</v>
      </c>
      <c r="C1936" s="837" t="s">
        <v>2386</v>
      </c>
      <c r="D1936" s="786" t="s">
        <v>40</v>
      </c>
      <c r="E1936" s="790">
        <v>4900.6000000000004</v>
      </c>
      <c r="F1936" s="786">
        <f>5-2</f>
        <v>3</v>
      </c>
      <c r="G1936" s="786">
        <f t="shared" si="98"/>
        <v>14701.800000000001</v>
      </c>
      <c r="H1936" s="786"/>
      <c r="I1936" s="786"/>
      <c r="J1936" s="786"/>
      <c r="K1936" s="786"/>
      <c r="L1936" s="786"/>
      <c r="M1936" s="786"/>
      <c r="N1936" s="786"/>
      <c r="O1936" s="786"/>
    </row>
    <row r="1937" spans="1:15" ht="15.75">
      <c r="A1937" s="806"/>
      <c r="B1937" s="800"/>
      <c r="C1937" s="812"/>
      <c r="D1937" s="806"/>
      <c r="E1937" s="870"/>
      <c r="F1937" s="806"/>
      <c r="G1937" s="806"/>
      <c r="H1937" s="806"/>
      <c r="I1937" s="806"/>
      <c r="J1937" s="806"/>
      <c r="K1937" s="810"/>
      <c r="L1937" s="810"/>
      <c r="M1937" s="810"/>
      <c r="N1937" s="806"/>
      <c r="O1937" s="806"/>
    </row>
    <row r="1938" spans="1:15" ht="63">
      <c r="A1938" s="806">
        <v>13</v>
      </c>
      <c r="B1938" s="871" t="s">
        <v>2387</v>
      </c>
      <c r="C1938" s="808" t="s">
        <v>2388</v>
      </c>
      <c r="D1938" s="862" t="s">
        <v>40</v>
      </c>
      <c r="E1938" s="806">
        <v>5888</v>
      </c>
      <c r="F1938" s="806">
        <v>0</v>
      </c>
      <c r="G1938" s="786">
        <f t="shared" ref="G1938:G1948" si="99">E1938*F1938</f>
        <v>0</v>
      </c>
      <c r="H1938" s="806"/>
      <c r="I1938" s="806"/>
      <c r="J1938" s="806"/>
      <c r="K1938" s="806"/>
      <c r="L1938" s="806"/>
      <c r="M1938" s="806"/>
      <c r="N1938" s="806"/>
      <c r="O1938" s="806"/>
    </row>
    <row r="1939" spans="1:15" ht="63">
      <c r="A1939" s="806">
        <v>13</v>
      </c>
      <c r="B1939" s="872" t="s">
        <v>2389</v>
      </c>
      <c r="C1939" s="812" t="s">
        <v>2390</v>
      </c>
      <c r="D1939" s="806" t="s">
        <v>40</v>
      </c>
      <c r="E1939" s="806">
        <v>8083</v>
      </c>
      <c r="F1939" s="806">
        <f>9-2</f>
        <v>7</v>
      </c>
      <c r="G1939" s="786">
        <f t="shared" si="99"/>
        <v>56581</v>
      </c>
      <c r="H1939" s="806"/>
      <c r="I1939" s="806"/>
      <c r="J1939" s="806"/>
      <c r="K1939" s="806"/>
      <c r="L1939" s="806"/>
      <c r="M1939" s="806"/>
      <c r="N1939" s="806"/>
      <c r="O1939" s="806"/>
    </row>
    <row r="1940" spans="1:15" ht="31.5">
      <c r="A1940" s="806"/>
      <c r="B1940" s="872" t="s">
        <v>2391</v>
      </c>
      <c r="C1940" s="812" t="s">
        <v>2392</v>
      </c>
      <c r="D1940" s="806" t="s">
        <v>40</v>
      </c>
      <c r="E1940" s="806">
        <v>100</v>
      </c>
      <c r="F1940" s="806">
        <v>1</v>
      </c>
      <c r="G1940" s="786">
        <f t="shared" si="99"/>
        <v>100</v>
      </c>
      <c r="H1940" s="806"/>
      <c r="I1940" s="806"/>
      <c r="J1940" s="806"/>
      <c r="K1940" s="806"/>
      <c r="L1940" s="806"/>
      <c r="M1940" s="806"/>
      <c r="N1940" s="806"/>
      <c r="O1940" s="806"/>
    </row>
    <row r="1941" spans="1:15" ht="78.75">
      <c r="A1941" s="806">
        <v>17</v>
      </c>
      <c r="B1941" s="872" t="s">
        <v>2393</v>
      </c>
      <c r="C1941" s="812" t="s">
        <v>848</v>
      </c>
      <c r="D1941" s="806" t="s">
        <v>40</v>
      </c>
      <c r="E1941" s="806">
        <v>2938.2</v>
      </c>
      <c r="F1941" s="806">
        <v>2</v>
      </c>
      <c r="G1941" s="786">
        <f t="shared" si="99"/>
        <v>5876.4</v>
      </c>
      <c r="H1941" s="806"/>
      <c r="I1941" s="806"/>
      <c r="J1941" s="806"/>
      <c r="K1941" s="806"/>
      <c r="L1941" s="806"/>
      <c r="M1941" s="806"/>
      <c r="N1941" s="806"/>
      <c r="O1941" s="806"/>
    </row>
    <row r="1942" spans="1:15" ht="47.25">
      <c r="A1942" s="786">
        <v>216</v>
      </c>
      <c r="B1942" s="871" t="s">
        <v>2394</v>
      </c>
      <c r="C1942" s="840" t="s">
        <v>2395</v>
      </c>
      <c r="D1942" s="786" t="s">
        <v>37</v>
      </c>
      <c r="E1942" s="790">
        <v>2584.1999999999998</v>
      </c>
      <c r="F1942" s="861">
        <f>7-1-6</f>
        <v>0</v>
      </c>
      <c r="G1942" s="786">
        <f t="shared" si="99"/>
        <v>0</v>
      </c>
      <c r="H1942" s="786"/>
      <c r="I1942" s="786"/>
      <c r="J1942" s="786"/>
      <c r="K1942" s="788"/>
      <c r="L1942" s="788"/>
      <c r="M1942" s="788"/>
      <c r="N1942" s="786"/>
      <c r="O1942" s="786"/>
    </row>
    <row r="1943" spans="1:15" ht="110.25">
      <c r="A1943" s="806">
        <v>353</v>
      </c>
      <c r="B1943" s="872" t="s">
        <v>2396</v>
      </c>
      <c r="C1943" s="812" t="s">
        <v>2397</v>
      </c>
      <c r="D1943" s="806" t="s">
        <v>40</v>
      </c>
      <c r="E1943" s="870">
        <v>4106.3999999999996</v>
      </c>
      <c r="F1943" s="806">
        <v>3</v>
      </c>
      <c r="G1943" s="786">
        <f t="shared" si="99"/>
        <v>12319.199999999999</v>
      </c>
      <c r="H1943" s="806"/>
      <c r="I1943" s="806"/>
      <c r="J1943" s="806"/>
      <c r="K1943" s="806"/>
      <c r="L1943" s="806"/>
      <c r="M1943" s="806"/>
      <c r="N1943" s="806"/>
      <c r="O1943" s="806"/>
    </row>
    <row r="1944" spans="1:15" ht="110.25">
      <c r="A1944" s="806">
        <v>354</v>
      </c>
      <c r="B1944" s="872" t="s">
        <v>1728</v>
      </c>
      <c r="C1944" s="812" t="s">
        <v>2398</v>
      </c>
      <c r="D1944" s="806" t="s">
        <v>40</v>
      </c>
      <c r="E1944" s="870">
        <v>4106.3999999999996</v>
      </c>
      <c r="F1944" s="806">
        <v>3</v>
      </c>
      <c r="G1944" s="786">
        <f t="shared" si="99"/>
        <v>12319.199999999999</v>
      </c>
      <c r="H1944" s="806"/>
      <c r="I1944" s="806"/>
      <c r="J1944" s="806"/>
      <c r="K1944" s="806"/>
      <c r="L1944" s="806"/>
      <c r="M1944" s="806"/>
      <c r="N1944" s="806"/>
      <c r="O1944" s="806"/>
    </row>
    <row r="1945" spans="1:15" ht="94.5">
      <c r="A1945" s="806"/>
      <c r="B1945" s="872" t="s">
        <v>1730</v>
      </c>
      <c r="C1945" s="812" t="s">
        <v>2399</v>
      </c>
      <c r="D1945" s="806" t="s">
        <v>40</v>
      </c>
      <c r="E1945" s="870">
        <v>4106.3999999999996</v>
      </c>
      <c r="F1945" s="806">
        <v>2</v>
      </c>
      <c r="G1945" s="786">
        <f t="shared" si="99"/>
        <v>8212.7999999999993</v>
      </c>
      <c r="H1945" s="806"/>
      <c r="I1945" s="806"/>
      <c r="J1945" s="806"/>
      <c r="K1945" s="806"/>
      <c r="L1945" s="806"/>
      <c r="M1945" s="806"/>
      <c r="N1945" s="806"/>
      <c r="O1945" s="806"/>
    </row>
    <row r="1946" spans="1:15" ht="126">
      <c r="A1946" s="806"/>
      <c r="B1946" s="872" t="s">
        <v>2400</v>
      </c>
      <c r="C1946" s="812" t="s">
        <v>2401</v>
      </c>
      <c r="D1946" s="806" t="s">
        <v>40</v>
      </c>
      <c r="E1946" s="870">
        <v>4106.3999999999996</v>
      </c>
      <c r="F1946" s="806">
        <f>6+3</f>
        <v>9</v>
      </c>
      <c r="G1946" s="786">
        <f t="shared" si="99"/>
        <v>36957.599999999999</v>
      </c>
      <c r="H1946" s="806"/>
      <c r="I1946" s="806"/>
      <c r="J1946" s="806"/>
      <c r="K1946" s="806"/>
      <c r="L1946" s="806"/>
      <c r="M1946" s="806"/>
      <c r="N1946" s="806"/>
      <c r="O1946" s="806"/>
    </row>
    <row r="1947" spans="1:15" ht="110.25">
      <c r="A1947" s="806"/>
      <c r="B1947" s="872" t="s">
        <v>2402</v>
      </c>
      <c r="C1947" s="812" t="s">
        <v>2403</v>
      </c>
      <c r="D1947" s="806" t="s">
        <v>40</v>
      </c>
      <c r="E1947" s="870">
        <v>7888.3</v>
      </c>
      <c r="F1947" s="806">
        <f>3-1</f>
        <v>2</v>
      </c>
      <c r="G1947" s="786">
        <f t="shared" si="99"/>
        <v>15776.6</v>
      </c>
      <c r="H1947" s="870"/>
      <c r="I1947" s="806"/>
      <c r="J1947" s="806"/>
      <c r="K1947" s="806"/>
      <c r="L1947" s="806"/>
      <c r="M1947" s="806"/>
      <c r="N1947" s="806"/>
      <c r="O1947" s="806"/>
    </row>
    <row r="1948" spans="1:15" ht="110.25">
      <c r="A1948" s="806"/>
      <c r="B1948" s="872" t="s">
        <v>2402</v>
      </c>
      <c r="C1948" s="812" t="s">
        <v>2404</v>
      </c>
      <c r="D1948" s="806" t="s">
        <v>40</v>
      </c>
      <c r="E1948" s="870">
        <v>7888.3</v>
      </c>
      <c r="F1948" s="806">
        <v>3</v>
      </c>
      <c r="G1948" s="786">
        <f t="shared" si="99"/>
        <v>23664.9</v>
      </c>
      <c r="H1948" s="806"/>
      <c r="I1948" s="806"/>
      <c r="J1948" s="806"/>
      <c r="K1948" s="806"/>
      <c r="L1948" s="806"/>
      <c r="M1948" s="806"/>
      <c r="N1948" s="806"/>
      <c r="O1948" s="806"/>
    </row>
    <row r="1949" spans="1:15" ht="15.75">
      <c r="A1949" s="806"/>
      <c r="B1949" s="873"/>
      <c r="C1949" s="812"/>
      <c r="D1949" s="806"/>
      <c r="E1949" s="806"/>
      <c r="F1949" s="806"/>
      <c r="G1949" s="786"/>
      <c r="H1949" s="806"/>
      <c r="I1949" s="806"/>
      <c r="J1949" s="806"/>
      <c r="K1949" s="806"/>
      <c r="L1949" s="806"/>
      <c r="M1949" s="806"/>
      <c r="N1949" s="806"/>
      <c r="O1949" s="806"/>
    </row>
    <row r="1950" spans="1:15" ht="78.75">
      <c r="A1950" s="806">
        <v>135</v>
      </c>
      <c r="B1950" s="872" t="s">
        <v>2405</v>
      </c>
      <c r="C1950" s="812" t="s">
        <v>2406</v>
      </c>
      <c r="D1950" s="806" t="s">
        <v>40</v>
      </c>
      <c r="E1950" s="806">
        <v>58.76</v>
      </c>
      <c r="F1950" s="806">
        <f>50-30-5-5</f>
        <v>10</v>
      </c>
      <c r="G1950" s="786">
        <f t="shared" ref="G1950:G2013" si="100">E1950*F1950</f>
        <v>587.6</v>
      </c>
      <c r="H1950" s="806"/>
      <c r="I1950" s="806"/>
      <c r="J1950" s="806"/>
      <c r="K1950" s="806"/>
      <c r="L1950" s="806"/>
      <c r="M1950" s="806"/>
      <c r="N1950" s="806"/>
      <c r="O1950" s="806"/>
    </row>
    <row r="1951" spans="1:15" ht="63">
      <c r="A1951" s="806"/>
      <c r="B1951" s="872" t="s">
        <v>2407</v>
      </c>
      <c r="C1951" s="812" t="s">
        <v>2408</v>
      </c>
      <c r="D1951" s="806" t="s">
        <v>40</v>
      </c>
      <c r="E1951" s="806">
        <v>12213</v>
      </c>
      <c r="F1951" s="806">
        <f>6-1-1-1-1-1</f>
        <v>1</v>
      </c>
      <c r="G1951" s="786">
        <f t="shared" si="100"/>
        <v>12213</v>
      </c>
      <c r="H1951" s="806"/>
      <c r="I1951" s="806"/>
      <c r="J1951" s="806"/>
      <c r="K1951" s="806"/>
      <c r="L1951" s="806"/>
      <c r="M1951" s="806"/>
      <c r="N1951" s="806"/>
      <c r="O1951" s="806"/>
    </row>
    <row r="1952" spans="1:15" ht="78.75">
      <c r="A1952" s="806">
        <v>202</v>
      </c>
      <c r="B1952" s="872" t="s">
        <v>2409</v>
      </c>
      <c r="C1952" s="808" t="s">
        <v>2410</v>
      </c>
      <c r="D1952" s="806" t="s">
        <v>40</v>
      </c>
      <c r="E1952" s="806">
        <v>8732</v>
      </c>
      <c r="F1952" s="806">
        <f>5-1-1-1-2</f>
        <v>0</v>
      </c>
      <c r="G1952" s="786">
        <f t="shared" si="100"/>
        <v>0</v>
      </c>
      <c r="H1952" s="806"/>
      <c r="I1952" s="806"/>
      <c r="J1952" s="806"/>
      <c r="K1952" s="806"/>
      <c r="L1952" s="806"/>
      <c r="M1952" s="806"/>
      <c r="N1952" s="806"/>
      <c r="O1952" s="806"/>
    </row>
    <row r="1953" spans="1:15" ht="47.25">
      <c r="A1953" s="862">
        <v>475</v>
      </c>
      <c r="B1953" s="872" t="s">
        <v>2411</v>
      </c>
      <c r="C1953" s="874" t="s">
        <v>2412</v>
      </c>
      <c r="D1953" s="806" t="s">
        <v>40</v>
      </c>
      <c r="E1953" s="870">
        <v>2118.1</v>
      </c>
      <c r="F1953" s="806">
        <v>8</v>
      </c>
      <c r="G1953" s="786">
        <f t="shared" si="100"/>
        <v>16944.8</v>
      </c>
      <c r="H1953" s="806"/>
      <c r="I1953" s="806"/>
      <c r="J1953" s="806"/>
      <c r="K1953" s="806"/>
      <c r="L1953" s="806"/>
      <c r="M1953" s="806"/>
      <c r="N1953" s="806"/>
      <c r="O1953" s="806"/>
    </row>
    <row r="1954" spans="1:15" ht="47.25">
      <c r="A1954" s="875"/>
      <c r="B1954" s="872" t="s">
        <v>2411</v>
      </c>
      <c r="C1954" s="876" t="s">
        <v>2413</v>
      </c>
      <c r="D1954" s="806" t="s">
        <v>40</v>
      </c>
      <c r="E1954" s="870">
        <v>10608.2</v>
      </c>
      <c r="F1954" s="806">
        <v>6</v>
      </c>
      <c r="G1954" s="786">
        <f t="shared" si="100"/>
        <v>63649.200000000004</v>
      </c>
      <c r="H1954" s="806"/>
      <c r="I1954" s="806"/>
      <c r="J1954" s="806"/>
      <c r="K1954" s="806"/>
      <c r="L1954" s="806"/>
      <c r="M1954" s="806"/>
      <c r="N1954" s="806"/>
      <c r="O1954" s="806"/>
    </row>
    <row r="1955" spans="1:15" ht="47.25">
      <c r="A1955" s="875"/>
      <c r="B1955" s="872" t="s">
        <v>2411</v>
      </c>
      <c r="C1955" s="876" t="s">
        <v>2414</v>
      </c>
      <c r="D1955" s="806" t="s">
        <v>40</v>
      </c>
      <c r="E1955" s="870">
        <v>5888.2</v>
      </c>
      <c r="F1955" s="806">
        <v>4</v>
      </c>
      <c r="G1955" s="786">
        <f t="shared" si="100"/>
        <v>23552.799999999999</v>
      </c>
      <c r="H1955" s="806"/>
      <c r="I1955" s="806"/>
      <c r="J1955" s="806"/>
      <c r="K1955" s="806"/>
      <c r="L1955" s="806"/>
      <c r="M1955" s="806"/>
      <c r="N1955" s="806"/>
      <c r="O1955" s="806"/>
    </row>
    <row r="1956" spans="1:15" ht="31.5">
      <c r="A1956" s="806">
        <v>483</v>
      </c>
      <c r="B1956" s="872" t="s">
        <v>2415</v>
      </c>
      <c r="C1956" s="812" t="s">
        <v>2416</v>
      </c>
      <c r="D1956" s="806" t="s">
        <v>40</v>
      </c>
      <c r="E1956" s="790">
        <v>1464</v>
      </c>
      <c r="F1956" s="806">
        <v>2</v>
      </c>
      <c r="G1956" s="786">
        <f t="shared" si="100"/>
        <v>2928</v>
      </c>
      <c r="H1956" s="806"/>
      <c r="I1956" s="806"/>
      <c r="J1956" s="806"/>
      <c r="K1956" s="806"/>
      <c r="L1956" s="806"/>
      <c r="M1956" s="806"/>
      <c r="N1956" s="806"/>
      <c r="O1956" s="806"/>
    </row>
    <row r="1957" spans="1:15" ht="47.25">
      <c r="A1957" s="806"/>
      <c r="B1957" s="872" t="s">
        <v>2417</v>
      </c>
      <c r="C1957" s="812" t="s">
        <v>2418</v>
      </c>
      <c r="D1957" s="806" t="s">
        <v>40</v>
      </c>
      <c r="E1957" s="790">
        <v>2938.2</v>
      </c>
      <c r="F1957" s="806">
        <f>4-2-2</f>
        <v>0</v>
      </c>
      <c r="G1957" s="786">
        <f t="shared" si="100"/>
        <v>0</v>
      </c>
      <c r="H1957" s="806"/>
      <c r="I1957" s="806"/>
      <c r="J1957" s="806"/>
      <c r="K1957" s="810"/>
      <c r="L1957" s="810"/>
      <c r="M1957" s="810"/>
      <c r="N1957" s="806"/>
      <c r="O1957" s="806"/>
    </row>
    <row r="1958" spans="1:15" ht="15.75">
      <c r="A1958" s="806"/>
      <c r="B1958" s="800"/>
      <c r="C1958" s="812"/>
      <c r="D1958" s="806"/>
      <c r="E1958" s="790"/>
      <c r="F1958" s="806"/>
      <c r="G1958" s="786">
        <f t="shared" si="100"/>
        <v>0</v>
      </c>
      <c r="H1958" s="806"/>
      <c r="I1958" s="806"/>
      <c r="J1958" s="806"/>
      <c r="K1958" s="810"/>
      <c r="L1958" s="810"/>
      <c r="M1958" s="810"/>
      <c r="N1958" s="806"/>
      <c r="O1958" s="806"/>
    </row>
    <row r="1959" spans="1:15" ht="63">
      <c r="A1959" s="786">
        <v>34</v>
      </c>
      <c r="B1959" s="877" t="s">
        <v>2419</v>
      </c>
      <c r="C1959" s="837" t="s">
        <v>2420</v>
      </c>
      <c r="D1959" s="786" t="s">
        <v>40</v>
      </c>
      <c r="E1959" s="790">
        <v>20000</v>
      </c>
      <c r="F1959" s="786">
        <v>12</v>
      </c>
      <c r="G1959" s="786">
        <f t="shared" si="100"/>
        <v>240000</v>
      </c>
      <c r="H1959" s="786"/>
      <c r="I1959" s="786"/>
      <c r="J1959" s="786"/>
      <c r="K1959" s="788"/>
      <c r="L1959" s="788"/>
      <c r="M1959" s="788"/>
      <c r="N1959" s="786"/>
      <c r="O1959" s="786"/>
    </row>
    <row r="1960" spans="1:15" ht="63">
      <c r="A1960" s="806">
        <v>35</v>
      </c>
      <c r="B1960" s="877" t="s">
        <v>1753</v>
      </c>
      <c r="C1960" s="812" t="s">
        <v>2421</v>
      </c>
      <c r="D1960" s="786" t="s">
        <v>40</v>
      </c>
      <c r="E1960" s="790">
        <v>3175.38</v>
      </c>
      <c r="F1960" s="786">
        <f>2+10-6</f>
        <v>6</v>
      </c>
      <c r="G1960" s="786">
        <f t="shared" si="100"/>
        <v>19052.28</v>
      </c>
      <c r="H1960" s="786"/>
      <c r="I1960" s="786"/>
      <c r="J1960" s="786"/>
      <c r="K1960" s="788"/>
      <c r="L1960" s="788"/>
      <c r="M1960" s="788"/>
      <c r="N1960" s="786"/>
      <c r="O1960" s="786"/>
    </row>
    <row r="1961" spans="1:15" ht="15.75">
      <c r="A1961" s="786">
        <v>11</v>
      </c>
      <c r="B1961" s="877" t="s">
        <v>2422</v>
      </c>
      <c r="C1961" s="1171" t="s">
        <v>2423</v>
      </c>
      <c r="D1961" s="786" t="s">
        <v>40</v>
      </c>
      <c r="E1961" s="790">
        <v>1646.1</v>
      </c>
      <c r="F1961" s="786">
        <f>12-4-5-2-1</f>
        <v>0</v>
      </c>
      <c r="G1961" s="786">
        <f t="shared" si="100"/>
        <v>0</v>
      </c>
      <c r="H1961" s="786"/>
      <c r="I1961" s="786"/>
      <c r="J1961" s="786"/>
      <c r="K1961" s="788"/>
      <c r="L1961" s="788"/>
      <c r="M1961" s="788"/>
      <c r="N1961" s="786"/>
      <c r="O1961" s="786"/>
    </row>
    <row r="1962" spans="1:15" ht="15.75">
      <c r="A1962" s="786"/>
      <c r="B1962" s="877" t="s">
        <v>2422</v>
      </c>
      <c r="C1962" s="1181"/>
      <c r="D1962" s="786" t="s">
        <v>40</v>
      </c>
      <c r="E1962" s="790">
        <v>2348.1999999999998</v>
      </c>
      <c r="F1962" s="786">
        <f>12-2-4-4-2</f>
        <v>0</v>
      </c>
      <c r="G1962" s="786">
        <f t="shared" si="100"/>
        <v>0</v>
      </c>
      <c r="H1962" s="786"/>
      <c r="I1962" s="786"/>
      <c r="J1962" s="786"/>
      <c r="K1962" s="788"/>
      <c r="L1962" s="788"/>
      <c r="M1962" s="788"/>
      <c r="N1962" s="786"/>
      <c r="O1962" s="786"/>
    </row>
    <row r="1963" spans="1:15" ht="78.75">
      <c r="A1963" s="786">
        <v>18</v>
      </c>
      <c r="B1963" s="878" t="s">
        <v>2424</v>
      </c>
      <c r="C1963" s="837" t="s">
        <v>2425</v>
      </c>
      <c r="D1963" s="786" t="s">
        <v>40</v>
      </c>
      <c r="E1963" s="790">
        <v>0</v>
      </c>
      <c r="F1963" s="786">
        <v>0</v>
      </c>
      <c r="G1963" s="786">
        <f t="shared" si="100"/>
        <v>0</v>
      </c>
      <c r="H1963" s="786"/>
      <c r="I1963" s="786"/>
      <c r="J1963" s="786"/>
      <c r="K1963" s="788"/>
      <c r="L1963" s="788"/>
      <c r="M1963" s="788"/>
      <c r="N1963" s="786"/>
      <c r="O1963" s="786"/>
    </row>
    <row r="1964" spans="1:15" ht="31.5">
      <c r="A1964" s="786">
        <v>111</v>
      </c>
      <c r="B1964" s="878" t="s">
        <v>2426</v>
      </c>
      <c r="C1964" s="837" t="s">
        <v>2427</v>
      </c>
      <c r="D1964" s="786" t="s">
        <v>40</v>
      </c>
      <c r="E1964" s="790">
        <v>0</v>
      </c>
      <c r="F1964" s="786">
        <v>0</v>
      </c>
      <c r="G1964" s="786">
        <f t="shared" si="100"/>
        <v>0</v>
      </c>
      <c r="H1964" s="786"/>
      <c r="I1964" s="786"/>
      <c r="J1964" s="786"/>
      <c r="K1964" s="788"/>
      <c r="L1964" s="788"/>
      <c r="M1964" s="788"/>
      <c r="N1964" s="786"/>
      <c r="O1964" s="786"/>
    </row>
    <row r="1965" spans="1:15" ht="31.5">
      <c r="A1965" s="786"/>
      <c r="B1965" s="878"/>
      <c r="C1965" s="837" t="s">
        <v>2428</v>
      </c>
      <c r="D1965" s="786" t="s">
        <v>40</v>
      </c>
      <c r="E1965" s="790">
        <v>0</v>
      </c>
      <c r="F1965" s="786">
        <v>0</v>
      </c>
      <c r="G1965" s="786">
        <f t="shared" si="100"/>
        <v>0</v>
      </c>
      <c r="H1965" s="786"/>
      <c r="I1965" s="786"/>
      <c r="J1965" s="786"/>
      <c r="K1965" s="788"/>
      <c r="L1965" s="788"/>
      <c r="M1965" s="788"/>
      <c r="N1965" s="786"/>
      <c r="O1965" s="786"/>
    </row>
    <row r="1966" spans="1:15" ht="31.5">
      <c r="A1966" s="786"/>
      <c r="B1966" s="877" t="s">
        <v>2429</v>
      </c>
      <c r="C1966" s="837" t="s">
        <v>2430</v>
      </c>
      <c r="D1966" s="786" t="s">
        <v>40</v>
      </c>
      <c r="E1966" s="790">
        <v>2828.46</v>
      </c>
      <c r="F1966" s="786">
        <v>20</v>
      </c>
      <c r="G1966" s="786">
        <f t="shared" si="100"/>
        <v>56569.2</v>
      </c>
      <c r="H1966" s="786"/>
      <c r="I1966" s="786"/>
      <c r="J1966" s="786"/>
      <c r="K1966" s="788"/>
      <c r="L1966" s="788"/>
      <c r="M1966" s="788"/>
      <c r="N1966" s="786"/>
      <c r="O1966" s="786"/>
    </row>
    <row r="1967" spans="1:15" ht="31.5">
      <c r="A1967" s="786">
        <v>113</v>
      </c>
      <c r="B1967" s="877" t="s">
        <v>2431</v>
      </c>
      <c r="C1967" s="837" t="s">
        <v>2432</v>
      </c>
      <c r="D1967" s="786" t="s">
        <v>40</v>
      </c>
      <c r="E1967" s="790">
        <v>2003.64</v>
      </c>
      <c r="F1967" s="786">
        <v>20</v>
      </c>
      <c r="G1967" s="786">
        <f t="shared" si="100"/>
        <v>40072.800000000003</v>
      </c>
      <c r="H1967" s="786"/>
      <c r="I1967" s="786"/>
      <c r="J1967" s="786"/>
      <c r="K1967" s="788"/>
      <c r="L1967" s="788"/>
      <c r="M1967" s="788"/>
      <c r="N1967" s="786"/>
      <c r="O1967" s="786"/>
    </row>
    <row r="1968" spans="1:15" ht="31.5">
      <c r="A1968" s="856">
        <v>124</v>
      </c>
      <c r="B1968" s="879" t="s">
        <v>2433</v>
      </c>
      <c r="C1968" s="857" t="s">
        <v>2434</v>
      </c>
      <c r="D1968" s="856" t="s">
        <v>40</v>
      </c>
      <c r="E1968" s="856">
        <v>0</v>
      </c>
      <c r="F1968" s="856">
        <v>0</v>
      </c>
      <c r="G1968" s="786">
        <f t="shared" si="100"/>
        <v>0</v>
      </c>
      <c r="H1968" s="856"/>
      <c r="I1968" s="856"/>
      <c r="J1968" s="856"/>
      <c r="K1968" s="856"/>
      <c r="L1968" s="856"/>
      <c r="M1968" s="856"/>
      <c r="N1968" s="856"/>
      <c r="O1968" s="856"/>
    </row>
    <row r="1969" spans="1:15" ht="15.75">
      <c r="A1969" s="856"/>
      <c r="B1969" s="879"/>
      <c r="C1969" s="1175" t="s">
        <v>2435</v>
      </c>
      <c r="D1969" s="856" t="s">
        <v>40</v>
      </c>
      <c r="E1969" s="856">
        <v>0</v>
      </c>
      <c r="F1969" s="856">
        <v>0</v>
      </c>
      <c r="G1969" s="786">
        <f t="shared" si="100"/>
        <v>0</v>
      </c>
      <c r="H1969" s="856"/>
      <c r="I1969" s="856"/>
      <c r="J1969" s="856"/>
      <c r="K1969" s="856"/>
      <c r="L1969" s="856"/>
      <c r="M1969" s="856"/>
      <c r="N1969" s="856"/>
      <c r="O1969" s="856"/>
    </row>
    <row r="1970" spans="1:15" ht="15.75">
      <c r="A1970" s="856"/>
      <c r="B1970" s="879"/>
      <c r="C1970" s="1177"/>
      <c r="D1970" s="856" t="s">
        <v>40</v>
      </c>
      <c r="E1970" s="856">
        <v>979.4</v>
      </c>
      <c r="F1970" s="856">
        <f>6-3-3</f>
        <v>0</v>
      </c>
      <c r="G1970" s="786">
        <f t="shared" si="100"/>
        <v>0</v>
      </c>
      <c r="H1970" s="856"/>
      <c r="I1970" s="856"/>
      <c r="J1970" s="856"/>
      <c r="K1970" s="880"/>
      <c r="L1970" s="880"/>
      <c r="M1970" s="880"/>
      <c r="N1970" s="856"/>
      <c r="O1970" s="856"/>
    </row>
    <row r="1971" spans="1:15" ht="31.5">
      <c r="A1971" s="856"/>
      <c r="B1971" s="877" t="s">
        <v>2436</v>
      </c>
      <c r="C1971" s="857" t="s">
        <v>2437</v>
      </c>
      <c r="D1971" s="856" t="s">
        <v>37</v>
      </c>
      <c r="E1971" s="856">
        <v>3528.2</v>
      </c>
      <c r="F1971" s="856">
        <f>10-4-4-2</f>
        <v>0</v>
      </c>
      <c r="G1971" s="786">
        <f t="shared" si="100"/>
        <v>0</v>
      </c>
      <c r="H1971" s="856"/>
      <c r="I1971" s="856"/>
      <c r="J1971" s="856"/>
      <c r="K1971" s="880"/>
      <c r="L1971" s="880"/>
      <c r="M1971" s="880"/>
      <c r="N1971" s="856"/>
      <c r="O1971" s="856"/>
    </row>
    <row r="1972" spans="1:15" ht="15.75">
      <c r="A1972" s="856"/>
      <c r="B1972" s="877" t="s">
        <v>2436</v>
      </c>
      <c r="C1972" s="1175" t="s">
        <v>2438</v>
      </c>
      <c r="D1972" s="856" t="s">
        <v>40</v>
      </c>
      <c r="E1972" s="856">
        <v>2336.4</v>
      </c>
      <c r="F1972" s="856">
        <f>4-2-1-1</f>
        <v>0</v>
      </c>
      <c r="G1972" s="786">
        <f t="shared" si="100"/>
        <v>0</v>
      </c>
      <c r="H1972" s="856"/>
      <c r="I1972" s="856"/>
      <c r="J1972" s="856"/>
      <c r="K1972" s="880"/>
      <c r="L1972" s="880"/>
      <c r="M1972" s="880"/>
      <c r="N1972" s="856"/>
      <c r="O1972" s="856"/>
    </row>
    <row r="1973" spans="1:15" ht="15.75">
      <c r="A1973" s="856"/>
      <c r="B1973" s="877" t="s">
        <v>2436</v>
      </c>
      <c r="C1973" s="1177"/>
      <c r="D1973" s="856" t="s">
        <v>40</v>
      </c>
      <c r="E1973" s="856">
        <v>2938.2</v>
      </c>
      <c r="F1973" s="856">
        <f>4-2</f>
        <v>2</v>
      </c>
      <c r="G1973" s="786">
        <f t="shared" si="100"/>
        <v>5876.4</v>
      </c>
      <c r="H1973" s="856"/>
      <c r="I1973" s="856"/>
      <c r="J1973" s="856"/>
      <c r="K1973" s="880"/>
      <c r="L1973" s="880"/>
      <c r="M1973" s="880"/>
      <c r="N1973" s="856"/>
      <c r="O1973" s="856"/>
    </row>
    <row r="1974" spans="1:15" ht="15.75">
      <c r="A1974" s="856"/>
      <c r="B1974" s="877" t="s">
        <v>2439</v>
      </c>
      <c r="C1974" s="1175" t="s">
        <v>2440</v>
      </c>
      <c r="D1974" s="856" t="s">
        <v>40</v>
      </c>
      <c r="E1974" s="856">
        <v>1528.1</v>
      </c>
      <c r="F1974" s="856">
        <f>4-2</f>
        <v>2</v>
      </c>
      <c r="G1974" s="786">
        <f t="shared" si="100"/>
        <v>3056.2</v>
      </c>
      <c r="H1974" s="856"/>
      <c r="I1974" s="856"/>
      <c r="J1974" s="856"/>
      <c r="K1974" s="880"/>
      <c r="L1974" s="880"/>
      <c r="M1974" s="880"/>
      <c r="N1974" s="856"/>
      <c r="O1974" s="856"/>
    </row>
    <row r="1975" spans="1:15" ht="15.75">
      <c r="A1975" s="856"/>
      <c r="B1975" s="877" t="s">
        <v>2439</v>
      </c>
      <c r="C1975" s="1177"/>
      <c r="D1975" s="856" t="s">
        <v>40</v>
      </c>
      <c r="E1975" s="856">
        <v>2112.1999999999998</v>
      </c>
      <c r="F1975" s="856">
        <v>4</v>
      </c>
      <c r="G1975" s="786">
        <f t="shared" si="100"/>
        <v>8448.7999999999993</v>
      </c>
      <c r="H1975" s="856"/>
      <c r="I1975" s="856"/>
      <c r="J1975" s="856"/>
      <c r="K1975" s="880"/>
      <c r="L1975" s="880"/>
      <c r="M1975" s="880"/>
      <c r="N1975" s="856"/>
      <c r="O1975" s="856"/>
    </row>
    <row r="1976" spans="1:15" ht="15.75">
      <c r="A1976" s="856"/>
      <c r="B1976" s="877" t="s">
        <v>2441</v>
      </c>
      <c r="C1976" s="1175" t="s">
        <v>2442</v>
      </c>
      <c r="D1976" s="856" t="s">
        <v>40</v>
      </c>
      <c r="E1976" s="856">
        <v>1463.2</v>
      </c>
      <c r="F1976" s="856">
        <v>4</v>
      </c>
      <c r="G1976" s="786">
        <f t="shared" si="100"/>
        <v>5852.8</v>
      </c>
      <c r="H1976" s="856"/>
      <c r="I1976" s="856"/>
      <c r="J1976" s="856"/>
      <c r="K1976" s="880"/>
      <c r="L1976" s="880"/>
      <c r="M1976" s="880"/>
      <c r="N1976" s="856"/>
      <c r="O1976" s="856"/>
    </row>
    <row r="1977" spans="1:15" ht="15.75">
      <c r="A1977" s="856"/>
      <c r="B1977" s="877" t="s">
        <v>2441</v>
      </c>
      <c r="C1977" s="1177"/>
      <c r="D1977" s="856" t="s">
        <v>40</v>
      </c>
      <c r="E1977" s="856">
        <v>1875.02</v>
      </c>
      <c r="F1977" s="856">
        <v>4</v>
      </c>
      <c r="G1977" s="786">
        <f t="shared" si="100"/>
        <v>7500.08</v>
      </c>
      <c r="H1977" s="856"/>
      <c r="I1977" s="856"/>
      <c r="J1977" s="856"/>
      <c r="K1977" s="880"/>
      <c r="L1977" s="880"/>
      <c r="M1977" s="880"/>
      <c r="N1977" s="856"/>
      <c r="O1977" s="856"/>
    </row>
    <row r="1978" spans="1:15" ht="15.75">
      <c r="A1978" s="856">
        <v>125</v>
      </c>
      <c r="B1978" s="877" t="s">
        <v>2443</v>
      </c>
      <c r="C1978" s="1175" t="s">
        <v>2444</v>
      </c>
      <c r="D1978" s="856" t="s">
        <v>40</v>
      </c>
      <c r="E1978" s="856">
        <v>1109.2</v>
      </c>
      <c r="F1978" s="856">
        <v>2</v>
      </c>
      <c r="G1978" s="786">
        <f t="shared" si="100"/>
        <v>2218.4</v>
      </c>
      <c r="H1978" s="856"/>
      <c r="I1978" s="856"/>
      <c r="J1978" s="856"/>
      <c r="K1978" s="880"/>
      <c r="L1978" s="880"/>
      <c r="M1978" s="880"/>
      <c r="N1978" s="856"/>
      <c r="O1978" s="856"/>
    </row>
    <row r="1979" spans="1:15" ht="15.75">
      <c r="A1979" s="856"/>
      <c r="B1979" s="877" t="s">
        <v>2443</v>
      </c>
      <c r="C1979" s="1177"/>
      <c r="D1979" s="856" t="s">
        <v>40</v>
      </c>
      <c r="E1979" s="856">
        <v>1404.2</v>
      </c>
      <c r="F1979" s="856">
        <v>2</v>
      </c>
      <c r="G1979" s="786">
        <f t="shared" si="100"/>
        <v>2808.4</v>
      </c>
      <c r="H1979" s="856"/>
      <c r="I1979" s="856"/>
      <c r="J1979" s="856"/>
      <c r="K1979" s="880"/>
      <c r="L1979" s="880"/>
      <c r="M1979" s="880"/>
      <c r="N1979" s="856"/>
      <c r="O1979" s="856"/>
    </row>
    <row r="1980" spans="1:15" ht="31.5">
      <c r="A1980" s="856"/>
      <c r="B1980" s="877" t="s">
        <v>1786</v>
      </c>
      <c r="C1980" s="857" t="s">
        <v>2445</v>
      </c>
      <c r="D1980" s="856" t="s">
        <v>40</v>
      </c>
      <c r="E1980" s="856">
        <v>1050.2</v>
      </c>
      <c r="F1980" s="856">
        <v>3</v>
      </c>
      <c r="G1980" s="786">
        <f t="shared" si="100"/>
        <v>3150.6000000000004</v>
      </c>
      <c r="H1980" s="856"/>
      <c r="I1980" s="856"/>
      <c r="J1980" s="856"/>
      <c r="K1980" s="880"/>
      <c r="L1980" s="880"/>
      <c r="M1980" s="880"/>
      <c r="N1980" s="856"/>
      <c r="O1980" s="856"/>
    </row>
    <row r="1981" spans="1:15" ht="31.5">
      <c r="A1981" s="856">
        <v>140</v>
      </c>
      <c r="B1981" s="877" t="s">
        <v>2446</v>
      </c>
      <c r="C1981" s="857" t="s">
        <v>2447</v>
      </c>
      <c r="D1981" s="856" t="s">
        <v>40</v>
      </c>
      <c r="E1981" s="856">
        <v>1286.2</v>
      </c>
      <c r="F1981" s="856">
        <v>3</v>
      </c>
      <c r="G1981" s="786">
        <f t="shared" si="100"/>
        <v>3858.6000000000004</v>
      </c>
      <c r="H1981" s="856"/>
      <c r="I1981" s="856"/>
      <c r="J1981" s="856"/>
      <c r="K1981" s="880"/>
      <c r="L1981" s="880"/>
      <c r="M1981" s="880"/>
      <c r="N1981" s="856"/>
      <c r="O1981" s="856"/>
    </row>
    <row r="1982" spans="1:15" ht="31.5">
      <c r="A1982" s="786">
        <v>156</v>
      </c>
      <c r="B1982" s="877" t="s">
        <v>2448</v>
      </c>
      <c r="C1982" s="837" t="s">
        <v>2449</v>
      </c>
      <c r="D1982" s="786" t="s">
        <v>40</v>
      </c>
      <c r="E1982" s="790">
        <v>3528.2</v>
      </c>
      <c r="F1982" s="786">
        <v>4</v>
      </c>
      <c r="G1982" s="786">
        <f t="shared" si="100"/>
        <v>14112.8</v>
      </c>
      <c r="H1982" s="786"/>
      <c r="I1982" s="786"/>
      <c r="J1982" s="786"/>
      <c r="K1982" s="788"/>
      <c r="L1982" s="788"/>
      <c r="M1982" s="788"/>
      <c r="N1982" s="786"/>
      <c r="O1982" s="786"/>
    </row>
    <row r="1983" spans="1:15" ht="15.75">
      <c r="A1983" s="786"/>
      <c r="B1983" s="878"/>
      <c r="C1983" s="837" t="s">
        <v>2450</v>
      </c>
      <c r="D1983" s="786" t="s">
        <v>40</v>
      </c>
      <c r="E1983" s="790">
        <v>2118.1</v>
      </c>
      <c r="F1983" s="786">
        <f>2-2</f>
        <v>0</v>
      </c>
      <c r="G1983" s="786">
        <f t="shared" si="100"/>
        <v>0</v>
      </c>
      <c r="H1983" s="786"/>
      <c r="I1983" s="786"/>
      <c r="J1983" s="786"/>
      <c r="K1983" s="788"/>
      <c r="L1983" s="788"/>
      <c r="M1983" s="788"/>
      <c r="N1983" s="786"/>
      <c r="O1983" s="786"/>
    </row>
    <row r="1984" spans="1:15" ht="31.5">
      <c r="A1984" s="786"/>
      <c r="B1984" s="877" t="s">
        <v>2451</v>
      </c>
      <c r="C1984" s="837" t="s">
        <v>2452</v>
      </c>
      <c r="D1984" s="786" t="s">
        <v>40</v>
      </c>
      <c r="E1984" s="790">
        <v>17641</v>
      </c>
      <c r="F1984" s="786">
        <f>2-1</f>
        <v>1</v>
      </c>
      <c r="G1984" s="786">
        <f t="shared" si="100"/>
        <v>17641</v>
      </c>
      <c r="H1984" s="786"/>
      <c r="I1984" s="786"/>
      <c r="J1984" s="786"/>
      <c r="K1984" s="788"/>
      <c r="L1984" s="788"/>
      <c r="M1984" s="788"/>
      <c r="N1984" s="786"/>
      <c r="O1984" s="786"/>
    </row>
    <row r="1985" spans="1:15" ht="15.75">
      <c r="A1985" s="786"/>
      <c r="B1985" s="878"/>
      <c r="C1985" s="837" t="s">
        <v>2453</v>
      </c>
      <c r="D1985" s="786" t="s">
        <v>40</v>
      </c>
      <c r="E1985" s="790">
        <v>0</v>
      </c>
      <c r="F1985" s="786">
        <v>0</v>
      </c>
      <c r="G1985" s="786">
        <f t="shared" si="100"/>
        <v>0</v>
      </c>
      <c r="H1985" s="786"/>
      <c r="I1985" s="786"/>
      <c r="J1985" s="786"/>
      <c r="K1985" s="786"/>
      <c r="L1985" s="786"/>
      <c r="M1985" s="786"/>
      <c r="N1985" s="786"/>
      <c r="O1985" s="786"/>
    </row>
    <row r="1986" spans="1:15" ht="31.5">
      <c r="A1986" s="786"/>
      <c r="B1986" s="878"/>
      <c r="C1986" s="837" t="s">
        <v>2454</v>
      </c>
      <c r="D1986" s="786" t="s">
        <v>40</v>
      </c>
      <c r="E1986" s="790">
        <v>0</v>
      </c>
      <c r="F1986" s="786">
        <v>0</v>
      </c>
      <c r="G1986" s="786">
        <f t="shared" si="100"/>
        <v>0</v>
      </c>
      <c r="H1986" s="786"/>
      <c r="I1986" s="786"/>
      <c r="J1986" s="786"/>
      <c r="K1986" s="786"/>
      <c r="L1986" s="786"/>
      <c r="M1986" s="786"/>
      <c r="N1986" s="786"/>
      <c r="O1986" s="786"/>
    </row>
    <row r="1987" spans="1:15" ht="15.75">
      <c r="A1987" s="786"/>
      <c r="B1987" s="834"/>
      <c r="C1987" s="837"/>
      <c r="D1987" s="786"/>
      <c r="E1987" s="790"/>
      <c r="F1987" s="786"/>
      <c r="G1987" s="786">
        <f t="shared" si="100"/>
        <v>0</v>
      </c>
      <c r="H1987" s="786"/>
      <c r="I1987" s="786"/>
      <c r="J1987" s="786"/>
      <c r="K1987" s="788"/>
      <c r="L1987" s="788"/>
      <c r="M1987" s="788"/>
      <c r="N1987" s="786"/>
      <c r="O1987" s="786"/>
    </row>
    <row r="1988" spans="1:15" ht="47.25">
      <c r="A1988" s="786">
        <v>34</v>
      </c>
      <c r="B1988" s="881" t="s">
        <v>2455</v>
      </c>
      <c r="C1988" s="837" t="s">
        <v>2456</v>
      </c>
      <c r="D1988" s="786" t="s">
        <v>37</v>
      </c>
      <c r="E1988" s="790">
        <v>0</v>
      </c>
      <c r="F1988" s="786">
        <v>4</v>
      </c>
      <c r="G1988" s="786">
        <f t="shared" si="100"/>
        <v>0</v>
      </c>
      <c r="H1988" s="786"/>
      <c r="I1988" s="786"/>
      <c r="J1988" s="786"/>
      <c r="K1988" s="788"/>
      <c r="L1988" s="788"/>
      <c r="M1988" s="788"/>
      <c r="N1988" s="786"/>
      <c r="O1988" s="786"/>
    </row>
    <row r="1989" spans="1:15" ht="47.25">
      <c r="A1989" s="786">
        <v>35</v>
      </c>
      <c r="B1989" s="881" t="s">
        <v>2457</v>
      </c>
      <c r="C1989" s="837" t="s">
        <v>2458</v>
      </c>
      <c r="D1989" s="786" t="s">
        <v>37</v>
      </c>
      <c r="E1989" s="790">
        <v>0</v>
      </c>
      <c r="F1989" s="786">
        <v>2</v>
      </c>
      <c r="G1989" s="786">
        <f t="shared" si="100"/>
        <v>0</v>
      </c>
      <c r="H1989" s="786"/>
      <c r="I1989" s="786"/>
      <c r="J1989" s="786"/>
      <c r="K1989" s="788"/>
      <c r="L1989" s="788"/>
      <c r="M1989" s="788"/>
      <c r="N1989" s="786"/>
      <c r="O1989" s="786"/>
    </row>
    <row r="1990" spans="1:15" ht="47.25">
      <c r="A1990" s="786">
        <v>55</v>
      </c>
      <c r="B1990" s="881" t="s">
        <v>2459</v>
      </c>
      <c r="C1990" s="837" t="s">
        <v>2460</v>
      </c>
      <c r="D1990" s="786" t="s">
        <v>37</v>
      </c>
      <c r="E1990" s="790">
        <v>0</v>
      </c>
      <c r="F1990" s="786">
        <v>2</v>
      </c>
      <c r="G1990" s="786">
        <f t="shared" si="100"/>
        <v>0</v>
      </c>
      <c r="H1990" s="786"/>
      <c r="I1990" s="786"/>
      <c r="J1990" s="786"/>
      <c r="K1990" s="788"/>
      <c r="L1990" s="788"/>
      <c r="M1990" s="788"/>
      <c r="N1990" s="786"/>
      <c r="O1990" s="786"/>
    </row>
    <row r="1991" spans="1:15" ht="47.25">
      <c r="A1991" s="786">
        <v>56</v>
      </c>
      <c r="B1991" s="881" t="s">
        <v>2461</v>
      </c>
      <c r="C1991" s="837" t="s">
        <v>2462</v>
      </c>
      <c r="D1991" s="786" t="s">
        <v>37</v>
      </c>
      <c r="E1991" s="790">
        <v>0</v>
      </c>
      <c r="F1991" s="786">
        <v>2</v>
      </c>
      <c r="G1991" s="786">
        <f t="shared" si="100"/>
        <v>0</v>
      </c>
      <c r="H1991" s="786"/>
      <c r="I1991" s="786"/>
      <c r="J1991" s="786"/>
      <c r="K1991" s="788"/>
      <c r="L1991" s="788"/>
      <c r="M1991" s="788"/>
      <c r="N1991" s="786"/>
      <c r="O1991" s="786"/>
    </row>
    <row r="1992" spans="1:15" ht="47.25">
      <c r="A1992" s="786">
        <v>57</v>
      </c>
      <c r="B1992" s="881" t="s">
        <v>2463</v>
      </c>
      <c r="C1992" s="837" t="s">
        <v>2464</v>
      </c>
      <c r="D1992" s="786" t="s">
        <v>37</v>
      </c>
      <c r="E1992" s="790">
        <v>0</v>
      </c>
      <c r="F1992" s="786">
        <v>1</v>
      </c>
      <c r="G1992" s="786">
        <f t="shared" si="100"/>
        <v>0</v>
      </c>
      <c r="H1992" s="786"/>
      <c r="I1992" s="786"/>
      <c r="J1992" s="786"/>
      <c r="K1992" s="788"/>
      <c r="L1992" s="788"/>
      <c r="M1992" s="788"/>
      <c r="N1992" s="786"/>
      <c r="O1992" s="786"/>
    </row>
    <row r="1993" spans="1:15" ht="63">
      <c r="A1993" s="786">
        <v>94</v>
      </c>
      <c r="B1993" s="881" t="s">
        <v>2465</v>
      </c>
      <c r="C1993" s="841" t="s">
        <v>2466</v>
      </c>
      <c r="D1993" s="786" t="s">
        <v>266</v>
      </c>
      <c r="E1993" s="790">
        <v>0</v>
      </c>
      <c r="F1993" s="786">
        <v>2</v>
      </c>
      <c r="G1993" s="786">
        <f t="shared" si="100"/>
        <v>0</v>
      </c>
      <c r="H1993" s="786"/>
      <c r="I1993" s="786"/>
      <c r="J1993" s="786"/>
      <c r="K1993" s="788"/>
      <c r="L1993" s="788"/>
      <c r="M1993" s="788"/>
      <c r="N1993" s="786"/>
      <c r="O1993" s="786"/>
    </row>
    <row r="1994" spans="1:15" ht="31.5">
      <c r="A1994" s="786"/>
      <c r="B1994" s="881" t="s">
        <v>2467</v>
      </c>
      <c r="C1994" s="882" t="s">
        <v>2468</v>
      </c>
      <c r="D1994" s="424" t="s">
        <v>40</v>
      </c>
      <c r="E1994" s="790">
        <v>5894.1</v>
      </c>
      <c r="F1994" s="786">
        <f>6-3</f>
        <v>3</v>
      </c>
      <c r="G1994" s="786">
        <f t="shared" si="100"/>
        <v>17682.300000000003</v>
      </c>
      <c r="H1994" s="786"/>
      <c r="I1994" s="786"/>
      <c r="J1994" s="786"/>
      <c r="K1994" s="788"/>
      <c r="L1994" s="788"/>
      <c r="M1994" s="788"/>
      <c r="N1994" s="786"/>
      <c r="O1994" s="786"/>
    </row>
    <row r="1995" spans="1:15" ht="15.75">
      <c r="A1995" s="786">
        <v>118</v>
      </c>
      <c r="B1995" s="881" t="s">
        <v>738</v>
      </c>
      <c r="C1995" s="841" t="s">
        <v>2469</v>
      </c>
      <c r="D1995" s="786" t="s">
        <v>195</v>
      </c>
      <c r="E1995" s="790">
        <v>529.82000000000005</v>
      </c>
      <c r="F1995" s="786">
        <v>0</v>
      </c>
      <c r="G1995" s="786">
        <f t="shared" si="100"/>
        <v>0</v>
      </c>
      <c r="H1995" s="786"/>
      <c r="I1995" s="786"/>
      <c r="J1995" s="786"/>
      <c r="K1995" s="788"/>
      <c r="L1995" s="788"/>
      <c r="M1995" s="788"/>
      <c r="N1995" s="786"/>
      <c r="O1995" s="786"/>
    </row>
    <row r="1996" spans="1:15" ht="31.5">
      <c r="A1996" s="786"/>
      <c r="B1996" s="881" t="s">
        <v>2463</v>
      </c>
      <c r="C1996" s="841" t="s">
        <v>2470</v>
      </c>
      <c r="D1996" s="786" t="s">
        <v>40</v>
      </c>
      <c r="E1996" s="790">
        <v>0</v>
      </c>
      <c r="F1996" s="786">
        <v>6</v>
      </c>
      <c r="G1996" s="786">
        <f t="shared" si="100"/>
        <v>0</v>
      </c>
      <c r="H1996" s="786"/>
      <c r="I1996" s="786"/>
      <c r="J1996" s="786"/>
      <c r="K1996" s="788"/>
      <c r="L1996" s="788"/>
      <c r="M1996" s="788"/>
      <c r="N1996" s="786"/>
      <c r="O1996" s="786"/>
    </row>
    <row r="1997" spans="1:15" ht="15.75">
      <c r="A1997" s="786">
        <v>169</v>
      </c>
      <c r="B1997" s="881" t="s">
        <v>1794</v>
      </c>
      <c r="C1997" s="841" t="s">
        <v>2471</v>
      </c>
      <c r="D1997" s="861" t="s">
        <v>1535</v>
      </c>
      <c r="E1997" s="790">
        <v>73.16</v>
      </c>
      <c r="F1997" s="848">
        <f>18342-836-500-20-1881-1254-627-1254-2299-418-10-3135-50-836-209-627-418-650-30-50-440-418-418-20-418-50-30-418-300-210-80-300-136</f>
        <v>0</v>
      </c>
      <c r="G1997" s="786">
        <f t="shared" si="100"/>
        <v>0</v>
      </c>
      <c r="H1997" s="867"/>
      <c r="I1997" s="867"/>
      <c r="J1997" s="867"/>
      <c r="K1997" s="868"/>
      <c r="L1997" s="868"/>
      <c r="M1997" s="868"/>
      <c r="N1997" s="867"/>
      <c r="O1997" s="867"/>
    </row>
    <row r="1998" spans="1:15" ht="31.5">
      <c r="A1998" s="786">
        <v>173</v>
      </c>
      <c r="B1998" s="881" t="s">
        <v>1403</v>
      </c>
      <c r="C1998" s="841" t="s">
        <v>2472</v>
      </c>
      <c r="D1998" s="861" t="s">
        <v>40</v>
      </c>
      <c r="E1998" s="790">
        <v>13847</v>
      </c>
      <c r="F1998" s="848">
        <f>3-2</f>
        <v>1</v>
      </c>
      <c r="G1998" s="786">
        <f t="shared" si="100"/>
        <v>13847</v>
      </c>
      <c r="H1998" s="867"/>
      <c r="I1998" s="867"/>
      <c r="J1998" s="867"/>
      <c r="K1998" s="868"/>
      <c r="L1998" s="868"/>
      <c r="M1998" s="868"/>
      <c r="N1998" s="867"/>
      <c r="O1998" s="867"/>
    </row>
    <row r="1999" spans="1:15" ht="31.5">
      <c r="A1999" s="786">
        <v>174</v>
      </c>
      <c r="B1999" s="881" t="s">
        <v>1792</v>
      </c>
      <c r="C1999" s="841" t="s">
        <v>2473</v>
      </c>
      <c r="D1999" s="861" t="s">
        <v>40</v>
      </c>
      <c r="E1999" s="790">
        <v>10442</v>
      </c>
      <c r="F1999" s="848">
        <f>4-2</f>
        <v>2</v>
      </c>
      <c r="G1999" s="786">
        <f t="shared" si="100"/>
        <v>20884</v>
      </c>
      <c r="H1999" s="867"/>
      <c r="I1999" s="867"/>
      <c r="J1999" s="867"/>
      <c r="K1999" s="868"/>
      <c r="L1999" s="868"/>
      <c r="M1999" s="868"/>
      <c r="N1999" s="867"/>
      <c r="O1999" s="867"/>
    </row>
    <row r="2000" spans="1:15" ht="15.75">
      <c r="A2000" s="786">
        <v>175</v>
      </c>
      <c r="B2000" s="881" t="s">
        <v>1796</v>
      </c>
      <c r="C2000" s="841" t="s">
        <v>2474</v>
      </c>
      <c r="D2000" s="861" t="s">
        <v>40</v>
      </c>
      <c r="E2000" s="790">
        <v>250</v>
      </c>
      <c r="F2000" s="848">
        <f>324-75+796-210-411-100</f>
        <v>324</v>
      </c>
      <c r="G2000" s="786">
        <f t="shared" si="100"/>
        <v>81000</v>
      </c>
      <c r="H2000" s="867"/>
      <c r="I2000" s="867"/>
      <c r="J2000" s="867"/>
      <c r="K2000" s="868"/>
      <c r="L2000" s="868"/>
      <c r="M2000" s="868"/>
      <c r="N2000" s="867"/>
      <c r="O2000" s="867"/>
    </row>
    <row r="2001" spans="1:15" ht="31.5">
      <c r="A2001" s="786"/>
      <c r="B2001" s="883"/>
      <c r="C2001" s="837" t="s">
        <v>2475</v>
      </c>
      <c r="D2001" s="861" t="s">
        <v>40</v>
      </c>
      <c r="E2001" s="790">
        <v>0</v>
      </c>
      <c r="F2001" s="848">
        <v>1</v>
      </c>
      <c r="G2001" s="786">
        <f t="shared" si="100"/>
        <v>0</v>
      </c>
      <c r="H2001" s="867"/>
      <c r="I2001" s="867"/>
      <c r="J2001" s="867"/>
      <c r="K2001" s="868"/>
      <c r="L2001" s="868"/>
      <c r="M2001" s="868"/>
      <c r="N2001" s="867"/>
      <c r="O2001" s="867"/>
    </row>
    <row r="2002" spans="1:15" ht="31.5">
      <c r="A2002" s="786"/>
      <c r="B2002" s="883"/>
      <c r="C2002" s="837" t="s">
        <v>2476</v>
      </c>
      <c r="D2002" s="861" t="s">
        <v>40</v>
      </c>
      <c r="E2002" s="790">
        <v>0</v>
      </c>
      <c r="F2002" s="848">
        <v>2</v>
      </c>
      <c r="G2002" s="786">
        <f t="shared" si="100"/>
        <v>0</v>
      </c>
      <c r="H2002" s="867"/>
      <c r="I2002" s="867"/>
      <c r="J2002" s="867"/>
      <c r="K2002" s="868"/>
      <c r="L2002" s="868"/>
      <c r="M2002" s="868"/>
      <c r="N2002" s="867"/>
      <c r="O2002" s="867"/>
    </row>
    <row r="2003" spans="1:15" ht="31.5">
      <c r="A2003" s="786"/>
      <c r="B2003" s="881" t="s">
        <v>2477</v>
      </c>
      <c r="C2003" s="837" t="s">
        <v>2478</v>
      </c>
      <c r="D2003" s="861" t="s">
        <v>40</v>
      </c>
      <c r="E2003" s="790">
        <v>0</v>
      </c>
      <c r="F2003" s="848">
        <v>2</v>
      </c>
      <c r="G2003" s="786">
        <f t="shared" si="100"/>
        <v>0</v>
      </c>
      <c r="H2003" s="867"/>
      <c r="I2003" s="867"/>
      <c r="J2003" s="867"/>
      <c r="K2003" s="868"/>
      <c r="L2003" s="868"/>
      <c r="M2003" s="868"/>
      <c r="N2003" s="867"/>
      <c r="O2003" s="867"/>
    </row>
    <row r="2004" spans="1:15" ht="31.5">
      <c r="A2004" s="786"/>
      <c r="B2004" s="881"/>
      <c r="C2004" s="837" t="s">
        <v>2479</v>
      </c>
      <c r="D2004" s="861" t="s">
        <v>40</v>
      </c>
      <c r="E2004" s="790">
        <v>0</v>
      </c>
      <c r="F2004" s="848">
        <v>2</v>
      </c>
      <c r="G2004" s="786">
        <f t="shared" si="100"/>
        <v>0</v>
      </c>
      <c r="H2004" s="867"/>
      <c r="I2004" s="867"/>
      <c r="J2004" s="867"/>
      <c r="K2004" s="868"/>
      <c r="L2004" s="868"/>
      <c r="M2004" s="868"/>
      <c r="N2004" s="867"/>
      <c r="O2004" s="867"/>
    </row>
    <row r="2005" spans="1:15" ht="31.5">
      <c r="A2005" s="786"/>
      <c r="B2005" s="881"/>
      <c r="C2005" s="837" t="s">
        <v>2480</v>
      </c>
      <c r="D2005" s="861" t="s">
        <v>40</v>
      </c>
      <c r="E2005" s="790">
        <v>0</v>
      </c>
      <c r="F2005" s="848">
        <v>2</v>
      </c>
      <c r="G2005" s="786">
        <f t="shared" si="100"/>
        <v>0</v>
      </c>
      <c r="H2005" s="867"/>
      <c r="I2005" s="867"/>
      <c r="J2005" s="867"/>
      <c r="K2005" s="868"/>
      <c r="L2005" s="868"/>
      <c r="M2005" s="868"/>
      <c r="N2005" s="867"/>
      <c r="O2005" s="867"/>
    </row>
    <row r="2006" spans="1:15" ht="31.5">
      <c r="A2006" s="786"/>
      <c r="B2006" s="883"/>
      <c r="C2006" s="837" t="s">
        <v>2481</v>
      </c>
      <c r="D2006" s="861" t="s">
        <v>40</v>
      </c>
      <c r="E2006" s="790">
        <v>0</v>
      </c>
      <c r="F2006" s="848">
        <v>1</v>
      </c>
      <c r="G2006" s="786">
        <f t="shared" si="100"/>
        <v>0</v>
      </c>
      <c r="H2006" s="867"/>
      <c r="I2006" s="867"/>
      <c r="J2006" s="867"/>
      <c r="K2006" s="868"/>
      <c r="L2006" s="868"/>
      <c r="M2006" s="868"/>
      <c r="N2006" s="867"/>
      <c r="O2006" s="867"/>
    </row>
    <row r="2007" spans="1:15" ht="31.5">
      <c r="A2007" s="786"/>
      <c r="B2007" s="881" t="s">
        <v>2482</v>
      </c>
      <c r="C2007" s="837" t="s">
        <v>2483</v>
      </c>
      <c r="D2007" s="861" t="s">
        <v>40</v>
      </c>
      <c r="E2007" s="790">
        <v>0</v>
      </c>
      <c r="F2007" s="848">
        <v>2</v>
      </c>
      <c r="G2007" s="786">
        <f t="shared" si="100"/>
        <v>0</v>
      </c>
      <c r="H2007" s="867"/>
      <c r="I2007" s="867"/>
      <c r="J2007" s="867"/>
      <c r="K2007" s="868"/>
      <c r="L2007" s="868"/>
      <c r="M2007" s="868"/>
      <c r="N2007" s="867"/>
      <c r="O2007" s="867"/>
    </row>
    <row r="2008" spans="1:15" ht="31.5">
      <c r="A2008" s="786"/>
      <c r="B2008" s="883"/>
      <c r="C2008" s="837" t="s">
        <v>2484</v>
      </c>
      <c r="D2008" s="861" t="s">
        <v>40</v>
      </c>
      <c r="E2008" s="790">
        <v>0</v>
      </c>
      <c r="F2008" s="848">
        <v>2</v>
      </c>
      <c r="G2008" s="786">
        <f t="shared" si="100"/>
        <v>0</v>
      </c>
      <c r="H2008" s="867"/>
      <c r="I2008" s="867"/>
      <c r="J2008" s="867"/>
      <c r="K2008" s="868"/>
      <c r="L2008" s="868"/>
      <c r="M2008" s="868"/>
      <c r="N2008" s="867"/>
      <c r="O2008" s="867"/>
    </row>
    <row r="2009" spans="1:15" ht="15.75">
      <c r="A2009" s="786"/>
      <c r="B2009" s="883"/>
      <c r="C2009" s="837" t="s">
        <v>2485</v>
      </c>
      <c r="D2009" s="861" t="s">
        <v>40</v>
      </c>
      <c r="E2009" s="790">
        <v>0</v>
      </c>
      <c r="F2009" s="848">
        <v>2</v>
      </c>
      <c r="G2009" s="786">
        <f t="shared" si="100"/>
        <v>0</v>
      </c>
      <c r="H2009" s="867"/>
      <c r="I2009" s="867"/>
      <c r="J2009" s="867"/>
      <c r="K2009" s="868"/>
      <c r="L2009" s="868"/>
      <c r="M2009" s="868"/>
      <c r="N2009" s="867"/>
      <c r="O2009" s="867"/>
    </row>
    <row r="2010" spans="1:15" ht="31.5">
      <c r="A2010" s="786"/>
      <c r="B2010" s="881" t="s">
        <v>2486</v>
      </c>
      <c r="C2010" s="840" t="s">
        <v>2487</v>
      </c>
      <c r="D2010" s="861" t="s">
        <v>40</v>
      </c>
      <c r="E2010" s="790">
        <v>2360</v>
      </c>
      <c r="F2010" s="848">
        <f>4-2-1</f>
        <v>1</v>
      </c>
      <c r="G2010" s="786">
        <f t="shared" si="100"/>
        <v>2360</v>
      </c>
      <c r="H2010" s="867"/>
      <c r="I2010" s="867"/>
      <c r="J2010" s="867"/>
      <c r="K2010" s="868"/>
      <c r="L2010" s="868"/>
      <c r="M2010" s="868"/>
      <c r="N2010" s="867"/>
      <c r="O2010" s="867"/>
    </row>
    <row r="2011" spans="1:15" ht="31.5">
      <c r="A2011" s="786"/>
      <c r="B2011" s="881"/>
      <c r="C2011" s="837" t="s">
        <v>2488</v>
      </c>
      <c r="D2011" s="861" t="s">
        <v>40</v>
      </c>
      <c r="E2011" s="790">
        <v>2590.1</v>
      </c>
      <c r="F2011" s="848">
        <v>2</v>
      </c>
      <c r="G2011" s="786">
        <f t="shared" si="100"/>
        <v>5180.2</v>
      </c>
      <c r="H2011" s="867"/>
      <c r="I2011" s="867"/>
      <c r="J2011" s="867"/>
      <c r="K2011" s="868"/>
      <c r="L2011" s="868"/>
      <c r="M2011" s="868"/>
      <c r="N2011" s="867"/>
      <c r="O2011" s="867"/>
    </row>
    <row r="2012" spans="1:15" ht="31.5">
      <c r="A2012" s="786"/>
      <c r="B2012" s="883"/>
      <c r="C2012" s="837" t="s">
        <v>2489</v>
      </c>
      <c r="D2012" s="861" t="s">
        <v>40</v>
      </c>
      <c r="E2012" s="790">
        <v>3534.1</v>
      </c>
      <c r="F2012" s="848">
        <v>6</v>
      </c>
      <c r="G2012" s="786">
        <f t="shared" si="100"/>
        <v>21204.6</v>
      </c>
      <c r="H2012" s="867"/>
      <c r="I2012" s="867"/>
      <c r="J2012" s="867"/>
      <c r="K2012" s="868"/>
      <c r="L2012" s="868"/>
      <c r="M2012" s="868"/>
      <c r="N2012" s="867"/>
      <c r="O2012" s="867"/>
    </row>
    <row r="2013" spans="1:15" ht="31.5">
      <c r="A2013" s="786"/>
      <c r="B2013" s="883"/>
      <c r="C2013" s="837" t="s">
        <v>2490</v>
      </c>
      <c r="D2013" s="861" t="s">
        <v>40</v>
      </c>
      <c r="E2013" s="790">
        <v>2354.1</v>
      </c>
      <c r="F2013" s="848">
        <v>4</v>
      </c>
      <c r="G2013" s="786">
        <f t="shared" si="100"/>
        <v>9416.4</v>
      </c>
      <c r="H2013" s="867"/>
      <c r="I2013" s="867"/>
      <c r="J2013" s="867"/>
      <c r="K2013" s="868"/>
      <c r="L2013" s="868"/>
      <c r="M2013" s="868"/>
      <c r="N2013" s="867"/>
      <c r="O2013" s="867"/>
    </row>
    <row r="2014" spans="1:15" ht="31.5">
      <c r="A2014" s="786"/>
      <c r="B2014" s="883"/>
      <c r="C2014" s="837" t="s">
        <v>2491</v>
      </c>
      <c r="D2014" s="861" t="s">
        <v>40</v>
      </c>
      <c r="E2014" s="790">
        <v>3534.1</v>
      </c>
      <c r="F2014" s="848">
        <f>4-1</f>
        <v>3</v>
      </c>
      <c r="G2014" s="786">
        <f t="shared" ref="G2014:G2030" si="101">E2014*F2014</f>
        <v>10602.3</v>
      </c>
      <c r="H2014" s="867"/>
      <c r="I2014" s="867"/>
      <c r="J2014" s="867"/>
      <c r="K2014" s="868"/>
      <c r="L2014" s="868"/>
      <c r="M2014" s="868"/>
      <c r="N2014" s="867"/>
      <c r="O2014" s="867"/>
    </row>
    <row r="2015" spans="1:15" ht="47.25">
      <c r="A2015" s="786">
        <v>183</v>
      </c>
      <c r="B2015" s="884" t="s">
        <v>2492</v>
      </c>
      <c r="C2015" s="837" t="s">
        <v>2493</v>
      </c>
      <c r="D2015" s="861" t="s">
        <v>40</v>
      </c>
      <c r="E2015" s="790">
        <v>200</v>
      </c>
      <c r="F2015" s="848">
        <v>0</v>
      </c>
      <c r="G2015" s="786">
        <f t="shared" si="101"/>
        <v>0</v>
      </c>
      <c r="H2015" s="867"/>
      <c r="I2015" s="867"/>
      <c r="J2015" s="867"/>
      <c r="K2015" s="868"/>
      <c r="L2015" s="868">
        <v>1</v>
      </c>
      <c r="M2015" s="788">
        <f>L2015*E2015</f>
        <v>200</v>
      </c>
      <c r="N2015" s="867"/>
      <c r="O2015" s="867"/>
    </row>
    <row r="2016" spans="1:15" ht="15.75">
      <c r="A2016" s="1169">
        <v>187</v>
      </c>
      <c r="B2016" s="1179" t="s">
        <v>2494</v>
      </c>
      <c r="C2016" s="1171" t="s">
        <v>2495</v>
      </c>
      <c r="D2016" s="786" t="s">
        <v>40</v>
      </c>
      <c r="E2016" s="790">
        <v>39441</v>
      </c>
      <c r="F2016" s="786">
        <v>1</v>
      </c>
      <c r="G2016" s="786">
        <f t="shared" si="101"/>
        <v>39441</v>
      </c>
      <c r="H2016" s="786"/>
      <c r="I2016" s="786"/>
      <c r="J2016" s="786"/>
      <c r="K2016" s="788"/>
      <c r="L2016" s="788"/>
      <c r="M2016" s="788"/>
      <c r="N2016" s="786"/>
      <c r="O2016" s="786"/>
    </row>
    <row r="2017" spans="1:15" ht="15.75">
      <c r="A2017" s="1178"/>
      <c r="B2017" s="1180"/>
      <c r="C2017" s="1181"/>
      <c r="D2017" s="786" t="s">
        <v>40</v>
      </c>
      <c r="E2017" s="790">
        <v>67024</v>
      </c>
      <c r="F2017" s="786">
        <v>1</v>
      </c>
      <c r="G2017" s="786">
        <f t="shared" si="101"/>
        <v>67024</v>
      </c>
      <c r="H2017" s="786"/>
      <c r="I2017" s="786"/>
      <c r="J2017" s="786"/>
      <c r="K2017" s="788"/>
      <c r="L2017" s="788"/>
      <c r="M2017" s="788"/>
      <c r="N2017" s="786"/>
      <c r="O2017" s="786"/>
    </row>
    <row r="2018" spans="1:15" ht="47.25">
      <c r="A2018" s="786">
        <v>192</v>
      </c>
      <c r="B2018" s="884" t="s">
        <v>2496</v>
      </c>
      <c r="C2018" s="837" t="s">
        <v>2497</v>
      </c>
      <c r="D2018" s="861" t="s">
        <v>37</v>
      </c>
      <c r="E2018" s="790">
        <v>0</v>
      </c>
      <c r="F2018" s="786">
        <v>3</v>
      </c>
      <c r="G2018" s="786">
        <f t="shared" si="101"/>
        <v>0</v>
      </c>
      <c r="H2018" s="786"/>
      <c r="I2018" s="786"/>
      <c r="J2018" s="786"/>
      <c r="K2018" s="788"/>
      <c r="L2018" s="788"/>
      <c r="M2018" s="788"/>
      <c r="N2018" s="786"/>
      <c r="O2018" s="786"/>
    </row>
    <row r="2019" spans="1:15" ht="31.5">
      <c r="A2019" s="786">
        <v>194</v>
      </c>
      <c r="B2019" s="884" t="s">
        <v>2498</v>
      </c>
      <c r="C2019" s="837" t="s">
        <v>2499</v>
      </c>
      <c r="D2019" s="861" t="s">
        <v>37</v>
      </c>
      <c r="E2019" s="790">
        <v>0</v>
      </c>
      <c r="F2019" s="861">
        <v>4</v>
      </c>
      <c r="G2019" s="786">
        <f t="shared" si="101"/>
        <v>0</v>
      </c>
      <c r="H2019" s="786"/>
      <c r="I2019" s="786"/>
      <c r="J2019" s="786"/>
      <c r="K2019" s="788"/>
      <c r="L2019" s="788"/>
      <c r="M2019" s="788"/>
      <c r="N2019" s="786"/>
      <c r="O2019" s="786"/>
    </row>
    <row r="2020" spans="1:15" ht="63">
      <c r="A2020" s="786">
        <v>212</v>
      </c>
      <c r="B2020" s="884" t="s">
        <v>2500</v>
      </c>
      <c r="C2020" s="837" t="s">
        <v>2501</v>
      </c>
      <c r="D2020" s="861" t="s">
        <v>37</v>
      </c>
      <c r="E2020" s="790">
        <v>24662</v>
      </c>
      <c r="F2020" s="861">
        <v>2</v>
      </c>
      <c r="G2020" s="786">
        <f t="shared" si="101"/>
        <v>49324</v>
      </c>
      <c r="H2020" s="786"/>
      <c r="I2020" s="786"/>
      <c r="J2020" s="786"/>
      <c r="K2020" s="788"/>
      <c r="L2020" s="788"/>
      <c r="M2020" s="788"/>
      <c r="N2020" s="786"/>
      <c r="O2020" s="786"/>
    </row>
    <row r="2021" spans="1:15" ht="47.25">
      <c r="A2021" s="786">
        <v>264</v>
      </c>
      <c r="B2021" s="884" t="s">
        <v>2502</v>
      </c>
      <c r="C2021" s="837" t="s">
        <v>2503</v>
      </c>
      <c r="D2021" s="861" t="s">
        <v>37</v>
      </c>
      <c r="E2021" s="790">
        <v>281075</v>
      </c>
      <c r="F2021" s="861">
        <v>3</v>
      </c>
      <c r="G2021" s="786">
        <f t="shared" si="101"/>
        <v>843225</v>
      </c>
      <c r="H2021" s="786"/>
      <c r="I2021" s="786"/>
      <c r="J2021" s="786"/>
      <c r="K2021" s="788"/>
      <c r="L2021" s="788"/>
      <c r="M2021" s="788"/>
      <c r="N2021" s="786"/>
      <c r="O2021" s="786"/>
    </row>
    <row r="2022" spans="1:15" ht="47.25">
      <c r="A2022" s="786">
        <v>264</v>
      </c>
      <c r="B2022" s="884" t="s">
        <v>2502</v>
      </c>
      <c r="C2022" s="837" t="s">
        <v>2503</v>
      </c>
      <c r="D2022" s="861" t="s">
        <v>37</v>
      </c>
      <c r="E2022" s="790">
        <v>1000</v>
      </c>
      <c r="F2022" s="861">
        <v>1</v>
      </c>
      <c r="G2022" s="786">
        <f t="shared" si="101"/>
        <v>1000</v>
      </c>
      <c r="H2022" s="786"/>
      <c r="I2022" s="786"/>
      <c r="J2022" s="786"/>
      <c r="K2022" s="788"/>
      <c r="L2022" s="788">
        <f>1+1-1</f>
        <v>1</v>
      </c>
      <c r="M2022" s="788">
        <f>L2022*E2022</f>
        <v>1000</v>
      </c>
      <c r="N2022" s="786"/>
      <c r="O2022" s="786"/>
    </row>
    <row r="2023" spans="1:15" ht="47.25">
      <c r="A2023" s="786"/>
      <c r="B2023" s="884"/>
      <c r="C2023" s="837" t="s">
        <v>2504</v>
      </c>
      <c r="D2023" s="861" t="s">
        <v>37</v>
      </c>
      <c r="E2023" s="790">
        <v>430700</v>
      </c>
      <c r="F2023" s="861">
        <v>1</v>
      </c>
      <c r="G2023" s="786">
        <f t="shared" si="101"/>
        <v>430700</v>
      </c>
      <c r="H2023" s="786"/>
      <c r="I2023" s="786"/>
      <c r="J2023" s="786"/>
      <c r="K2023" s="788"/>
      <c r="L2023" s="788"/>
      <c r="M2023" s="788"/>
      <c r="N2023" s="786"/>
      <c r="O2023" s="786"/>
    </row>
    <row r="2024" spans="1:15" ht="47.25">
      <c r="A2024" s="786">
        <v>269</v>
      </c>
      <c r="B2024" s="884" t="s">
        <v>2505</v>
      </c>
      <c r="C2024" s="837" t="s">
        <v>2506</v>
      </c>
      <c r="D2024" s="861" t="s">
        <v>37</v>
      </c>
      <c r="E2024" s="790">
        <v>354000</v>
      </c>
      <c r="F2024" s="861">
        <v>2</v>
      </c>
      <c r="G2024" s="786">
        <f t="shared" si="101"/>
        <v>708000</v>
      </c>
      <c r="H2024" s="786"/>
      <c r="I2024" s="786"/>
      <c r="J2024" s="786"/>
      <c r="K2024" s="788"/>
      <c r="L2024" s="788"/>
      <c r="M2024" s="788"/>
      <c r="N2024" s="786"/>
      <c r="O2024" s="786"/>
    </row>
    <row r="2025" spans="1:15" ht="47.25">
      <c r="A2025" s="786"/>
      <c r="B2025" s="884"/>
      <c r="C2025" s="837" t="s">
        <v>2507</v>
      </c>
      <c r="D2025" s="861" t="s">
        <v>37</v>
      </c>
      <c r="E2025" s="790">
        <v>354000</v>
      </c>
      <c r="F2025" s="861">
        <f>2-1</f>
        <v>1</v>
      </c>
      <c r="G2025" s="786">
        <f t="shared" si="101"/>
        <v>354000</v>
      </c>
      <c r="H2025" s="786"/>
      <c r="I2025" s="786"/>
      <c r="J2025" s="786"/>
      <c r="K2025" s="788"/>
      <c r="L2025" s="788"/>
      <c r="M2025" s="788"/>
      <c r="N2025" s="786"/>
      <c r="O2025" s="786"/>
    </row>
    <row r="2026" spans="1:15" ht="47.25">
      <c r="A2026" s="786"/>
      <c r="B2026" s="884"/>
      <c r="C2026" s="837" t="s">
        <v>2508</v>
      </c>
      <c r="D2026" s="861" t="s">
        <v>40</v>
      </c>
      <c r="E2026" s="790">
        <v>224200</v>
      </c>
      <c r="F2026" s="861">
        <v>1</v>
      </c>
      <c r="G2026" s="786">
        <f t="shared" si="101"/>
        <v>224200</v>
      </c>
      <c r="H2026" s="786"/>
      <c r="I2026" s="786"/>
      <c r="J2026" s="786"/>
      <c r="K2026" s="788"/>
      <c r="L2026" s="788"/>
      <c r="M2026" s="788"/>
      <c r="N2026" s="786"/>
      <c r="O2026" s="786"/>
    </row>
    <row r="2027" spans="1:15" ht="47.25">
      <c r="A2027" s="786"/>
      <c r="B2027" s="884"/>
      <c r="C2027" s="837" t="s">
        <v>2509</v>
      </c>
      <c r="D2027" s="861" t="s">
        <v>40</v>
      </c>
      <c r="E2027" s="790">
        <v>194700</v>
      </c>
      <c r="F2027" s="861">
        <v>1</v>
      </c>
      <c r="G2027" s="786">
        <f t="shared" si="101"/>
        <v>194700</v>
      </c>
      <c r="H2027" s="786"/>
      <c r="I2027" s="786"/>
      <c r="J2027" s="786"/>
      <c r="K2027" s="788"/>
      <c r="L2027" s="788"/>
      <c r="M2027" s="788"/>
      <c r="N2027" s="786"/>
      <c r="O2027" s="786"/>
    </row>
    <row r="2028" spans="1:15" ht="47.25">
      <c r="A2028" s="786">
        <v>270</v>
      </c>
      <c r="B2028" s="884" t="s">
        <v>659</v>
      </c>
      <c r="C2028" s="837" t="s">
        <v>917</v>
      </c>
      <c r="D2028" s="861" t="s">
        <v>37</v>
      </c>
      <c r="E2028" s="790">
        <v>325518</v>
      </c>
      <c r="F2028" s="861">
        <f>2-1</f>
        <v>1</v>
      </c>
      <c r="G2028" s="786">
        <f t="shared" si="101"/>
        <v>325518</v>
      </c>
      <c r="H2028" s="786"/>
      <c r="I2028" s="786"/>
      <c r="J2028" s="786"/>
      <c r="K2028" s="788"/>
      <c r="L2028" s="788"/>
      <c r="M2028" s="788"/>
      <c r="N2028" s="786"/>
      <c r="O2028" s="786"/>
    </row>
    <row r="2029" spans="1:15" ht="47.25">
      <c r="A2029" s="786">
        <v>270</v>
      </c>
      <c r="B2029" s="884" t="s">
        <v>659</v>
      </c>
      <c r="C2029" s="837" t="s">
        <v>917</v>
      </c>
      <c r="D2029" s="861" t="s">
        <v>40</v>
      </c>
      <c r="E2029" s="790">
        <v>1000</v>
      </c>
      <c r="F2029" s="848">
        <v>2</v>
      </c>
      <c r="G2029" s="786">
        <f t="shared" si="101"/>
        <v>2000</v>
      </c>
      <c r="H2029" s="848"/>
      <c r="I2029" s="786"/>
      <c r="J2029" s="848"/>
      <c r="K2029" s="849"/>
      <c r="L2029" s="849"/>
      <c r="M2029" s="849"/>
      <c r="N2029" s="848"/>
      <c r="O2029" s="848"/>
    </row>
    <row r="2030" spans="1:15" ht="47.25">
      <c r="A2030" s="786">
        <v>271</v>
      </c>
      <c r="B2030" s="884" t="s">
        <v>659</v>
      </c>
      <c r="C2030" s="837" t="s">
        <v>2510</v>
      </c>
      <c r="D2030" s="861" t="s">
        <v>37</v>
      </c>
      <c r="E2030" s="790">
        <v>182900</v>
      </c>
      <c r="F2030" s="861">
        <v>1</v>
      </c>
      <c r="G2030" s="786">
        <f t="shared" si="101"/>
        <v>182900</v>
      </c>
      <c r="H2030" s="786"/>
      <c r="I2030" s="786"/>
      <c r="J2030" s="786"/>
      <c r="K2030" s="788"/>
      <c r="L2030" s="788"/>
      <c r="M2030" s="788"/>
      <c r="N2030" s="786"/>
      <c r="O2030" s="786"/>
    </row>
    <row r="2031" spans="1:15" ht="47.25">
      <c r="A2031" s="806">
        <v>274</v>
      </c>
      <c r="B2031" s="884" t="s">
        <v>689</v>
      </c>
      <c r="C2031" s="812" t="s">
        <v>2511</v>
      </c>
      <c r="D2031" s="861" t="s">
        <v>37</v>
      </c>
      <c r="E2031" s="790">
        <v>212400</v>
      </c>
      <c r="F2031" s="861">
        <v>1</v>
      </c>
      <c r="G2031" s="786">
        <v>212400</v>
      </c>
      <c r="H2031" s="786"/>
      <c r="I2031" s="786"/>
      <c r="J2031" s="786"/>
      <c r="K2031" s="788"/>
      <c r="L2031" s="788"/>
      <c r="M2031" s="788"/>
      <c r="N2031" s="786"/>
      <c r="O2031" s="786"/>
    </row>
    <row r="2032" spans="1:15" ht="47.25">
      <c r="A2032" s="786">
        <v>281</v>
      </c>
      <c r="B2032" s="884" t="s">
        <v>2512</v>
      </c>
      <c r="C2032" s="837" t="s">
        <v>2513</v>
      </c>
      <c r="D2032" s="861" t="s">
        <v>37</v>
      </c>
      <c r="E2032" s="790">
        <v>64900</v>
      </c>
      <c r="F2032" s="861">
        <v>4</v>
      </c>
      <c r="G2032" s="786">
        <f t="shared" ref="G2032:G2057" si="102">E2032*F2032</f>
        <v>259600</v>
      </c>
      <c r="H2032" s="786"/>
      <c r="I2032" s="786"/>
      <c r="J2032" s="786"/>
      <c r="K2032" s="788"/>
      <c r="L2032" s="788"/>
      <c r="M2032" s="788"/>
      <c r="N2032" s="786"/>
      <c r="O2032" s="786"/>
    </row>
    <row r="2033" spans="1:15" ht="15.75">
      <c r="A2033" s="1169">
        <v>285</v>
      </c>
      <c r="B2033" s="884" t="s">
        <v>1327</v>
      </c>
      <c r="C2033" s="1171" t="s">
        <v>2514</v>
      </c>
      <c r="D2033" s="861" t="s">
        <v>37</v>
      </c>
      <c r="E2033" s="790">
        <v>500</v>
      </c>
      <c r="F2033" s="861">
        <v>0</v>
      </c>
      <c r="G2033" s="786">
        <f t="shared" si="102"/>
        <v>0</v>
      </c>
      <c r="H2033" s="786"/>
      <c r="I2033" s="786"/>
      <c r="J2033" s="786"/>
      <c r="K2033" s="788"/>
      <c r="L2033" s="788">
        <f>15+1+1-15</f>
        <v>2</v>
      </c>
      <c r="M2033" s="788">
        <f>L2033*E2033</f>
        <v>1000</v>
      </c>
      <c r="N2033" s="786"/>
      <c r="O2033" s="786"/>
    </row>
    <row r="2034" spans="1:15" ht="15.75">
      <c r="A2034" s="1170"/>
      <c r="B2034" s="884" t="s">
        <v>1327</v>
      </c>
      <c r="C2034" s="1172"/>
      <c r="D2034" s="861" t="s">
        <v>37</v>
      </c>
      <c r="E2034" s="790">
        <v>47200</v>
      </c>
      <c r="F2034" s="861">
        <f>2-1</f>
        <v>1</v>
      </c>
      <c r="G2034" s="786">
        <f t="shared" si="102"/>
        <v>47200</v>
      </c>
      <c r="H2034" s="786"/>
      <c r="I2034" s="786"/>
      <c r="J2034" s="786"/>
      <c r="K2034" s="788"/>
      <c r="L2034" s="788"/>
      <c r="M2034" s="788"/>
      <c r="N2034" s="786"/>
      <c r="O2034" s="786"/>
    </row>
    <row r="2035" spans="1:15" ht="15.75">
      <c r="A2035" s="1173">
        <v>288</v>
      </c>
      <c r="B2035" s="885" t="s">
        <v>664</v>
      </c>
      <c r="C2035" s="1175" t="s">
        <v>2515</v>
      </c>
      <c r="D2035" s="861" t="s">
        <v>37</v>
      </c>
      <c r="E2035" s="790">
        <v>47200</v>
      </c>
      <c r="F2035" s="861">
        <v>1</v>
      </c>
      <c r="G2035" s="786">
        <f t="shared" si="102"/>
        <v>47200</v>
      </c>
      <c r="H2035" s="786"/>
      <c r="I2035" s="786"/>
      <c r="J2035" s="786"/>
      <c r="K2035" s="788"/>
      <c r="L2035" s="788"/>
      <c r="M2035" s="788"/>
      <c r="N2035" s="786"/>
      <c r="O2035" s="786"/>
    </row>
    <row r="2036" spans="1:15" ht="15.75">
      <c r="A2036" s="1174"/>
      <c r="B2036" s="885" t="s">
        <v>664</v>
      </c>
      <c r="C2036" s="1176"/>
      <c r="D2036" s="861" t="s">
        <v>37</v>
      </c>
      <c r="E2036" s="790">
        <v>52864</v>
      </c>
      <c r="F2036" s="861">
        <v>1</v>
      </c>
      <c r="G2036" s="786">
        <f t="shared" si="102"/>
        <v>52864</v>
      </c>
      <c r="H2036" s="786"/>
      <c r="I2036" s="786"/>
      <c r="J2036" s="786"/>
      <c r="K2036" s="788"/>
      <c r="L2036" s="788"/>
      <c r="M2036" s="788"/>
      <c r="N2036" s="786"/>
      <c r="O2036" s="786"/>
    </row>
    <row r="2037" spans="1:15" ht="15.75">
      <c r="A2037" s="875"/>
      <c r="B2037" s="885" t="s">
        <v>664</v>
      </c>
      <c r="C2037" s="1177"/>
      <c r="D2037" s="861" t="s">
        <v>37</v>
      </c>
      <c r="E2037" s="790">
        <v>58646</v>
      </c>
      <c r="F2037" s="861">
        <v>2</v>
      </c>
      <c r="G2037" s="786">
        <f t="shared" si="102"/>
        <v>117292</v>
      </c>
      <c r="H2037" s="786"/>
      <c r="I2037" s="786"/>
      <c r="J2037" s="786"/>
      <c r="K2037" s="788"/>
      <c r="L2037" s="788"/>
      <c r="M2037" s="788"/>
      <c r="N2037" s="786"/>
      <c r="O2037" s="786"/>
    </row>
    <row r="2038" spans="1:15" ht="47.25">
      <c r="A2038" s="806"/>
      <c r="B2038" s="883"/>
      <c r="C2038" s="812" t="s">
        <v>2516</v>
      </c>
      <c r="D2038" s="861" t="s">
        <v>40</v>
      </c>
      <c r="E2038" s="790">
        <v>59000</v>
      </c>
      <c r="F2038" s="861">
        <f>2</f>
        <v>2</v>
      </c>
      <c r="G2038" s="786">
        <f t="shared" si="102"/>
        <v>118000</v>
      </c>
      <c r="H2038" s="786"/>
      <c r="I2038" s="786"/>
      <c r="J2038" s="786"/>
      <c r="K2038" s="788"/>
      <c r="L2038" s="788"/>
      <c r="M2038" s="788"/>
      <c r="N2038" s="786"/>
      <c r="O2038" s="786"/>
    </row>
    <row r="2039" spans="1:15" ht="47.25">
      <c r="A2039" s="806"/>
      <c r="B2039" s="883"/>
      <c r="C2039" s="812" t="s">
        <v>2517</v>
      </c>
      <c r="D2039" s="861" t="s">
        <v>40</v>
      </c>
      <c r="E2039" s="790">
        <v>58882</v>
      </c>
      <c r="F2039" s="861">
        <f>2</f>
        <v>2</v>
      </c>
      <c r="G2039" s="786">
        <f t="shared" si="102"/>
        <v>117764</v>
      </c>
      <c r="H2039" s="786"/>
      <c r="I2039" s="786"/>
      <c r="J2039" s="786"/>
      <c r="K2039" s="788"/>
      <c r="L2039" s="788"/>
      <c r="M2039" s="788"/>
      <c r="N2039" s="786"/>
      <c r="O2039" s="786"/>
    </row>
    <row r="2040" spans="1:15" ht="31.5">
      <c r="A2040" s="786">
        <v>328</v>
      </c>
      <c r="B2040" s="883" t="s">
        <v>2518</v>
      </c>
      <c r="C2040" s="812" t="s">
        <v>2519</v>
      </c>
      <c r="D2040" s="786" t="s">
        <v>37</v>
      </c>
      <c r="E2040" s="790">
        <v>2944.1</v>
      </c>
      <c r="F2040" s="786">
        <v>10</v>
      </c>
      <c r="G2040" s="786">
        <f t="shared" si="102"/>
        <v>29441</v>
      </c>
      <c r="H2040" s="786"/>
      <c r="I2040" s="786"/>
      <c r="J2040" s="786"/>
      <c r="K2040" s="788"/>
      <c r="L2040" s="788"/>
      <c r="M2040" s="788"/>
      <c r="N2040" s="786"/>
      <c r="O2040" s="786"/>
    </row>
    <row r="2041" spans="1:15" ht="31.5">
      <c r="A2041" s="786">
        <v>329</v>
      </c>
      <c r="B2041" s="883" t="s">
        <v>2520</v>
      </c>
      <c r="C2041" s="812" t="s">
        <v>2521</v>
      </c>
      <c r="D2041" s="786" t="s">
        <v>37</v>
      </c>
      <c r="E2041" s="870">
        <v>1115.0999999999999</v>
      </c>
      <c r="F2041" s="806">
        <f>10-3-2-1-1</f>
        <v>3</v>
      </c>
      <c r="G2041" s="786">
        <f t="shared" si="102"/>
        <v>3345.2999999999997</v>
      </c>
      <c r="H2041" s="806"/>
      <c r="I2041" s="806"/>
      <c r="J2041" s="806"/>
      <c r="K2041" s="806"/>
      <c r="L2041" s="806"/>
      <c r="M2041" s="806"/>
      <c r="N2041" s="806"/>
      <c r="O2041" s="806"/>
    </row>
    <row r="2042" spans="1:15" ht="63">
      <c r="A2042" s="806">
        <v>340</v>
      </c>
      <c r="B2042" s="883" t="s">
        <v>2522</v>
      </c>
      <c r="C2042" s="812" t="s">
        <v>2523</v>
      </c>
      <c r="D2042" s="806" t="s">
        <v>40</v>
      </c>
      <c r="E2042" s="806">
        <v>942.82</v>
      </c>
      <c r="F2042" s="806">
        <f>6-3-3</f>
        <v>0</v>
      </c>
      <c r="G2042" s="786">
        <f t="shared" si="102"/>
        <v>0</v>
      </c>
      <c r="H2042" s="806"/>
      <c r="I2042" s="806"/>
      <c r="J2042" s="806"/>
      <c r="K2042" s="806"/>
      <c r="L2042" s="806"/>
      <c r="M2042" s="806"/>
      <c r="N2042" s="806"/>
      <c r="O2042" s="806"/>
    </row>
    <row r="2043" spans="1:15" ht="31.5">
      <c r="A2043" s="786"/>
      <c r="B2043" s="883"/>
      <c r="C2043" s="837" t="s">
        <v>2524</v>
      </c>
      <c r="D2043" s="786" t="s">
        <v>40</v>
      </c>
      <c r="E2043" s="790">
        <v>0</v>
      </c>
      <c r="F2043" s="786">
        <v>0</v>
      </c>
      <c r="G2043" s="786">
        <f t="shared" si="102"/>
        <v>0</v>
      </c>
      <c r="H2043" s="786"/>
      <c r="I2043" s="786"/>
      <c r="J2043" s="786"/>
      <c r="K2043" s="788"/>
      <c r="L2043" s="788"/>
      <c r="M2043" s="788"/>
      <c r="N2043" s="786"/>
      <c r="O2043" s="786"/>
    </row>
    <row r="2044" spans="1:15" ht="31.5">
      <c r="A2044" s="786"/>
      <c r="B2044" s="883"/>
      <c r="C2044" s="837" t="s">
        <v>2525</v>
      </c>
      <c r="D2044" s="786" t="s">
        <v>40</v>
      </c>
      <c r="E2044" s="790">
        <v>0</v>
      </c>
      <c r="F2044" s="786">
        <v>0</v>
      </c>
      <c r="G2044" s="786">
        <f t="shared" si="102"/>
        <v>0</v>
      </c>
      <c r="H2044" s="786"/>
      <c r="I2044" s="786"/>
      <c r="J2044" s="786"/>
      <c r="K2044" s="788"/>
      <c r="L2044" s="788"/>
      <c r="M2044" s="788"/>
      <c r="N2044" s="786"/>
      <c r="O2044" s="786"/>
    </row>
    <row r="2045" spans="1:15" ht="31.5">
      <c r="A2045" s="786"/>
      <c r="B2045" s="883"/>
      <c r="C2045" s="837" t="s">
        <v>2526</v>
      </c>
      <c r="D2045" s="786" t="s">
        <v>37</v>
      </c>
      <c r="E2045" s="790">
        <v>0</v>
      </c>
      <c r="F2045" s="786">
        <v>0</v>
      </c>
      <c r="G2045" s="786">
        <f t="shared" si="102"/>
        <v>0</v>
      </c>
      <c r="H2045" s="786"/>
      <c r="I2045" s="786"/>
      <c r="J2045" s="786"/>
      <c r="K2045" s="788"/>
      <c r="L2045" s="788"/>
      <c r="M2045" s="788"/>
      <c r="N2045" s="786"/>
      <c r="O2045" s="786"/>
    </row>
    <row r="2046" spans="1:15" ht="31.5">
      <c r="A2046" s="786"/>
      <c r="B2046" s="883"/>
      <c r="C2046" s="837" t="s">
        <v>2527</v>
      </c>
      <c r="D2046" s="786" t="s">
        <v>40</v>
      </c>
      <c r="E2046" s="790">
        <v>0</v>
      </c>
      <c r="F2046" s="786">
        <v>0</v>
      </c>
      <c r="G2046" s="786">
        <f t="shared" si="102"/>
        <v>0</v>
      </c>
      <c r="H2046" s="786"/>
      <c r="I2046" s="786"/>
      <c r="J2046" s="786"/>
      <c r="K2046" s="788"/>
      <c r="L2046" s="788"/>
      <c r="M2046" s="788"/>
      <c r="N2046" s="786"/>
      <c r="O2046" s="786"/>
    </row>
    <row r="2047" spans="1:15" ht="47.25">
      <c r="A2047" s="786"/>
      <c r="B2047" s="883"/>
      <c r="C2047" s="837" t="s">
        <v>2528</v>
      </c>
      <c r="D2047" s="786" t="s">
        <v>40</v>
      </c>
      <c r="E2047" s="790">
        <v>2566</v>
      </c>
      <c r="F2047" s="786">
        <v>12</v>
      </c>
      <c r="G2047" s="786">
        <f t="shared" si="102"/>
        <v>30792</v>
      </c>
      <c r="H2047" s="786"/>
      <c r="I2047" s="786"/>
      <c r="J2047" s="786"/>
      <c r="K2047" s="788"/>
      <c r="L2047" s="788"/>
      <c r="M2047" s="788"/>
      <c r="N2047" s="786"/>
      <c r="O2047" s="786"/>
    </row>
    <row r="2048" spans="1:15" ht="47.25">
      <c r="A2048" s="786"/>
      <c r="B2048" s="883"/>
      <c r="C2048" s="837" t="s">
        <v>2529</v>
      </c>
      <c r="D2048" s="786" t="s">
        <v>40</v>
      </c>
      <c r="E2048" s="790">
        <v>0</v>
      </c>
      <c r="F2048" s="786">
        <v>0</v>
      </c>
      <c r="G2048" s="786">
        <f t="shared" si="102"/>
        <v>0</v>
      </c>
      <c r="H2048" s="786"/>
      <c r="I2048" s="786"/>
      <c r="J2048" s="786"/>
      <c r="K2048" s="788"/>
      <c r="L2048" s="788"/>
      <c r="M2048" s="788"/>
      <c r="N2048" s="786"/>
      <c r="O2048" s="786"/>
    </row>
    <row r="2049" spans="1:15" ht="31.5">
      <c r="A2049" s="786"/>
      <c r="B2049" s="883"/>
      <c r="C2049" s="837" t="s">
        <v>2530</v>
      </c>
      <c r="D2049" s="786" t="s">
        <v>40</v>
      </c>
      <c r="E2049" s="790">
        <v>2944.1</v>
      </c>
      <c r="F2049" s="786">
        <v>6</v>
      </c>
      <c r="G2049" s="786">
        <f t="shared" si="102"/>
        <v>17664.599999999999</v>
      </c>
      <c r="H2049" s="786"/>
      <c r="I2049" s="786"/>
      <c r="J2049" s="786"/>
      <c r="K2049" s="788"/>
      <c r="L2049" s="788"/>
      <c r="M2049" s="788"/>
      <c r="N2049" s="786"/>
      <c r="O2049" s="786"/>
    </row>
    <row r="2050" spans="1:15" ht="63">
      <c r="A2050" s="786">
        <v>387</v>
      </c>
      <c r="B2050" s="885" t="s">
        <v>2531</v>
      </c>
      <c r="C2050" s="837" t="s">
        <v>2532</v>
      </c>
      <c r="D2050" s="786" t="s">
        <v>37</v>
      </c>
      <c r="E2050" s="806">
        <v>354000</v>
      </c>
      <c r="F2050" s="806">
        <f>2-1</f>
        <v>1</v>
      </c>
      <c r="G2050" s="786">
        <f t="shared" si="102"/>
        <v>354000</v>
      </c>
      <c r="H2050" s="786"/>
      <c r="I2050" s="786"/>
      <c r="J2050" s="786"/>
      <c r="K2050" s="788"/>
      <c r="L2050" s="788"/>
      <c r="M2050" s="788"/>
      <c r="N2050" s="786"/>
      <c r="O2050" s="786"/>
    </row>
    <row r="2051" spans="1:15" ht="63">
      <c r="A2051" s="786"/>
      <c r="B2051" s="885" t="s">
        <v>696</v>
      </c>
      <c r="C2051" s="812" t="s">
        <v>2533</v>
      </c>
      <c r="D2051" s="786" t="s">
        <v>37</v>
      </c>
      <c r="E2051" s="806">
        <v>212400</v>
      </c>
      <c r="F2051" s="806">
        <v>1</v>
      </c>
      <c r="G2051" s="786">
        <f t="shared" si="102"/>
        <v>212400</v>
      </c>
      <c r="H2051" s="786"/>
      <c r="I2051" s="786"/>
      <c r="J2051" s="786"/>
      <c r="K2051" s="788"/>
      <c r="L2051" s="788"/>
      <c r="M2051" s="788"/>
      <c r="N2051" s="786"/>
      <c r="O2051" s="786"/>
    </row>
    <row r="2052" spans="1:15" ht="63">
      <c r="A2052" s="806">
        <v>388</v>
      </c>
      <c r="B2052" s="885" t="s">
        <v>1355</v>
      </c>
      <c r="C2052" s="812" t="s">
        <v>2534</v>
      </c>
      <c r="D2052" s="786" t="s">
        <v>37</v>
      </c>
      <c r="E2052" s="806">
        <v>212400</v>
      </c>
      <c r="F2052" s="806">
        <v>1</v>
      </c>
      <c r="G2052" s="786">
        <f t="shared" si="102"/>
        <v>212400</v>
      </c>
      <c r="H2052" s="786"/>
      <c r="I2052" s="786"/>
      <c r="J2052" s="786"/>
      <c r="K2052" s="788"/>
      <c r="L2052" s="788"/>
      <c r="M2052" s="788"/>
      <c r="N2052" s="786"/>
      <c r="O2052" s="786"/>
    </row>
    <row r="2053" spans="1:15" ht="15.75">
      <c r="A2053" s="1169">
        <v>392</v>
      </c>
      <c r="B2053" s="1179" t="s">
        <v>744</v>
      </c>
      <c r="C2053" s="1171" t="s">
        <v>2535</v>
      </c>
      <c r="D2053" s="861" t="s">
        <v>40</v>
      </c>
      <c r="E2053" s="790">
        <v>52784.800000000003</v>
      </c>
      <c r="F2053" s="861">
        <v>5</v>
      </c>
      <c r="G2053" s="786">
        <f t="shared" si="102"/>
        <v>263924</v>
      </c>
      <c r="H2053" s="848"/>
      <c r="I2053" s="848"/>
      <c r="J2053" s="848"/>
      <c r="K2053" s="849"/>
      <c r="L2053" s="849"/>
      <c r="M2053" s="849"/>
      <c r="N2053" s="848"/>
      <c r="O2053" s="848"/>
    </row>
    <row r="2054" spans="1:15" ht="15.75">
      <c r="A2054" s="1178"/>
      <c r="B2054" s="1180"/>
      <c r="C2054" s="1181"/>
      <c r="D2054" s="861" t="s">
        <v>40</v>
      </c>
      <c r="E2054" s="790">
        <v>53153.1</v>
      </c>
      <c r="F2054" s="861">
        <v>7</v>
      </c>
      <c r="G2054" s="786">
        <f t="shared" si="102"/>
        <v>372071.7</v>
      </c>
      <c r="H2054" s="848"/>
      <c r="I2054" s="848"/>
      <c r="J2054" s="848"/>
      <c r="K2054" s="849"/>
      <c r="L2054" s="849"/>
      <c r="M2054" s="849"/>
      <c r="N2054" s="848"/>
      <c r="O2054" s="848"/>
    </row>
    <row r="2055" spans="1:15" ht="15.75">
      <c r="A2055" s="786">
        <v>396</v>
      </c>
      <c r="B2055" s="885" t="s">
        <v>2536</v>
      </c>
      <c r="C2055" s="1182" t="s">
        <v>2537</v>
      </c>
      <c r="D2055" s="861" t="s">
        <v>40</v>
      </c>
      <c r="E2055" s="790">
        <v>206750</v>
      </c>
      <c r="F2055" s="861">
        <v>1</v>
      </c>
      <c r="G2055" s="786">
        <f t="shared" si="102"/>
        <v>206750</v>
      </c>
      <c r="H2055" s="848"/>
      <c r="I2055" s="848"/>
      <c r="J2055" s="848"/>
      <c r="K2055" s="849"/>
      <c r="L2055" s="849"/>
      <c r="M2055" s="849"/>
      <c r="N2055" s="848"/>
      <c r="O2055" s="848"/>
    </row>
    <row r="2056" spans="1:15" ht="15.75">
      <c r="A2056" s="786"/>
      <c r="B2056" s="885" t="s">
        <v>2536</v>
      </c>
      <c r="C2056" s="1182"/>
      <c r="D2056" s="861" t="s">
        <v>40</v>
      </c>
      <c r="E2056" s="790">
        <v>1000</v>
      </c>
      <c r="F2056" s="861">
        <f>6-2+3</f>
        <v>7</v>
      </c>
      <c r="G2056" s="786">
        <f t="shared" si="102"/>
        <v>7000</v>
      </c>
      <c r="H2056" s="848"/>
      <c r="I2056" s="848"/>
      <c r="J2056" s="848"/>
      <c r="K2056" s="849"/>
      <c r="L2056" s="849"/>
      <c r="M2056" s="849"/>
      <c r="N2056" s="848"/>
      <c r="O2056" s="848"/>
    </row>
    <row r="2057" spans="1:15" ht="31.5">
      <c r="A2057" s="786">
        <v>397</v>
      </c>
      <c r="B2057" s="885" t="s">
        <v>472</v>
      </c>
      <c r="C2057" s="844" t="s">
        <v>2538</v>
      </c>
      <c r="D2057" s="886" t="s">
        <v>40</v>
      </c>
      <c r="E2057" s="887">
        <v>1000</v>
      </c>
      <c r="F2057" s="888">
        <f>6+3</f>
        <v>9</v>
      </c>
      <c r="G2057" s="793">
        <f t="shared" si="102"/>
        <v>9000</v>
      </c>
      <c r="H2057" s="888"/>
      <c r="I2057" s="888"/>
      <c r="J2057" s="888"/>
      <c r="K2057" s="889"/>
      <c r="L2057" s="889"/>
      <c r="M2057" s="889"/>
      <c r="N2057" s="888"/>
      <c r="O2057" s="888"/>
    </row>
    <row r="2058" spans="1:15" ht="15.75">
      <c r="A2058" s="786"/>
      <c r="B2058" s="805"/>
      <c r="C2058" s="837"/>
      <c r="D2058" s="861"/>
      <c r="E2058" s="790"/>
      <c r="F2058" s="848"/>
      <c r="G2058" s="848"/>
      <c r="H2058" s="848"/>
      <c r="I2058" s="848"/>
      <c r="J2058" s="848"/>
      <c r="K2058" s="849"/>
      <c r="L2058" s="849"/>
      <c r="M2058" s="849"/>
      <c r="N2058" s="848"/>
      <c r="O2058" s="848"/>
    </row>
    <row r="2059" spans="1:15" ht="31.5">
      <c r="A2059" s="786">
        <v>12</v>
      </c>
      <c r="B2059" s="890" t="s">
        <v>2539</v>
      </c>
      <c r="C2059" s="837" t="s">
        <v>2540</v>
      </c>
      <c r="D2059" s="786" t="s">
        <v>40</v>
      </c>
      <c r="E2059" s="804">
        <v>200</v>
      </c>
      <c r="F2059" s="786"/>
      <c r="G2059" s="786"/>
      <c r="H2059" s="786"/>
      <c r="I2059" s="786"/>
      <c r="J2059" s="786"/>
      <c r="K2059" s="788"/>
      <c r="L2059" s="788">
        <f>3+109-3</f>
        <v>109</v>
      </c>
      <c r="M2059" s="788">
        <f>L2059*E2059</f>
        <v>21800</v>
      </c>
      <c r="N2059" s="786"/>
      <c r="O2059" s="786"/>
    </row>
    <row r="2060" spans="1:15" ht="47.25">
      <c r="A2060" s="786">
        <v>33</v>
      </c>
      <c r="B2060" s="890" t="s">
        <v>2541</v>
      </c>
      <c r="C2060" s="837" t="s">
        <v>2542</v>
      </c>
      <c r="D2060" s="786" t="s">
        <v>40</v>
      </c>
      <c r="E2060" s="804">
        <v>10000</v>
      </c>
      <c r="F2060" s="786">
        <v>2</v>
      </c>
      <c r="G2060" s="891">
        <f>E2060*F2060</f>
        <v>20000</v>
      </c>
      <c r="H2060" s="786"/>
      <c r="I2060" s="786"/>
      <c r="J2060" s="786"/>
      <c r="K2060" s="788"/>
      <c r="L2060" s="788"/>
      <c r="M2060" s="788"/>
      <c r="N2060" s="786"/>
      <c r="O2060" s="786"/>
    </row>
    <row r="2061" spans="1:15" ht="15.75">
      <c r="A2061" s="786"/>
      <c r="B2061" s="834"/>
      <c r="C2061" s="837"/>
      <c r="D2061" s="786"/>
      <c r="E2061" s="804"/>
      <c r="F2061" s="786"/>
      <c r="G2061" s="786"/>
      <c r="H2061" s="786"/>
      <c r="I2061" s="786"/>
      <c r="J2061" s="786"/>
      <c r="K2061" s="788"/>
      <c r="L2061" s="788"/>
      <c r="M2061" s="788"/>
      <c r="N2061" s="786"/>
      <c r="O2061" s="786"/>
    </row>
    <row r="2062" spans="1:15" ht="15.75">
      <c r="A2062" s="786">
        <v>1</v>
      </c>
      <c r="B2062" s="892" t="s">
        <v>2543</v>
      </c>
      <c r="C2062" s="837" t="s">
        <v>2544</v>
      </c>
      <c r="D2062" s="786" t="s">
        <v>40</v>
      </c>
      <c r="E2062" s="804">
        <v>100</v>
      </c>
      <c r="F2062" s="786">
        <v>8</v>
      </c>
      <c r="G2062" s="786">
        <f>E2062*F2062</f>
        <v>800</v>
      </c>
      <c r="H2062" s="786"/>
      <c r="I2062" s="786"/>
      <c r="J2062" s="786"/>
      <c r="K2062" s="788"/>
      <c r="L2062" s="788"/>
      <c r="M2062" s="788"/>
      <c r="N2062" s="786"/>
      <c r="O2062" s="786"/>
    </row>
    <row r="2063" spans="1:15" ht="15.75">
      <c r="A2063" s="1147" t="s">
        <v>2545</v>
      </c>
      <c r="B2063" s="1148"/>
      <c r="C2063" s="1149"/>
      <c r="D2063" s="1149"/>
      <c r="E2063" s="1150"/>
      <c r="F2063" s="893"/>
      <c r="G2063" s="894">
        <f t="shared" ref="G2063:K2063" si="103">SUM(G1781:G2062)</f>
        <v>12846251.691099999</v>
      </c>
      <c r="H2063" s="893"/>
      <c r="I2063" s="894">
        <f t="shared" si="103"/>
        <v>70000</v>
      </c>
      <c r="J2063" s="893"/>
      <c r="K2063" s="894">
        <f t="shared" si="103"/>
        <v>0</v>
      </c>
      <c r="L2063" s="893"/>
      <c r="M2063" s="894">
        <f>SUM(M1781:M2062)</f>
        <v>2900500.2252000002</v>
      </c>
      <c r="N2063" s="893"/>
      <c r="O2063" s="894">
        <f>SUM(O1781:O2062)</f>
        <v>0</v>
      </c>
    </row>
    <row r="2064" spans="1:15" ht="15.75">
      <c r="A2064" s="895"/>
      <c r="B2064" s="896"/>
      <c r="C2064" s="897"/>
      <c r="D2064" s="895"/>
      <c r="E2064" s="898"/>
      <c r="F2064" s="895"/>
      <c r="G2064" s="895"/>
      <c r="H2064" s="895"/>
      <c r="I2064" s="895"/>
      <c r="J2064" s="895"/>
      <c r="K2064" s="895"/>
      <c r="L2064" s="895"/>
      <c r="M2064" s="895"/>
      <c r="N2064" s="895"/>
      <c r="O2064" s="895"/>
    </row>
    <row r="2065" spans="1:15" ht="15.75">
      <c r="A2065" s="895"/>
      <c r="B2065" s="896"/>
      <c r="C2065" s="897"/>
      <c r="D2065" s="895"/>
      <c r="E2065" s="898"/>
      <c r="F2065" s="895"/>
      <c r="G2065" s="895"/>
      <c r="H2065" s="895"/>
      <c r="I2065" s="895"/>
      <c r="J2065" s="895"/>
      <c r="K2065" s="895"/>
      <c r="L2065" s="895"/>
      <c r="M2065" s="895"/>
      <c r="N2065" s="895"/>
      <c r="O2065" s="895"/>
    </row>
    <row r="2066" spans="1:15" ht="15.75">
      <c r="A2066" s="895"/>
      <c r="B2066" s="896"/>
      <c r="C2066" s="897"/>
      <c r="D2066" s="895"/>
      <c r="E2066" s="898"/>
      <c r="F2066" s="895"/>
      <c r="G2066" s="895"/>
      <c r="H2066" s="895"/>
      <c r="I2066" s="895"/>
      <c r="J2066" s="895"/>
      <c r="K2066" s="895"/>
      <c r="L2066" s="895"/>
      <c r="M2066" s="1155"/>
      <c r="N2066" s="1155"/>
      <c r="O2066" s="899"/>
    </row>
    <row r="2067" spans="1:15" ht="15.75">
      <c r="A2067" s="895"/>
      <c r="B2067" s="896"/>
      <c r="C2067" s="897"/>
      <c r="D2067" s="895"/>
      <c r="E2067" s="895"/>
      <c r="F2067" s="895"/>
      <c r="G2067" s="895"/>
      <c r="H2067" s="895"/>
      <c r="I2067" s="895"/>
      <c r="J2067" s="895"/>
      <c r="K2067" s="895"/>
      <c r="L2067" s="895"/>
      <c r="M2067" s="895"/>
      <c r="N2067" s="895"/>
      <c r="O2067" s="895"/>
    </row>
    <row r="2068" spans="1:15" ht="15.75">
      <c r="A2068" s="895"/>
      <c r="B2068" s="896"/>
      <c r="C2068" s="897"/>
      <c r="D2068" s="895"/>
      <c r="E2068" s="895"/>
      <c r="F2068" s="895"/>
      <c r="G2068" s="895"/>
      <c r="H2068" s="895"/>
      <c r="I2068" s="895"/>
      <c r="J2068" s="895"/>
      <c r="K2068" s="895"/>
      <c r="L2068" s="895"/>
      <c r="M2068" s="895"/>
      <c r="N2068" s="895"/>
      <c r="O2068" s="895"/>
    </row>
    <row r="2069" spans="1:15" ht="15.75">
      <c r="A2069" s="895"/>
      <c r="B2069" s="896"/>
      <c r="C2069" s="897"/>
      <c r="D2069" s="895"/>
      <c r="E2069" s="895"/>
      <c r="F2069" s="895"/>
      <c r="G2069" s="895"/>
      <c r="H2069" s="895"/>
      <c r="I2069" s="895"/>
      <c r="J2069" s="895"/>
      <c r="K2069" s="895"/>
      <c r="L2069" s="895"/>
      <c r="M2069" s="895"/>
      <c r="N2069" s="895"/>
      <c r="O2069" s="895"/>
    </row>
    <row r="2070" spans="1:15" ht="15.75">
      <c r="A2070" s="1156" t="s">
        <v>1302</v>
      </c>
      <c r="B2070" s="1157" t="s">
        <v>210</v>
      </c>
      <c r="C2070" s="1156" t="s">
        <v>1303</v>
      </c>
      <c r="D2070" s="1158" t="s">
        <v>112</v>
      </c>
      <c r="E2070" s="1160" t="s">
        <v>2220</v>
      </c>
      <c r="F2070" s="1162" t="s">
        <v>114</v>
      </c>
      <c r="G2070" s="1163"/>
      <c r="H2070" s="1164" t="s">
        <v>2221</v>
      </c>
      <c r="I2070" s="1165"/>
      <c r="J2070" s="1162" t="s">
        <v>1</v>
      </c>
      <c r="K2070" s="1166"/>
      <c r="L2070" s="1167" t="s">
        <v>0</v>
      </c>
      <c r="M2070" s="1168"/>
      <c r="N2070" s="1156" t="s">
        <v>1306</v>
      </c>
      <c r="O2070" s="1156"/>
    </row>
    <row r="2071" spans="1:15" ht="47.25">
      <c r="A2071" s="1156"/>
      <c r="B2071" s="1157"/>
      <c r="C2071" s="1156"/>
      <c r="D2071" s="1159"/>
      <c r="E2071" s="1161"/>
      <c r="F2071" s="781" t="s">
        <v>118</v>
      </c>
      <c r="G2071" s="782" t="s">
        <v>119</v>
      </c>
      <c r="H2071" s="781" t="s">
        <v>118</v>
      </c>
      <c r="I2071" s="782" t="s">
        <v>119</v>
      </c>
      <c r="J2071" s="781" t="s">
        <v>118</v>
      </c>
      <c r="K2071" s="782" t="s">
        <v>119</v>
      </c>
      <c r="L2071" s="781" t="s">
        <v>118</v>
      </c>
      <c r="M2071" s="782" t="s">
        <v>119</v>
      </c>
      <c r="N2071" s="781" t="s">
        <v>118</v>
      </c>
      <c r="O2071" s="782" t="s">
        <v>119</v>
      </c>
    </row>
    <row r="2072" spans="1:15" ht="15.75">
      <c r="A2072" s="900" t="s">
        <v>2546</v>
      </c>
      <c r="B2072" s="901"/>
      <c r="C2072" s="900"/>
      <c r="D2072" s="900"/>
      <c r="E2072" s="900"/>
      <c r="F2072" s="900"/>
      <c r="G2072" s="900"/>
      <c r="H2072" s="900"/>
      <c r="I2072" s="900"/>
      <c r="J2072" s="900"/>
      <c r="K2072" s="902"/>
      <c r="L2072" s="902"/>
      <c r="M2072" s="903"/>
      <c r="N2072" s="904"/>
      <c r="O2072" s="904"/>
    </row>
    <row r="2073" spans="1:15" ht="16.5">
      <c r="A2073" s="859">
        <v>1</v>
      </c>
      <c r="B2073" s="905" t="s">
        <v>2547</v>
      </c>
      <c r="C2073" s="837" t="s">
        <v>2548</v>
      </c>
      <c r="D2073" s="786" t="s">
        <v>40</v>
      </c>
      <c r="E2073" s="906">
        <v>14057.9</v>
      </c>
      <c r="F2073" s="786">
        <v>8</v>
      </c>
      <c r="G2073" s="786">
        <f t="shared" ref="G2073:G2082" si="104">E2073*F2073</f>
        <v>112463.2</v>
      </c>
      <c r="H2073" s="786"/>
      <c r="I2073" s="786"/>
      <c r="J2073" s="786"/>
      <c r="K2073" s="788"/>
      <c r="L2073" s="788"/>
      <c r="M2073" s="788"/>
      <c r="N2073" s="786"/>
      <c r="O2073" s="786"/>
    </row>
    <row r="2074" spans="1:15" ht="16.5">
      <c r="A2074" s="859">
        <v>2</v>
      </c>
      <c r="B2074" s="905" t="s">
        <v>2549</v>
      </c>
      <c r="C2074" s="837" t="s">
        <v>2550</v>
      </c>
      <c r="D2074" s="786" t="s">
        <v>40</v>
      </c>
      <c r="E2074" s="906">
        <v>1250</v>
      </c>
      <c r="F2074" s="786">
        <v>1</v>
      </c>
      <c r="G2074" s="786">
        <f t="shared" si="104"/>
        <v>1250</v>
      </c>
      <c r="H2074" s="786"/>
      <c r="I2074" s="786"/>
      <c r="J2074" s="786"/>
      <c r="K2074" s="788"/>
      <c r="L2074" s="788"/>
      <c r="M2074" s="788"/>
      <c r="N2074" s="786"/>
      <c r="O2074" s="786"/>
    </row>
    <row r="2075" spans="1:15" ht="16.5">
      <c r="A2075" s="859"/>
      <c r="B2075" s="905"/>
      <c r="C2075" s="907" t="s">
        <v>2551</v>
      </c>
      <c r="D2075" s="786"/>
      <c r="E2075" s="906"/>
      <c r="F2075" s="786"/>
      <c r="G2075" s="786"/>
      <c r="H2075" s="786"/>
      <c r="I2075" s="786"/>
      <c r="J2075" s="786"/>
      <c r="K2075" s="788"/>
      <c r="L2075" s="788"/>
      <c r="M2075" s="788"/>
      <c r="N2075" s="786"/>
      <c r="O2075" s="786"/>
    </row>
    <row r="2076" spans="1:15" ht="16.5">
      <c r="A2076" s="859">
        <v>5</v>
      </c>
      <c r="B2076" s="905" t="s">
        <v>2552</v>
      </c>
      <c r="C2076" s="837" t="s">
        <v>2553</v>
      </c>
      <c r="D2076" s="786" t="s">
        <v>40</v>
      </c>
      <c r="E2076" s="906">
        <v>7665</v>
      </c>
      <c r="F2076" s="786">
        <v>7</v>
      </c>
      <c r="G2076" s="786">
        <f t="shared" si="104"/>
        <v>53655</v>
      </c>
      <c r="H2076" s="786"/>
      <c r="I2076" s="786"/>
      <c r="J2076" s="786"/>
      <c r="K2076" s="788"/>
      <c r="L2076" s="788"/>
      <c r="M2076" s="788"/>
      <c r="N2076" s="786"/>
      <c r="O2076" s="786"/>
    </row>
    <row r="2077" spans="1:15" ht="16.5">
      <c r="A2077" s="859">
        <v>7</v>
      </c>
      <c r="B2077" s="905" t="s">
        <v>2554</v>
      </c>
      <c r="C2077" s="837" t="s">
        <v>2555</v>
      </c>
      <c r="D2077" s="786" t="s">
        <v>40</v>
      </c>
      <c r="E2077" s="906">
        <v>4945</v>
      </c>
      <c r="F2077" s="786">
        <v>2</v>
      </c>
      <c r="G2077" s="786">
        <f t="shared" si="104"/>
        <v>9890</v>
      </c>
      <c r="H2077" s="786"/>
      <c r="I2077" s="786"/>
      <c r="J2077" s="786"/>
      <c r="K2077" s="788"/>
      <c r="L2077" s="788"/>
      <c r="M2077" s="788"/>
      <c r="N2077" s="786"/>
      <c r="O2077" s="786"/>
    </row>
    <row r="2078" spans="1:15" ht="16.5">
      <c r="A2078" s="859">
        <v>9</v>
      </c>
      <c r="B2078" s="905" t="s">
        <v>2556</v>
      </c>
      <c r="C2078" s="837" t="s">
        <v>1209</v>
      </c>
      <c r="D2078" s="786" t="s">
        <v>40</v>
      </c>
      <c r="E2078" s="906">
        <v>3436.43</v>
      </c>
      <c r="F2078" s="786">
        <v>1</v>
      </c>
      <c r="G2078" s="786">
        <f t="shared" si="104"/>
        <v>3436.43</v>
      </c>
      <c r="H2078" s="786"/>
      <c r="I2078" s="786"/>
      <c r="J2078" s="786"/>
      <c r="K2078" s="788"/>
      <c r="L2078" s="788"/>
      <c r="M2078" s="788"/>
      <c r="N2078" s="786"/>
      <c r="O2078" s="786"/>
    </row>
    <row r="2079" spans="1:15" ht="16.5">
      <c r="A2079" s="859"/>
      <c r="B2079" s="905" t="s">
        <v>2557</v>
      </c>
      <c r="C2079" s="837" t="s">
        <v>2558</v>
      </c>
      <c r="D2079" s="786" t="s">
        <v>40</v>
      </c>
      <c r="E2079" s="906">
        <v>2225</v>
      </c>
      <c r="F2079" s="786">
        <v>11</v>
      </c>
      <c r="G2079" s="786">
        <f t="shared" si="104"/>
        <v>24475</v>
      </c>
      <c r="H2079" s="786"/>
      <c r="I2079" s="786"/>
      <c r="J2079" s="786"/>
      <c r="K2079" s="788"/>
      <c r="L2079" s="788">
        <v>3</v>
      </c>
      <c r="M2079" s="788">
        <f>L2079*E2079</f>
        <v>6675</v>
      </c>
      <c r="N2079" s="786"/>
      <c r="O2079" s="786"/>
    </row>
    <row r="2080" spans="1:15" ht="16.5">
      <c r="A2080" s="859"/>
      <c r="B2080" s="905" t="s">
        <v>2557</v>
      </c>
      <c r="C2080" s="837" t="s">
        <v>2559</v>
      </c>
      <c r="D2080" s="786" t="s">
        <v>40</v>
      </c>
      <c r="E2080" s="906">
        <v>10447.5</v>
      </c>
      <c r="F2080" s="786">
        <v>2</v>
      </c>
      <c r="G2080" s="786">
        <f t="shared" si="104"/>
        <v>20895</v>
      </c>
      <c r="H2080" s="786"/>
      <c r="I2080" s="786"/>
      <c r="J2080" s="786"/>
      <c r="K2080" s="788"/>
      <c r="L2080" s="788"/>
      <c r="M2080" s="788"/>
      <c r="N2080" s="786"/>
      <c r="O2080" s="786"/>
    </row>
    <row r="2081" spans="1:15" ht="16.5">
      <c r="A2081" s="859"/>
      <c r="B2081" s="905" t="s">
        <v>2560</v>
      </c>
      <c r="C2081" s="837" t="s">
        <v>2561</v>
      </c>
      <c r="D2081" s="786" t="s">
        <v>40</v>
      </c>
      <c r="E2081" s="906">
        <v>12769.42</v>
      </c>
      <c r="F2081" s="786">
        <v>4</v>
      </c>
      <c r="G2081" s="786">
        <f t="shared" si="104"/>
        <v>51077.68</v>
      </c>
      <c r="H2081" s="786"/>
      <c r="I2081" s="786"/>
      <c r="J2081" s="786"/>
      <c r="K2081" s="788"/>
      <c r="L2081" s="788"/>
      <c r="M2081" s="788"/>
      <c r="N2081" s="786"/>
      <c r="O2081" s="786"/>
    </row>
    <row r="2082" spans="1:15" ht="31.5">
      <c r="A2082" s="859"/>
      <c r="B2082" s="905" t="s">
        <v>2562</v>
      </c>
      <c r="C2082" s="837" t="s">
        <v>2563</v>
      </c>
      <c r="D2082" s="786" t="s">
        <v>40</v>
      </c>
      <c r="E2082" s="906">
        <v>6913.17</v>
      </c>
      <c r="F2082" s="786">
        <v>8</v>
      </c>
      <c r="G2082" s="786">
        <f t="shared" si="104"/>
        <v>55305.36</v>
      </c>
      <c r="H2082" s="786"/>
      <c r="I2082" s="786"/>
      <c r="J2082" s="786"/>
      <c r="K2082" s="788"/>
      <c r="L2082" s="788"/>
      <c r="M2082" s="788"/>
      <c r="N2082" s="786"/>
      <c r="O2082" s="786"/>
    </row>
    <row r="2083" spans="1:15" ht="16.5">
      <c r="A2083" s="859"/>
      <c r="B2083" s="905"/>
      <c r="C2083" s="907" t="s">
        <v>2564</v>
      </c>
      <c r="D2083" s="786"/>
      <c r="E2083" s="906"/>
      <c r="F2083" s="786"/>
      <c r="G2083" s="786"/>
      <c r="H2083" s="786"/>
      <c r="I2083" s="786"/>
      <c r="J2083" s="786"/>
      <c r="K2083" s="788"/>
      <c r="L2083" s="788"/>
      <c r="M2083" s="788"/>
      <c r="N2083" s="786"/>
      <c r="O2083" s="786"/>
    </row>
    <row r="2084" spans="1:15" ht="16.5">
      <c r="A2084" s="859">
        <v>10</v>
      </c>
      <c r="B2084" s="905" t="s">
        <v>2565</v>
      </c>
      <c r="C2084" s="837" t="s">
        <v>1210</v>
      </c>
      <c r="D2084" s="786" t="s">
        <v>40</v>
      </c>
      <c r="E2084" s="906">
        <v>5693</v>
      </c>
      <c r="F2084" s="786">
        <v>4</v>
      </c>
      <c r="G2084" s="786">
        <f t="shared" ref="G2084:G2092" si="105">E2084*F2084</f>
        <v>22772</v>
      </c>
      <c r="H2084" s="786"/>
      <c r="I2084" s="786"/>
      <c r="J2084" s="786"/>
      <c r="K2084" s="788"/>
      <c r="L2084" s="788"/>
      <c r="M2084" s="788"/>
      <c r="N2084" s="786"/>
      <c r="O2084" s="786"/>
    </row>
    <row r="2085" spans="1:15" ht="16.5">
      <c r="A2085" s="859">
        <v>11</v>
      </c>
      <c r="B2085" s="905" t="s">
        <v>2566</v>
      </c>
      <c r="C2085" s="837" t="s">
        <v>1211</v>
      </c>
      <c r="D2085" s="786" t="s">
        <v>40</v>
      </c>
      <c r="E2085" s="906">
        <v>8987</v>
      </c>
      <c r="F2085" s="786">
        <v>3</v>
      </c>
      <c r="G2085" s="786">
        <f t="shared" si="105"/>
        <v>26961</v>
      </c>
      <c r="H2085" s="786"/>
      <c r="I2085" s="786"/>
      <c r="J2085" s="786"/>
      <c r="K2085" s="788"/>
      <c r="L2085" s="788"/>
      <c r="M2085" s="788"/>
      <c r="N2085" s="786"/>
      <c r="O2085" s="786"/>
    </row>
    <row r="2086" spans="1:15" ht="31.5">
      <c r="A2086" s="859">
        <v>13</v>
      </c>
      <c r="B2086" s="905" t="s">
        <v>2567</v>
      </c>
      <c r="C2086" s="837" t="s">
        <v>2568</v>
      </c>
      <c r="D2086" s="786" t="s">
        <v>40</v>
      </c>
      <c r="E2086" s="906">
        <v>1250</v>
      </c>
      <c r="F2086" s="786">
        <v>1</v>
      </c>
      <c r="G2086" s="786">
        <f t="shared" si="105"/>
        <v>1250</v>
      </c>
      <c r="H2086" s="786"/>
      <c r="I2086" s="786"/>
      <c r="J2086" s="786"/>
      <c r="K2086" s="788"/>
      <c r="L2086" s="788"/>
      <c r="M2086" s="788"/>
      <c r="N2086" s="786"/>
      <c r="O2086" s="786"/>
    </row>
    <row r="2087" spans="1:15" ht="16.5">
      <c r="A2087" s="859">
        <v>14</v>
      </c>
      <c r="B2087" s="905" t="s">
        <v>550</v>
      </c>
      <c r="C2087" s="837" t="s">
        <v>1212</v>
      </c>
      <c r="D2087" s="786" t="s">
        <v>40</v>
      </c>
      <c r="E2087" s="906">
        <v>7524.85</v>
      </c>
      <c r="F2087" s="786">
        <v>2</v>
      </c>
      <c r="G2087" s="786">
        <f t="shared" si="105"/>
        <v>15049.7</v>
      </c>
      <c r="H2087" s="786"/>
      <c r="I2087" s="786"/>
      <c r="J2087" s="786"/>
      <c r="K2087" s="788"/>
      <c r="L2087" s="788"/>
      <c r="M2087" s="788"/>
      <c r="N2087" s="786"/>
      <c r="O2087" s="786"/>
    </row>
    <row r="2088" spans="1:15" ht="16.5">
      <c r="A2088" s="859">
        <v>15</v>
      </c>
      <c r="B2088" s="905" t="s">
        <v>2569</v>
      </c>
      <c r="C2088" s="837" t="s">
        <v>2570</v>
      </c>
      <c r="D2088" s="786" t="s">
        <v>40</v>
      </c>
      <c r="E2088" s="906">
        <v>11640</v>
      </c>
      <c r="F2088" s="786">
        <v>6</v>
      </c>
      <c r="G2088" s="786">
        <f t="shared" si="105"/>
        <v>69840</v>
      </c>
      <c r="H2088" s="786"/>
      <c r="I2088" s="786"/>
      <c r="J2088" s="786"/>
      <c r="K2088" s="788"/>
      <c r="L2088" s="788"/>
      <c r="M2088" s="788"/>
      <c r="N2088" s="786"/>
      <c r="O2088" s="786"/>
    </row>
    <row r="2089" spans="1:15" ht="16.5">
      <c r="A2089" s="859"/>
      <c r="B2089" s="905" t="s">
        <v>2571</v>
      </c>
      <c r="C2089" s="837" t="s">
        <v>2572</v>
      </c>
      <c r="D2089" s="786" t="s">
        <v>40</v>
      </c>
      <c r="E2089" s="906">
        <v>11497</v>
      </c>
      <c r="F2089" s="786">
        <v>2</v>
      </c>
      <c r="G2089" s="786">
        <f t="shared" si="105"/>
        <v>22994</v>
      </c>
      <c r="H2089" s="786"/>
      <c r="I2089" s="786"/>
      <c r="J2089" s="786"/>
      <c r="K2089" s="788"/>
      <c r="L2089" s="788"/>
      <c r="M2089" s="788"/>
      <c r="N2089" s="786"/>
      <c r="O2089" s="786"/>
    </row>
    <row r="2090" spans="1:15" ht="16.5">
      <c r="A2090" s="859"/>
      <c r="B2090" s="905" t="s">
        <v>2573</v>
      </c>
      <c r="C2090" s="837" t="s">
        <v>2574</v>
      </c>
      <c r="D2090" s="786" t="s">
        <v>40</v>
      </c>
      <c r="E2090" s="906">
        <v>11361</v>
      </c>
      <c r="F2090" s="786">
        <v>1</v>
      </c>
      <c r="G2090" s="786">
        <f t="shared" si="105"/>
        <v>11361</v>
      </c>
      <c r="H2090" s="786"/>
      <c r="I2090" s="786"/>
      <c r="J2090" s="786"/>
      <c r="K2090" s="788"/>
      <c r="L2090" s="788"/>
      <c r="M2090" s="788"/>
      <c r="N2090" s="786"/>
      <c r="O2090" s="786"/>
    </row>
    <row r="2091" spans="1:15" ht="16.5">
      <c r="A2091" s="859"/>
      <c r="B2091" s="905" t="s">
        <v>2575</v>
      </c>
      <c r="C2091" s="837" t="s">
        <v>2576</v>
      </c>
      <c r="D2091" s="786" t="s">
        <v>40</v>
      </c>
      <c r="E2091" s="906">
        <v>46712</v>
      </c>
      <c r="F2091" s="786">
        <v>1</v>
      </c>
      <c r="G2091" s="786">
        <f t="shared" si="105"/>
        <v>46712</v>
      </c>
      <c r="H2091" s="786"/>
      <c r="I2091" s="786"/>
      <c r="J2091" s="786"/>
      <c r="K2091" s="788"/>
      <c r="L2091" s="788"/>
      <c r="M2091" s="788"/>
      <c r="N2091" s="786"/>
      <c r="O2091" s="786"/>
    </row>
    <row r="2092" spans="1:15" ht="16.5">
      <c r="A2092" s="859"/>
      <c r="B2092" s="905" t="s">
        <v>2577</v>
      </c>
      <c r="C2092" s="837" t="s">
        <v>2578</v>
      </c>
      <c r="D2092" s="786" t="s">
        <v>40</v>
      </c>
      <c r="E2092" s="906">
        <v>13623</v>
      </c>
      <c r="F2092" s="786">
        <v>1</v>
      </c>
      <c r="G2092" s="786">
        <f t="shared" si="105"/>
        <v>13623</v>
      </c>
      <c r="H2092" s="786"/>
      <c r="I2092" s="786"/>
      <c r="J2092" s="786"/>
      <c r="K2092" s="788"/>
      <c r="L2092" s="788"/>
      <c r="M2092" s="788"/>
      <c r="N2092" s="786"/>
      <c r="O2092" s="786"/>
    </row>
    <row r="2093" spans="1:15" ht="16.5">
      <c r="A2093" s="859"/>
      <c r="B2093" s="908"/>
      <c r="C2093" s="907" t="s">
        <v>2579</v>
      </c>
      <c r="D2093" s="786"/>
      <c r="E2093" s="906"/>
      <c r="F2093" s="786"/>
      <c r="G2093" s="786"/>
      <c r="H2093" s="786"/>
      <c r="I2093" s="786"/>
      <c r="J2093" s="786"/>
      <c r="K2093" s="788"/>
      <c r="L2093" s="788"/>
      <c r="M2093" s="788"/>
      <c r="N2093" s="786"/>
      <c r="O2093" s="786"/>
    </row>
    <row r="2094" spans="1:15" ht="47.25">
      <c r="A2094" s="859"/>
      <c r="B2094" s="905"/>
      <c r="C2094" s="837" t="s">
        <v>2580</v>
      </c>
      <c r="D2094" s="786"/>
      <c r="E2094" s="906"/>
      <c r="F2094" s="786"/>
      <c r="G2094" s="786"/>
      <c r="H2094" s="786"/>
      <c r="I2094" s="786"/>
      <c r="J2094" s="786"/>
      <c r="K2094" s="788"/>
      <c r="L2094" s="788"/>
      <c r="M2094" s="788"/>
      <c r="N2094" s="786"/>
      <c r="O2094" s="786"/>
    </row>
    <row r="2095" spans="1:15" ht="47.25">
      <c r="A2095" s="859">
        <v>22</v>
      </c>
      <c r="B2095" s="905" t="s">
        <v>2581</v>
      </c>
      <c r="C2095" s="837" t="s">
        <v>2582</v>
      </c>
      <c r="D2095" s="786" t="s">
        <v>40</v>
      </c>
      <c r="E2095" s="906">
        <v>53727.25</v>
      </c>
      <c r="F2095" s="786">
        <v>2</v>
      </c>
      <c r="G2095" s="786">
        <f t="shared" ref="G2095:G2098" si="106">E2095*F2095</f>
        <v>107454.5</v>
      </c>
      <c r="H2095" s="786"/>
      <c r="I2095" s="786"/>
      <c r="J2095" s="786"/>
      <c r="K2095" s="788"/>
      <c r="L2095" s="788"/>
      <c r="M2095" s="788"/>
      <c r="N2095" s="786"/>
      <c r="O2095" s="786"/>
    </row>
    <row r="2096" spans="1:15" ht="16.5">
      <c r="A2096" s="859">
        <v>23</v>
      </c>
      <c r="B2096" s="905" t="s">
        <v>2583</v>
      </c>
      <c r="C2096" s="837" t="s">
        <v>2584</v>
      </c>
      <c r="D2096" s="786" t="s">
        <v>40</v>
      </c>
      <c r="E2096" s="906">
        <v>43584</v>
      </c>
      <c r="F2096" s="786">
        <v>1</v>
      </c>
      <c r="G2096" s="786">
        <f t="shared" si="106"/>
        <v>43584</v>
      </c>
      <c r="H2096" s="786"/>
      <c r="I2096" s="786"/>
      <c r="J2096" s="786"/>
      <c r="K2096" s="788"/>
      <c r="L2096" s="788"/>
      <c r="M2096" s="788"/>
      <c r="N2096" s="786"/>
      <c r="O2096" s="786"/>
    </row>
    <row r="2097" spans="1:15" ht="16.5">
      <c r="A2097" s="859"/>
      <c r="B2097" s="908"/>
      <c r="C2097" s="907" t="s">
        <v>2585</v>
      </c>
      <c r="D2097" s="786"/>
      <c r="E2097" s="906"/>
      <c r="F2097" s="786"/>
      <c r="G2097" s="786"/>
      <c r="H2097" s="786"/>
      <c r="I2097" s="786"/>
      <c r="J2097" s="786"/>
      <c r="K2097" s="788"/>
      <c r="L2097" s="788"/>
      <c r="M2097" s="788"/>
      <c r="N2097" s="786"/>
      <c r="O2097" s="786"/>
    </row>
    <row r="2098" spans="1:15" ht="16.5">
      <c r="A2098" s="859"/>
      <c r="B2098" s="908" t="s">
        <v>2586</v>
      </c>
      <c r="C2098" s="837" t="s">
        <v>2587</v>
      </c>
      <c r="D2098" s="786" t="s">
        <v>46</v>
      </c>
      <c r="E2098" s="906">
        <v>60.072727</v>
      </c>
      <c r="F2098" s="786">
        <v>220</v>
      </c>
      <c r="G2098" s="809">
        <f t="shared" si="106"/>
        <v>13215.99994</v>
      </c>
      <c r="H2098" s="786"/>
      <c r="I2098" s="786"/>
      <c r="J2098" s="786"/>
      <c r="K2098" s="788"/>
      <c r="L2098" s="788"/>
      <c r="M2098" s="788"/>
      <c r="N2098" s="786"/>
      <c r="O2098" s="786"/>
    </row>
    <row r="2099" spans="1:15" ht="16.5">
      <c r="A2099" s="859"/>
      <c r="B2099" s="908"/>
      <c r="C2099" s="907" t="s">
        <v>2588</v>
      </c>
      <c r="D2099" s="786"/>
      <c r="E2099" s="906"/>
      <c r="F2099" s="786"/>
      <c r="G2099" s="786"/>
      <c r="H2099" s="786"/>
      <c r="I2099" s="786"/>
      <c r="J2099" s="786"/>
      <c r="K2099" s="788"/>
      <c r="L2099" s="788"/>
      <c r="M2099" s="788"/>
      <c r="N2099" s="786"/>
      <c r="O2099" s="786"/>
    </row>
    <row r="2100" spans="1:15" ht="16.5">
      <c r="A2100" s="859">
        <v>94</v>
      </c>
      <c r="B2100" s="908" t="s">
        <v>2051</v>
      </c>
      <c r="C2100" s="837" t="s">
        <v>2589</v>
      </c>
      <c r="D2100" s="786" t="s">
        <v>40</v>
      </c>
      <c r="E2100" s="906">
        <v>9200</v>
      </c>
      <c r="F2100" s="786">
        <v>1</v>
      </c>
      <c r="G2100" s="809">
        <f t="shared" ref="G2100:G2118" si="107">E2100*F2100</f>
        <v>9200</v>
      </c>
      <c r="H2100" s="786"/>
      <c r="I2100" s="786"/>
      <c r="J2100" s="786"/>
      <c r="K2100" s="788"/>
      <c r="L2100" s="788"/>
      <c r="M2100" s="788"/>
      <c r="N2100" s="786"/>
      <c r="O2100" s="786"/>
    </row>
    <row r="2101" spans="1:15" ht="31.5">
      <c r="A2101" s="859">
        <v>103</v>
      </c>
      <c r="B2101" s="908" t="s">
        <v>2590</v>
      </c>
      <c r="C2101" s="837" t="s">
        <v>2591</v>
      </c>
      <c r="D2101" s="786" t="s">
        <v>40</v>
      </c>
      <c r="E2101" s="906">
        <v>0</v>
      </c>
      <c r="F2101" s="786">
        <v>1</v>
      </c>
      <c r="G2101" s="809">
        <f t="shared" si="107"/>
        <v>0</v>
      </c>
      <c r="H2101" s="786"/>
      <c r="I2101" s="786"/>
      <c r="J2101" s="786"/>
      <c r="K2101" s="788"/>
      <c r="L2101" s="788"/>
      <c r="M2101" s="788"/>
      <c r="N2101" s="786"/>
      <c r="O2101" s="786"/>
    </row>
    <row r="2102" spans="1:15" ht="31.5">
      <c r="A2102" s="859">
        <v>104</v>
      </c>
      <c r="B2102" s="908" t="s">
        <v>2592</v>
      </c>
      <c r="C2102" s="837" t="s">
        <v>2593</v>
      </c>
      <c r="D2102" s="786" t="s">
        <v>40</v>
      </c>
      <c r="E2102" s="906">
        <v>0</v>
      </c>
      <c r="F2102" s="786">
        <v>4</v>
      </c>
      <c r="G2102" s="809">
        <f t="shared" si="107"/>
        <v>0</v>
      </c>
      <c r="H2102" s="786"/>
      <c r="I2102" s="786"/>
      <c r="J2102" s="786"/>
      <c r="K2102" s="788"/>
      <c r="L2102" s="788"/>
      <c r="M2102" s="788"/>
      <c r="N2102" s="786"/>
      <c r="O2102" s="786"/>
    </row>
    <row r="2103" spans="1:15" ht="31.5">
      <c r="A2103" s="859">
        <v>108</v>
      </c>
      <c r="B2103" s="908" t="s">
        <v>2594</v>
      </c>
      <c r="C2103" s="837" t="s">
        <v>2595</v>
      </c>
      <c r="D2103" s="786" t="s">
        <v>40</v>
      </c>
      <c r="E2103" s="906">
        <v>0</v>
      </c>
      <c r="F2103" s="786">
        <v>2</v>
      </c>
      <c r="G2103" s="809">
        <f t="shared" si="107"/>
        <v>0</v>
      </c>
      <c r="H2103" s="786"/>
      <c r="I2103" s="786"/>
      <c r="J2103" s="786"/>
      <c r="K2103" s="788"/>
      <c r="L2103" s="788"/>
      <c r="M2103" s="788"/>
      <c r="N2103" s="786"/>
      <c r="O2103" s="786"/>
    </row>
    <row r="2104" spans="1:15" ht="31.5">
      <c r="A2104" s="859">
        <v>125</v>
      </c>
      <c r="B2104" s="908" t="s">
        <v>2055</v>
      </c>
      <c r="C2104" s="837" t="s">
        <v>2596</v>
      </c>
      <c r="D2104" s="786" t="s">
        <v>40</v>
      </c>
      <c r="E2104" s="906">
        <v>11340</v>
      </c>
      <c r="F2104" s="786">
        <v>1</v>
      </c>
      <c r="G2104" s="809">
        <f t="shared" si="107"/>
        <v>11340</v>
      </c>
      <c r="H2104" s="786"/>
      <c r="I2104" s="786"/>
      <c r="J2104" s="786"/>
      <c r="K2104" s="788"/>
      <c r="L2104" s="788"/>
      <c r="M2104" s="788"/>
      <c r="N2104" s="786"/>
      <c r="O2104" s="786"/>
    </row>
    <row r="2105" spans="1:15" ht="31.5">
      <c r="A2105" s="859">
        <v>134</v>
      </c>
      <c r="B2105" s="908" t="s">
        <v>2597</v>
      </c>
      <c r="C2105" s="837" t="s">
        <v>2598</v>
      </c>
      <c r="D2105" s="786" t="s">
        <v>40</v>
      </c>
      <c r="E2105" s="906">
        <v>806.25</v>
      </c>
      <c r="F2105" s="786">
        <v>8</v>
      </c>
      <c r="G2105" s="809">
        <f t="shared" si="107"/>
        <v>6450</v>
      </c>
      <c r="H2105" s="786"/>
      <c r="I2105" s="786"/>
      <c r="J2105" s="786"/>
      <c r="K2105" s="788"/>
      <c r="L2105" s="788"/>
      <c r="M2105" s="788"/>
      <c r="N2105" s="786"/>
      <c r="O2105" s="786"/>
    </row>
    <row r="2106" spans="1:15" ht="31.5">
      <c r="A2106" s="859">
        <v>144</v>
      </c>
      <c r="B2106" s="908" t="s">
        <v>2599</v>
      </c>
      <c r="C2106" s="837" t="s">
        <v>2600</v>
      </c>
      <c r="D2106" s="786" t="s">
        <v>40</v>
      </c>
      <c r="E2106" s="906">
        <v>0</v>
      </c>
      <c r="F2106" s="786">
        <v>1</v>
      </c>
      <c r="G2106" s="809">
        <f t="shared" si="107"/>
        <v>0</v>
      </c>
      <c r="H2106" s="786"/>
      <c r="I2106" s="786"/>
      <c r="J2106" s="786"/>
      <c r="K2106" s="788"/>
      <c r="L2106" s="788"/>
      <c r="M2106" s="788"/>
      <c r="N2106" s="786"/>
      <c r="O2106" s="786"/>
    </row>
    <row r="2107" spans="1:15" ht="31.5">
      <c r="A2107" s="859">
        <v>146</v>
      </c>
      <c r="B2107" s="908" t="s">
        <v>2601</v>
      </c>
      <c r="C2107" s="837" t="s">
        <v>2602</v>
      </c>
      <c r="D2107" s="786" t="s">
        <v>40</v>
      </c>
      <c r="E2107" s="906">
        <v>0</v>
      </c>
      <c r="F2107" s="786">
        <v>4</v>
      </c>
      <c r="G2107" s="809">
        <f t="shared" si="107"/>
        <v>0</v>
      </c>
      <c r="H2107" s="786"/>
      <c r="I2107" s="786"/>
      <c r="J2107" s="786"/>
      <c r="K2107" s="788"/>
      <c r="L2107" s="788"/>
      <c r="M2107" s="788"/>
      <c r="N2107" s="786"/>
      <c r="O2107" s="786"/>
    </row>
    <row r="2108" spans="1:15" ht="16.5">
      <c r="A2108" s="859">
        <v>147</v>
      </c>
      <c r="B2108" s="908" t="s">
        <v>2603</v>
      </c>
      <c r="C2108" s="837" t="s">
        <v>2604</v>
      </c>
      <c r="D2108" s="786" t="s">
        <v>40</v>
      </c>
      <c r="E2108" s="906">
        <v>0</v>
      </c>
      <c r="F2108" s="786">
        <v>6</v>
      </c>
      <c r="G2108" s="809">
        <f t="shared" si="107"/>
        <v>0</v>
      </c>
      <c r="H2108" s="786"/>
      <c r="I2108" s="786"/>
      <c r="J2108" s="786"/>
      <c r="K2108" s="788"/>
      <c r="L2108" s="788"/>
      <c r="M2108" s="788"/>
      <c r="N2108" s="786"/>
      <c r="O2108" s="786"/>
    </row>
    <row r="2109" spans="1:15" ht="16.5">
      <c r="A2109" s="859">
        <f t="shared" ref="A2109:A2137" si="108">A2108+1</f>
        <v>148</v>
      </c>
      <c r="B2109" s="908" t="s">
        <v>2605</v>
      </c>
      <c r="C2109" s="837" t="s">
        <v>2606</v>
      </c>
      <c r="D2109" s="786" t="s">
        <v>40</v>
      </c>
      <c r="E2109" s="906">
        <v>0</v>
      </c>
      <c r="F2109" s="786">
        <v>1</v>
      </c>
      <c r="G2109" s="809">
        <f t="shared" si="107"/>
        <v>0</v>
      </c>
      <c r="H2109" s="786"/>
      <c r="I2109" s="786"/>
      <c r="J2109" s="786"/>
      <c r="K2109" s="788"/>
      <c r="L2109" s="788"/>
      <c r="M2109" s="788"/>
      <c r="N2109" s="786"/>
      <c r="O2109" s="786"/>
    </row>
    <row r="2110" spans="1:15" ht="31.5">
      <c r="A2110" s="859">
        <f t="shared" si="108"/>
        <v>149</v>
      </c>
      <c r="B2110" s="908" t="s">
        <v>2607</v>
      </c>
      <c r="C2110" s="837" t="s">
        <v>2608</v>
      </c>
      <c r="D2110" s="786" t="s">
        <v>40</v>
      </c>
      <c r="E2110" s="906">
        <v>0</v>
      </c>
      <c r="F2110" s="786">
        <v>1</v>
      </c>
      <c r="G2110" s="809">
        <f t="shared" si="107"/>
        <v>0</v>
      </c>
      <c r="H2110" s="786"/>
      <c r="I2110" s="786"/>
      <c r="J2110" s="786"/>
      <c r="K2110" s="788"/>
      <c r="L2110" s="788"/>
      <c r="M2110" s="788"/>
      <c r="N2110" s="786"/>
      <c r="O2110" s="786"/>
    </row>
    <row r="2111" spans="1:15" ht="31.5">
      <c r="A2111" s="859">
        <f t="shared" si="108"/>
        <v>150</v>
      </c>
      <c r="B2111" s="908" t="s">
        <v>2609</v>
      </c>
      <c r="C2111" s="837" t="s">
        <v>2610</v>
      </c>
      <c r="D2111" s="786" t="s">
        <v>40</v>
      </c>
      <c r="E2111" s="906">
        <v>0</v>
      </c>
      <c r="F2111" s="786">
        <v>2</v>
      </c>
      <c r="G2111" s="809">
        <f t="shared" si="107"/>
        <v>0</v>
      </c>
      <c r="H2111" s="786"/>
      <c r="I2111" s="786"/>
      <c r="J2111" s="786"/>
      <c r="K2111" s="788"/>
      <c r="L2111" s="788"/>
      <c r="M2111" s="788"/>
      <c r="N2111" s="786"/>
      <c r="O2111" s="786"/>
    </row>
    <row r="2112" spans="1:15" ht="16.5">
      <c r="A2112" s="859">
        <f t="shared" si="108"/>
        <v>151</v>
      </c>
      <c r="B2112" s="908" t="s">
        <v>2611</v>
      </c>
      <c r="C2112" s="837" t="s">
        <v>2612</v>
      </c>
      <c r="D2112" s="786" t="s">
        <v>40</v>
      </c>
      <c r="E2112" s="906">
        <v>0</v>
      </c>
      <c r="F2112" s="786">
        <v>1</v>
      </c>
      <c r="G2112" s="809">
        <f t="shared" si="107"/>
        <v>0</v>
      </c>
      <c r="H2112" s="786"/>
      <c r="I2112" s="786"/>
      <c r="J2112" s="786"/>
      <c r="K2112" s="788"/>
      <c r="L2112" s="788"/>
      <c r="M2112" s="788"/>
      <c r="N2112" s="786"/>
      <c r="O2112" s="786"/>
    </row>
    <row r="2113" spans="1:15" ht="16.5">
      <c r="A2113" s="859">
        <f t="shared" si="108"/>
        <v>152</v>
      </c>
      <c r="B2113" s="908" t="s">
        <v>2613</v>
      </c>
      <c r="C2113" s="837" t="s">
        <v>2614</v>
      </c>
      <c r="D2113" s="786" t="s">
        <v>40</v>
      </c>
      <c r="E2113" s="906">
        <v>0</v>
      </c>
      <c r="F2113" s="786">
        <v>1</v>
      </c>
      <c r="G2113" s="809">
        <f t="shared" si="107"/>
        <v>0</v>
      </c>
      <c r="H2113" s="786"/>
      <c r="I2113" s="786"/>
      <c r="J2113" s="786"/>
      <c r="K2113" s="788"/>
      <c r="L2113" s="788"/>
      <c r="M2113" s="788"/>
      <c r="N2113" s="786"/>
      <c r="O2113" s="786"/>
    </row>
    <row r="2114" spans="1:15" ht="16.5">
      <c r="A2114" s="859">
        <f t="shared" si="108"/>
        <v>153</v>
      </c>
      <c r="B2114" s="908" t="s">
        <v>2615</v>
      </c>
      <c r="C2114" s="837" t="s">
        <v>2616</v>
      </c>
      <c r="D2114" s="786" t="s">
        <v>40</v>
      </c>
      <c r="E2114" s="906">
        <v>0</v>
      </c>
      <c r="F2114" s="786">
        <v>2</v>
      </c>
      <c r="G2114" s="809">
        <f t="shared" si="107"/>
        <v>0</v>
      </c>
      <c r="H2114" s="786"/>
      <c r="I2114" s="786"/>
      <c r="J2114" s="786"/>
      <c r="K2114" s="788"/>
      <c r="L2114" s="788"/>
      <c r="M2114" s="788"/>
      <c r="N2114" s="786"/>
      <c r="O2114" s="786"/>
    </row>
    <row r="2115" spans="1:15" ht="16.5">
      <c r="A2115" s="859">
        <f t="shared" si="108"/>
        <v>154</v>
      </c>
      <c r="B2115" s="908" t="s">
        <v>2617</v>
      </c>
      <c r="C2115" s="837" t="s">
        <v>2618</v>
      </c>
      <c r="D2115" s="786" t="s">
        <v>40</v>
      </c>
      <c r="E2115" s="906">
        <v>0</v>
      </c>
      <c r="F2115" s="786">
        <v>1</v>
      </c>
      <c r="G2115" s="809">
        <f t="shared" si="107"/>
        <v>0</v>
      </c>
      <c r="H2115" s="786"/>
      <c r="I2115" s="786"/>
      <c r="J2115" s="786"/>
      <c r="K2115" s="788"/>
      <c r="L2115" s="788"/>
      <c r="M2115" s="788"/>
      <c r="N2115" s="786"/>
      <c r="O2115" s="786"/>
    </row>
    <row r="2116" spans="1:15" ht="16.5">
      <c r="A2116" s="859">
        <f t="shared" si="108"/>
        <v>155</v>
      </c>
      <c r="B2116" s="908" t="s">
        <v>2619</v>
      </c>
      <c r="C2116" s="837" t="s">
        <v>2076</v>
      </c>
      <c r="D2116" s="786" t="s">
        <v>40</v>
      </c>
      <c r="E2116" s="906">
        <v>618</v>
      </c>
      <c r="F2116" s="786">
        <v>1</v>
      </c>
      <c r="G2116" s="809">
        <f t="shared" si="107"/>
        <v>618</v>
      </c>
      <c r="H2116" s="786"/>
      <c r="I2116" s="786"/>
      <c r="J2116" s="786"/>
      <c r="K2116" s="788"/>
      <c r="L2116" s="788"/>
      <c r="M2116" s="788"/>
      <c r="N2116" s="786"/>
      <c r="O2116" s="786"/>
    </row>
    <row r="2117" spans="1:15" ht="16.5">
      <c r="A2117" s="859">
        <f t="shared" si="108"/>
        <v>156</v>
      </c>
      <c r="B2117" s="908" t="s">
        <v>544</v>
      </c>
      <c r="C2117" s="837" t="s">
        <v>2620</v>
      </c>
      <c r="D2117" s="786" t="s">
        <v>40</v>
      </c>
      <c r="E2117" s="906">
        <v>7316</v>
      </c>
      <c r="F2117" s="786">
        <v>2</v>
      </c>
      <c r="G2117" s="809">
        <f t="shared" si="107"/>
        <v>14632</v>
      </c>
      <c r="H2117" s="786"/>
      <c r="I2117" s="786"/>
      <c r="J2117" s="786"/>
      <c r="K2117" s="788"/>
      <c r="L2117" s="788"/>
      <c r="M2117" s="788"/>
      <c r="N2117" s="786"/>
      <c r="O2117" s="786"/>
    </row>
    <row r="2118" spans="1:15" ht="16.5">
      <c r="A2118" s="859">
        <f t="shared" si="108"/>
        <v>157</v>
      </c>
      <c r="B2118" s="908" t="s">
        <v>2621</v>
      </c>
      <c r="C2118" s="837" t="s">
        <v>2622</v>
      </c>
      <c r="D2118" s="786" t="s">
        <v>40</v>
      </c>
      <c r="E2118" s="906">
        <v>17231.2</v>
      </c>
      <c r="F2118" s="786">
        <v>1</v>
      </c>
      <c r="G2118" s="809">
        <f t="shared" si="107"/>
        <v>17231.2</v>
      </c>
      <c r="H2118" s="786"/>
      <c r="I2118" s="786"/>
      <c r="J2118" s="786"/>
      <c r="K2118" s="788"/>
      <c r="L2118" s="788"/>
      <c r="M2118" s="788"/>
      <c r="N2118" s="786"/>
      <c r="O2118" s="786"/>
    </row>
    <row r="2119" spans="1:15" ht="16.5">
      <c r="A2119" s="859">
        <f t="shared" si="108"/>
        <v>158</v>
      </c>
      <c r="B2119" s="908" t="s">
        <v>2623</v>
      </c>
      <c r="C2119" s="837" t="s">
        <v>2624</v>
      </c>
      <c r="D2119" s="786" t="s">
        <v>40</v>
      </c>
      <c r="E2119" s="906">
        <v>29290</v>
      </c>
      <c r="F2119" s="424"/>
      <c r="G2119" s="424"/>
      <c r="H2119" s="786"/>
      <c r="I2119" s="786"/>
      <c r="J2119" s="786"/>
      <c r="K2119" s="786"/>
      <c r="L2119" s="786">
        <v>2</v>
      </c>
      <c r="M2119" s="819">
        <f t="shared" ref="M2119:M2123" si="109">L2119*E2119</f>
        <v>58580</v>
      </c>
      <c r="N2119" s="786"/>
      <c r="O2119" s="786"/>
    </row>
    <row r="2120" spans="1:15" ht="16.5">
      <c r="A2120" s="859">
        <f t="shared" si="108"/>
        <v>159</v>
      </c>
      <c r="B2120" s="908" t="s">
        <v>2625</v>
      </c>
      <c r="C2120" s="837" t="s">
        <v>2626</v>
      </c>
      <c r="D2120" s="786" t="s">
        <v>40</v>
      </c>
      <c r="E2120" s="906">
        <v>3700</v>
      </c>
      <c r="F2120" s="424"/>
      <c r="G2120" s="424"/>
      <c r="H2120" s="786"/>
      <c r="I2120" s="786"/>
      <c r="J2120" s="786"/>
      <c r="K2120" s="786"/>
      <c r="L2120" s="786">
        <v>2</v>
      </c>
      <c r="M2120" s="819">
        <f t="shared" si="109"/>
        <v>7400</v>
      </c>
      <c r="N2120" s="786"/>
      <c r="O2120" s="786"/>
    </row>
    <row r="2121" spans="1:15" ht="16.5">
      <c r="A2121" s="859">
        <f t="shared" si="108"/>
        <v>160</v>
      </c>
      <c r="B2121" s="908" t="s">
        <v>2627</v>
      </c>
      <c r="C2121" s="837" t="s">
        <v>2628</v>
      </c>
      <c r="D2121" s="786" t="s">
        <v>40</v>
      </c>
      <c r="E2121" s="906">
        <v>6864</v>
      </c>
      <c r="F2121" s="424"/>
      <c r="G2121" s="424"/>
      <c r="H2121" s="786"/>
      <c r="I2121" s="786"/>
      <c r="J2121" s="786"/>
      <c r="K2121" s="786"/>
      <c r="L2121" s="786">
        <v>2</v>
      </c>
      <c r="M2121" s="819">
        <f t="shared" si="109"/>
        <v>13728</v>
      </c>
      <c r="N2121" s="786"/>
      <c r="O2121" s="786"/>
    </row>
    <row r="2122" spans="1:15" ht="16.5">
      <c r="A2122" s="859">
        <f t="shared" si="108"/>
        <v>161</v>
      </c>
      <c r="B2122" s="908" t="s">
        <v>2629</v>
      </c>
      <c r="C2122" s="837" t="s">
        <v>2630</v>
      </c>
      <c r="D2122" s="786" t="s">
        <v>40</v>
      </c>
      <c r="E2122" s="906">
        <v>5250</v>
      </c>
      <c r="F2122" s="424"/>
      <c r="G2122" s="424"/>
      <c r="H2122" s="786"/>
      <c r="I2122" s="786"/>
      <c r="J2122" s="786"/>
      <c r="K2122" s="786"/>
      <c r="L2122" s="786">
        <v>1</v>
      </c>
      <c r="M2122" s="819">
        <f t="shared" si="109"/>
        <v>5250</v>
      </c>
      <c r="N2122" s="786"/>
      <c r="O2122" s="786"/>
    </row>
    <row r="2123" spans="1:15" ht="16.5">
      <c r="A2123" s="859">
        <f t="shared" si="108"/>
        <v>162</v>
      </c>
      <c r="B2123" s="908" t="s">
        <v>2631</v>
      </c>
      <c r="C2123" s="837" t="s">
        <v>2632</v>
      </c>
      <c r="D2123" s="786" t="s">
        <v>40</v>
      </c>
      <c r="E2123" s="906">
        <v>18200</v>
      </c>
      <c r="F2123" s="424"/>
      <c r="G2123" s="424"/>
      <c r="H2123" s="786"/>
      <c r="I2123" s="786"/>
      <c r="J2123" s="786"/>
      <c r="K2123" s="786"/>
      <c r="L2123" s="786">
        <v>1</v>
      </c>
      <c r="M2123" s="819">
        <f t="shared" si="109"/>
        <v>18200</v>
      </c>
      <c r="N2123" s="786"/>
      <c r="O2123" s="786"/>
    </row>
    <row r="2124" spans="1:15" ht="16.5">
      <c r="A2124" s="859">
        <f t="shared" si="108"/>
        <v>163</v>
      </c>
      <c r="B2124" s="908" t="s">
        <v>2633</v>
      </c>
      <c r="C2124" s="837" t="s">
        <v>2634</v>
      </c>
      <c r="D2124" s="786" t="s">
        <v>40</v>
      </c>
      <c r="E2124" s="906">
        <v>26105</v>
      </c>
      <c r="F2124" s="786">
        <v>1</v>
      </c>
      <c r="G2124" s="809">
        <f t="shared" ref="G2124:G2138" si="110">E2124*F2124</f>
        <v>26105</v>
      </c>
      <c r="H2124" s="786"/>
      <c r="I2124" s="786"/>
      <c r="J2124" s="786"/>
      <c r="K2124" s="788"/>
      <c r="L2124" s="788"/>
      <c r="M2124" s="788"/>
      <c r="N2124" s="786"/>
      <c r="O2124" s="786"/>
    </row>
    <row r="2125" spans="1:15" ht="16.5">
      <c r="A2125" s="859">
        <f t="shared" si="108"/>
        <v>164</v>
      </c>
      <c r="B2125" s="908" t="s">
        <v>2635</v>
      </c>
      <c r="C2125" s="837" t="s">
        <v>2636</v>
      </c>
      <c r="D2125" s="786" t="s">
        <v>40</v>
      </c>
      <c r="E2125" s="906">
        <v>1350</v>
      </c>
      <c r="F2125" s="786">
        <v>3</v>
      </c>
      <c r="G2125" s="809">
        <f t="shared" si="110"/>
        <v>4050</v>
      </c>
      <c r="H2125" s="786"/>
      <c r="I2125" s="786"/>
      <c r="J2125" s="786"/>
      <c r="K2125" s="788"/>
      <c r="L2125" s="788"/>
      <c r="M2125" s="788"/>
      <c r="N2125" s="786"/>
      <c r="O2125" s="786"/>
    </row>
    <row r="2126" spans="1:15" ht="16.5">
      <c r="A2126" s="859">
        <f t="shared" si="108"/>
        <v>165</v>
      </c>
      <c r="B2126" s="908" t="s">
        <v>2637</v>
      </c>
      <c r="C2126" s="837" t="s">
        <v>2638</v>
      </c>
      <c r="D2126" s="786" t="s">
        <v>40</v>
      </c>
      <c r="E2126" s="906">
        <v>1800</v>
      </c>
      <c r="F2126" s="786">
        <v>3</v>
      </c>
      <c r="G2126" s="809">
        <f t="shared" si="110"/>
        <v>5400</v>
      </c>
      <c r="H2126" s="786"/>
      <c r="I2126" s="786"/>
      <c r="J2126" s="786"/>
      <c r="K2126" s="788"/>
      <c r="L2126" s="788"/>
      <c r="M2126" s="788"/>
      <c r="N2126" s="786"/>
      <c r="O2126" s="786"/>
    </row>
    <row r="2127" spans="1:15" ht="16.5">
      <c r="A2127" s="859">
        <f t="shared" si="108"/>
        <v>166</v>
      </c>
      <c r="B2127" s="908" t="s">
        <v>2639</v>
      </c>
      <c r="C2127" s="837" t="s">
        <v>2640</v>
      </c>
      <c r="D2127" s="786" t="s">
        <v>40</v>
      </c>
      <c r="E2127" s="906">
        <v>3375</v>
      </c>
      <c r="F2127" s="786">
        <v>2</v>
      </c>
      <c r="G2127" s="809">
        <f t="shared" si="110"/>
        <v>6750</v>
      </c>
      <c r="H2127" s="786"/>
      <c r="I2127" s="786"/>
      <c r="J2127" s="786"/>
      <c r="K2127" s="788"/>
      <c r="L2127" s="788"/>
      <c r="M2127" s="788"/>
      <c r="N2127" s="786"/>
      <c r="O2127" s="786"/>
    </row>
    <row r="2128" spans="1:15" ht="16.5">
      <c r="A2128" s="859">
        <f t="shared" si="108"/>
        <v>167</v>
      </c>
      <c r="B2128" s="908" t="s">
        <v>2641</v>
      </c>
      <c r="C2128" s="837" t="s">
        <v>2642</v>
      </c>
      <c r="D2128" s="786" t="s">
        <v>40</v>
      </c>
      <c r="E2128" s="906">
        <v>5107.5</v>
      </c>
      <c r="F2128" s="786">
        <v>1</v>
      </c>
      <c r="G2128" s="809">
        <f t="shared" si="110"/>
        <v>5107.5</v>
      </c>
      <c r="H2128" s="786"/>
      <c r="I2128" s="786"/>
      <c r="J2128" s="786"/>
      <c r="K2128" s="788"/>
      <c r="L2128" s="788"/>
      <c r="M2128" s="788"/>
      <c r="N2128" s="786"/>
      <c r="O2128" s="786"/>
    </row>
    <row r="2129" spans="1:15" ht="16.5">
      <c r="A2129" s="859">
        <f t="shared" si="108"/>
        <v>168</v>
      </c>
      <c r="B2129" s="908" t="s">
        <v>2643</v>
      </c>
      <c r="C2129" s="837" t="s">
        <v>2644</v>
      </c>
      <c r="D2129" s="786" t="s">
        <v>40</v>
      </c>
      <c r="E2129" s="906">
        <v>14755</v>
      </c>
      <c r="F2129" s="786">
        <v>1</v>
      </c>
      <c r="G2129" s="809">
        <f t="shared" si="110"/>
        <v>14755</v>
      </c>
      <c r="H2129" s="786"/>
      <c r="I2129" s="786"/>
      <c r="J2129" s="786"/>
      <c r="K2129" s="788"/>
      <c r="L2129" s="788"/>
      <c r="M2129" s="788"/>
      <c r="N2129" s="786"/>
      <c r="O2129" s="786"/>
    </row>
    <row r="2130" spans="1:15" ht="16.5">
      <c r="A2130" s="859">
        <f t="shared" si="108"/>
        <v>169</v>
      </c>
      <c r="B2130" s="908" t="s">
        <v>2645</v>
      </c>
      <c r="C2130" s="837" t="s">
        <v>2646</v>
      </c>
      <c r="D2130" s="786" t="s">
        <v>40</v>
      </c>
      <c r="E2130" s="906">
        <v>12733</v>
      </c>
      <c r="F2130" s="786">
        <v>1</v>
      </c>
      <c r="G2130" s="809">
        <f t="shared" si="110"/>
        <v>12733</v>
      </c>
      <c r="H2130" s="786"/>
      <c r="I2130" s="786"/>
      <c r="J2130" s="786"/>
      <c r="K2130" s="788"/>
      <c r="L2130" s="788"/>
      <c r="M2130" s="788"/>
      <c r="N2130" s="786"/>
      <c r="O2130" s="786"/>
    </row>
    <row r="2131" spans="1:15" ht="16.5">
      <c r="A2131" s="859">
        <f t="shared" si="108"/>
        <v>170</v>
      </c>
      <c r="B2131" s="908" t="s">
        <v>2647</v>
      </c>
      <c r="C2131" s="837" t="s">
        <v>2648</v>
      </c>
      <c r="D2131" s="786" t="s">
        <v>40</v>
      </c>
      <c r="E2131" s="906">
        <v>7393</v>
      </c>
      <c r="F2131" s="786">
        <v>5</v>
      </c>
      <c r="G2131" s="809">
        <f t="shared" si="110"/>
        <v>36965</v>
      </c>
      <c r="H2131" s="786"/>
      <c r="I2131" s="786"/>
      <c r="J2131" s="786"/>
      <c r="K2131" s="788"/>
      <c r="L2131" s="788"/>
      <c r="M2131" s="788"/>
      <c r="N2131" s="786"/>
      <c r="O2131" s="786"/>
    </row>
    <row r="2132" spans="1:15" ht="16.5">
      <c r="A2132" s="859">
        <f t="shared" si="108"/>
        <v>171</v>
      </c>
      <c r="B2132" s="908" t="s">
        <v>2649</v>
      </c>
      <c r="C2132" s="837" t="s">
        <v>2650</v>
      </c>
      <c r="D2132" s="786" t="s">
        <v>40</v>
      </c>
      <c r="E2132" s="906">
        <v>3198.5</v>
      </c>
      <c r="F2132" s="786">
        <v>4</v>
      </c>
      <c r="G2132" s="809">
        <f t="shared" si="110"/>
        <v>12794</v>
      </c>
      <c r="H2132" s="786"/>
      <c r="I2132" s="786"/>
      <c r="J2132" s="786"/>
      <c r="K2132" s="788"/>
      <c r="L2132" s="788"/>
      <c r="M2132" s="788"/>
      <c r="N2132" s="786"/>
      <c r="O2132" s="786"/>
    </row>
    <row r="2133" spans="1:15" ht="16.5">
      <c r="A2133" s="859">
        <f t="shared" si="108"/>
        <v>172</v>
      </c>
      <c r="B2133" s="908" t="s">
        <v>2651</v>
      </c>
      <c r="C2133" s="837" t="s">
        <v>2652</v>
      </c>
      <c r="D2133" s="786" t="s">
        <v>40</v>
      </c>
      <c r="E2133" s="906">
        <v>11852.7</v>
      </c>
      <c r="F2133" s="786">
        <v>1</v>
      </c>
      <c r="G2133" s="809">
        <f t="shared" si="110"/>
        <v>11852.7</v>
      </c>
      <c r="H2133" s="786"/>
      <c r="I2133" s="786"/>
      <c r="J2133" s="786"/>
      <c r="K2133" s="788"/>
      <c r="L2133" s="788"/>
      <c r="M2133" s="788"/>
      <c r="N2133" s="786"/>
      <c r="O2133" s="786"/>
    </row>
    <row r="2134" spans="1:15" ht="16.5">
      <c r="A2134" s="859">
        <f t="shared" si="108"/>
        <v>173</v>
      </c>
      <c r="B2134" s="908" t="s">
        <v>2653</v>
      </c>
      <c r="C2134" s="837" t="s">
        <v>2654</v>
      </c>
      <c r="D2134" s="786" t="s">
        <v>40</v>
      </c>
      <c r="E2134" s="906">
        <v>3784.2</v>
      </c>
      <c r="F2134" s="786">
        <v>1</v>
      </c>
      <c r="G2134" s="809">
        <f t="shared" si="110"/>
        <v>3784.2</v>
      </c>
      <c r="H2134" s="786"/>
      <c r="I2134" s="786"/>
      <c r="J2134" s="786"/>
      <c r="K2134" s="788"/>
      <c r="L2134" s="788"/>
      <c r="M2134" s="788"/>
      <c r="N2134" s="786"/>
      <c r="O2134" s="786"/>
    </row>
    <row r="2135" spans="1:15" ht="16.5">
      <c r="A2135" s="859">
        <f t="shared" si="108"/>
        <v>174</v>
      </c>
      <c r="B2135" s="908" t="s">
        <v>2655</v>
      </c>
      <c r="C2135" s="837" t="s">
        <v>2656</v>
      </c>
      <c r="D2135" s="786" t="s">
        <v>40</v>
      </c>
      <c r="E2135" s="906">
        <v>111684</v>
      </c>
      <c r="F2135" s="786">
        <v>1</v>
      </c>
      <c r="G2135" s="809">
        <f t="shared" si="110"/>
        <v>111684</v>
      </c>
      <c r="H2135" s="786"/>
      <c r="I2135" s="786"/>
      <c r="J2135" s="786"/>
      <c r="K2135" s="788"/>
      <c r="L2135" s="788"/>
      <c r="M2135" s="788"/>
      <c r="N2135" s="786"/>
      <c r="O2135" s="786"/>
    </row>
    <row r="2136" spans="1:15" ht="47.25">
      <c r="A2136" s="859">
        <f t="shared" si="108"/>
        <v>175</v>
      </c>
      <c r="B2136" s="908" t="s">
        <v>2657</v>
      </c>
      <c r="C2136" s="837" t="s">
        <v>2658</v>
      </c>
      <c r="D2136" s="786" t="s">
        <v>40</v>
      </c>
      <c r="E2136" s="906">
        <v>108415</v>
      </c>
      <c r="F2136" s="786">
        <v>1</v>
      </c>
      <c r="G2136" s="809">
        <f t="shared" si="110"/>
        <v>108415</v>
      </c>
      <c r="H2136" s="786"/>
      <c r="I2136" s="786"/>
      <c r="J2136" s="786"/>
      <c r="K2136" s="788"/>
      <c r="L2136" s="788"/>
      <c r="M2136" s="788"/>
      <c r="N2136" s="786"/>
      <c r="O2136" s="786"/>
    </row>
    <row r="2137" spans="1:15" ht="16.5">
      <c r="A2137" s="859">
        <f t="shared" si="108"/>
        <v>176</v>
      </c>
      <c r="B2137" s="908" t="s">
        <v>2659</v>
      </c>
      <c r="C2137" s="837" t="s">
        <v>2660</v>
      </c>
      <c r="D2137" s="786" t="s">
        <v>40</v>
      </c>
      <c r="E2137" s="906">
        <v>10760</v>
      </c>
      <c r="F2137" s="786">
        <v>5</v>
      </c>
      <c r="G2137" s="809">
        <f t="shared" si="110"/>
        <v>53800</v>
      </c>
      <c r="H2137" s="786"/>
      <c r="I2137" s="786"/>
      <c r="J2137" s="786"/>
      <c r="K2137" s="788"/>
      <c r="L2137" s="788"/>
      <c r="M2137" s="788"/>
      <c r="N2137" s="786"/>
      <c r="O2137" s="786"/>
    </row>
    <row r="2138" spans="1:15" ht="16.5">
      <c r="A2138" s="859"/>
      <c r="B2138" s="908" t="s">
        <v>2661</v>
      </c>
      <c r="C2138" s="837" t="s">
        <v>2662</v>
      </c>
      <c r="D2138" s="786" t="s">
        <v>40</v>
      </c>
      <c r="E2138" s="906">
        <v>56523</v>
      </c>
      <c r="F2138" s="786">
        <v>1</v>
      </c>
      <c r="G2138" s="809">
        <f t="shared" si="110"/>
        <v>56523</v>
      </c>
      <c r="H2138" s="786"/>
      <c r="I2138" s="786"/>
      <c r="J2138" s="786"/>
      <c r="K2138" s="788"/>
      <c r="L2138" s="788"/>
      <c r="M2138" s="788"/>
      <c r="N2138" s="786"/>
      <c r="O2138" s="786"/>
    </row>
    <row r="2139" spans="1:15" ht="16.5">
      <c r="A2139" s="859"/>
      <c r="B2139" s="908" t="s">
        <v>2663</v>
      </c>
      <c r="C2139" s="837" t="s">
        <v>2664</v>
      </c>
      <c r="D2139" s="786" t="s">
        <v>40</v>
      </c>
      <c r="E2139" s="906">
        <v>4500</v>
      </c>
      <c r="F2139" s="786"/>
      <c r="G2139" s="786"/>
      <c r="H2139" s="786"/>
      <c r="I2139" s="786"/>
      <c r="J2139" s="786"/>
      <c r="K2139" s="788"/>
      <c r="L2139" s="788">
        <v>1</v>
      </c>
      <c r="M2139" s="819">
        <f t="shared" ref="M2139:M2144" si="111">L2139*E2139</f>
        <v>4500</v>
      </c>
      <c r="N2139" s="786"/>
      <c r="O2139" s="786"/>
    </row>
    <row r="2140" spans="1:15" ht="16.5">
      <c r="A2140" s="859"/>
      <c r="B2140" s="908" t="s">
        <v>2665</v>
      </c>
      <c r="C2140" s="837" t="s">
        <v>2666</v>
      </c>
      <c r="D2140" s="786" t="s">
        <v>40</v>
      </c>
      <c r="E2140" s="906">
        <v>4550</v>
      </c>
      <c r="F2140" s="786"/>
      <c r="G2140" s="786"/>
      <c r="H2140" s="786"/>
      <c r="I2140" s="786"/>
      <c r="J2140" s="786"/>
      <c r="K2140" s="788"/>
      <c r="L2140" s="788">
        <v>1</v>
      </c>
      <c r="M2140" s="819">
        <f t="shared" si="111"/>
        <v>4550</v>
      </c>
      <c r="N2140" s="786"/>
      <c r="O2140" s="786"/>
    </row>
    <row r="2141" spans="1:15" ht="16.5">
      <c r="A2141" s="859"/>
      <c r="B2141" s="908" t="s">
        <v>2665</v>
      </c>
      <c r="C2141" s="837" t="s">
        <v>2667</v>
      </c>
      <c r="D2141" s="786" t="s">
        <v>40</v>
      </c>
      <c r="E2141" s="906">
        <v>3000</v>
      </c>
      <c r="F2141" s="786"/>
      <c r="G2141" s="786"/>
      <c r="H2141" s="786"/>
      <c r="I2141" s="786"/>
      <c r="J2141" s="786"/>
      <c r="K2141" s="788"/>
      <c r="L2141" s="788">
        <v>1</v>
      </c>
      <c r="M2141" s="819">
        <f t="shared" si="111"/>
        <v>3000</v>
      </c>
      <c r="N2141" s="786"/>
      <c r="O2141" s="786"/>
    </row>
    <row r="2142" spans="1:15" ht="31.5">
      <c r="A2142" s="859">
        <f>A2137+1</f>
        <v>177</v>
      </c>
      <c r="B2142" s="908" t="s">
        <v>2668</v>
      </c>
      <c r="C2142" s="837" t="s">
        <v>2669</v>
      </c>
      <c r="D2142" s="786" t="s">
        <v>40</v>
      </c>
      <c r="E2142" s="906">
        <v>7500</v>
      </c>
      <c r="F2142" s="786"/>
      <c r="G2142" s="786"/>
      <c r="H2142" s="786"/>
      <c r="I2142" s="786"/>
      <c r="J2142" s="786"/>
      <c r="K2142" s="788"/>
      <c r="L2142" s="788">
        <v>1</v>
      </c>
      <c r="M2142" s="819">
        <f t="shared" si="111"/>
        <v>7500</v>
      </c>
      <c r="N2142" s="786"/>
      <c r="O2142" s="786"/>
    </row>
    <row r="2143" spans="1:15" ht="31.5">
      <c r="A2143" s="859">
        <f t="shared" ref="A2143:A2147" si="112">A2142+1</f>
        <v>178</v>
      </c>
      <c r="B2143" s="908" t="s">
        <v>2670</v>
      </c>
      <c r="C2143" s="837" t="s">
        <v>2671</v>
      </c>
      <c r="D2143" s="786" t="s">
        <v>40</v>
      </c>
      <c r="E2143" s="906">
        <v>5300</v>
      </c>
      <c r="F2143" s="786"/>
      <c r="G2143" s="786"/>
      <c r="H2143" s="786"/>
      <c r="I2143" s="786"/>
      <c r="J2143" s="786"/>
      <c r="K2143" s="788"/>
      <c r="L2143" s="788">
        <v>1</v>
      </c>
      <c r="M2143" s="819">
        <f t="shared" si="111"/>
        <v>5300</v>
      </c>
      <c r="N2143" s="786"/>
      <c r="O2143" s="786"/>
    </row>
    <row r="2144" spans="1:15" ht="31.5">
      <c r="A2144" s="859">
        <f t="shared" si="112"/>
        <v>179</v>
      </c>
      <c r="B2144" s="908" t="s">
        <v>2672</v>
      </c>
      <c r="C2144" s="837" t="s">
        <v>2673</v>
      </c>
      <c r="D2144" s="786" t="s">
        <v>40</v>
      </c>
      <c r="E2144" s="906">
        <v>10000</v>
      </c>
      <c r="F2144" s="786"/>
      <c r="G2144" s="786"/>
      <c r="H2144" s="786"/>
      <c r="I2144" s="786"/>
      <c r="J2144" s="786"/>
      <c r="K2144" s="788"/>
      <c r="L2144" s="788">
        <v>1</v>
      </c>
      <c r="M2144" s="819">
        <f t="shared" si="111"/>
        <v>10000</v>
      </c>
      <c r="N2144" s="786"/>
      <c r="O2144" s="786"/>
    </row>
    <row r="2145" spans="1:15" ht="31.5">
      <c r="A2145" s="859">
        <f t="shared" si="112"/>
        <v>180</v>
      </c>
      <c r="B2145" s="908" t="s">
        <v>2674</v>
      </c>
      <c r="C2145" s="837" t="s">
        <v>2675</v>
      </c>
      <c r="D2145" s="786" t="s">
        <v>40</v>
      </c>
      <c r="E2145" s="906">
        <v>36102</v>
      </c>
      <c r="F2145" s="786">
        <v>2</v>
      </c>
      <c r="G2145" s="809">
        <f t="shared" ref="G2145:G2166" si="113">E2145*F2145</f>
        <v>72204</v>
      </c>
      <c r="H2145" s="786"/>
      <c r="I2145" s="786"/>
      <c r="J2145" s="786"/>
      <c r="K2145" s="788"/>
      <c r="L2145" s="788"/>
      <c r="M2145" s="788"/>
      <c r="N2145" s="786"/>
      <c r="O2145" s="786"/>
    </row>
    <row r="2146" spans="1:15" ht="16.5">
      <c r="A2146" s="859">
        <f t="shared" si="112"/>
        <v>181</v>
      </c>
      <c r="B2146" s="908" t="s">
        <v>2676</v>
      </c>
      <c r="C2146" s="837" t="s">
        <v>2677</v>
      </c>
      <c r="D2146" s="786" t="s">
        <v>40</v>
      </c>
      <c r="E2146" s="906">
        <v>8644</v>
      </c>
      <c r="F2146" s="909"/>
      <c r="G2146" s="424"/>
      <c r="H2146" s="786"/>
      <c r="I2146" s="786"/>
      <c r="J2146" s="786"/>
      <c r="K2146" s="786"/>
      <c r="L2146" s="786">
        <v>1</v>
      </c>
      <c r="M2146" s="819">
        <f>L2146*E2146</f>
        <v>8644</v>
      </c>
      <c r="N2146" s="786"/>
      <c r="O2146" s="786"/>
    </row>
    <row r="2147" spans="1:15" ht="16.5">
      <c r="A2147" s="859">
        <f t="shared" si="112"/>
        <v>182</v>
      </c>
      <c r="B2147" s="908" t="s">
        <v>2678</v>
      </c>
      <c r="C2147" s="837" t="s">
        <v>2679</v>
      </c>
      <c r="D2147" s="786" t="s">
        <v>40</v>
      </c>
      <c r="E2147" s="906">
        <v>2775</v>
      </c>
      <c r="F2147" s="786">
        <v>1</v>
      </c>
      <c r="G2147" s="809">
        <f t="shared" si="113"/>
        <v>2775</v>
      </c>
      <c r="H2147" s="786"/>
      <c r="I2147" s="786"/>
      <c r="J2147" s="786"/>
      <c r="K2147" s="788"/>
      <c r="L2147" s="788"/>
      <c r="M2147" s="788"/>
      <c r="N2147" s="786"/>
      <c r="O2147" s="786"/>
    </row>
    <row r="2148" spans="1:15" ht="16.5">
      <c r="A2148" s="859"/>
      <c r="B2148" s="908" t="s">
        <v>2680</v>
      </c>
      <c r="C2148" s="837" t="s">
        <v>2681</v>
      </c>
      <c r="D2148" s="786" t="s">
        <v>40</v>
      </c>
      <c r="E2148" s="906">
        <v>86111</v>
      </c>
      <c r="F2148" s="786">
        <v>1</v>
      </c>
      <c r="G2148" s="809">
        <f t="shared" si="113"/>
        <v>86111</v>
      </c>
      <c r="H2148" s="786"/>
      <c r="I2148" s="786"/>
      <c r="J2148" s="786"/>
      <c r="K2148" s="788"/>
      <c r="L2148" s="788"/>
      <c r="M2148" s="788"/>
      <c r="N2148" s="786"/>
      <c r="O2148" s="786"/>
    </row>
    <row r="2149" spans="1:15" ht="31.5">
      <c r="A2149" s="859">
        <f>A2147+1</f>
        <v>183</v>
      </c>
      <c r="B2149" s="908" t="s">
        <v>273</v>
      </c>
      <c r="C2149" s="837" t="s">
        <v>2682</v>
      </c>
      <c r="D2149" s="786" t="s">
        <v>40</v>
      </c>
      <c r="E2149" s="906">
        <v>77172</v>
      </c>
      <c r="F2149" s="786">
        <v>1</v>
      </c>
      <c r="G2149" s="809">
        <f t="shared" si="113"/>
        <v>77172</v>
      </c>
      <c r="H2149" s="786"/>
      <c r="I2149" s="786"/>
      <c r="J2149" s="786"/>
      <c r="K2149" s="788"/>
      <c r="L2149" s="788"/>
      <c r="M2149" s="788"/>
      <c r="N2149" s="786"/>
      <c r="O2149" s="786"/>
    </row>
    <row r="2150" spans="1:15" ht="63">
      <c r="A2150" s="859">
        <f t="shared" ref="A2150:A2155" si="114">A2149+1</f>
        <v>184</v>
      </c>
      <c r="B2150" s="908" t="s">
        <v>2683</v>
      </c>
      <c r="C2150" s="837" t="s">
        <v>2684</v>
      </c>
      <c r="D2150" s="786" t="s">
        <v>40</v>
      </c>
      <c r="E2150" s="906">
        <v>7994.5</v>
      </c>
      <c r="F2150" s="786">
        <v>1</v>
      </c>
      <c r="G2150" s="809">
        <f t="shared" si="113"/>
        <v>7994.5</v>
      </c>
      <c r="H2150" s="786"/>
      <c r="I2150" s="786"/>
      <c r="J2150" s="786"/>
      <c r="K2150" s="788"/>
      <c r="L2150" s="788"/>
      <c r="M2150" s="788"/>
      <c r="N2150" s="786"/>
      <c r="O2150" s="786"/>
    </row>
    <row r="2151" spans="1:15" ht="63">
      <c r="A2151" s="859">
        <f t="shared" si="114"/>
        <v>185</v>
      </c>
      <c r="B2151" s="908" t="s">
        <v>279</v>
      </c>
      <c r="C2151" s="837" t="s">
        <v>2685</v>
      </c>
      <c r="D2151" s="786" t="s">
        <v>40</v>
      </c>
      <c r="E2151" s="906">
        <v>7994.5</v>
      </c>
      <c r="F2151" s="786">
        <v>1</v>
      </c>
      <c r="G2151" s="809">
        <f t="shared" si="113"/>
        <v>7994.5</v>
      </c>
      <c r="H2151" s="786"/>
      <c r="I2151" s="786"/>
      <c r="J2151" s="786"/>
      <c r="K2151" s="788"/>
      <c r="L2151" s="788"/>
      <c r="M2151" s="788"/>
      <c r="N2151" s="786"/>
      <c r="O2151" s="786"/>
    </row>
    <row r="2152" spans="1:15" ht="47.25">
      <c r="A2152" s="859">
        <f t="shared" si="114"/>
        <v>186</v>
      </c>
      <c r="B2152" s="908" t="s">
        <v>289</v>
      </c>
      <c r="C2152" s="837" t="s">
        <v>2686</v>
      </c>
      <c r="D2152" s="786" t="s">
        <v>40</v>
      </c>
      <c r="E2152" s="906">
        <v>3953</v>
      </c>
      <c r="F2152" s="786">
        <v>2</v>
      </c>
      <c r="G2152" s="809">
        <f t="shared" si="113"/>
        <v>7906</v>
      </c>
      <c r="H2152" s="786"/>
      <c r="I2152" s="786"/>
      <c r="J2152" s="786"/>
      <c r="K2152" s="788"/>
      <c r="L2152" s="788"/>
      <c r="M2152" s="788"/>
      <c r="N2152" s="786"/>
      <c r="O2152" s="786"/>
    </row>
    <row r="2153" spans="1:15" ht="16.5">
      <c r="A2153" s="859">
        <f t="shared" si="114"/>
        <v>187</v>
      </c>
      <c r="B2153" s="908" t="s">
        <v>299</v>
      </c>
      <c r="C2153" s="837" t="s">
        <v>2687</v>
      </c>
      <c r="D2153" s="786" t="s">
        <v>40</v>
      </c>
      <c r="E2153" s="906">
        <v>206.5</v>
      </c>
      <c r="F2153" s="786">
        <v>2</v>
      </c>
      <c r="G2153" s="809">
        <f t="shared" si="113"/>
        <v>413</v>
      </c>
      <c r="H2153" s="786"/>
      <c r="I2153" s="786"/>
      <c r="J2153" s="786"/>
      <c r="K2153" s="788"/>
      <c r="L2153" s="788"/>
      <c r="M2153" s="788"/>
      <c r="N2153" s="786"/>
      <c r="O2153" s="786"/>
    </row>
    <row r="2154" spans="1:15" ht="16.5">
      <c r="A2154" s="859">
        <f t="shared" si="114"/>
        <v>188</v>
      </c>
      <c r="B2154" s="908" t="s">
        <v>2688</v>
      </c>
      <c r="C2154" s="837" t="s">
        <v>2689</v>
      </c>
      <c r="D2154" s="786" t="s">
        <v>40</v>
      </c>
      <c r="E2154" s="906">
        <v>413</v>
      </c>
      <c r="F2154" s="786">
        <v>2</v>
      </c>
      <c r="G2154" s="809">
        <f t="shared" si="113"/>
        <v>826</v>
      </c>
      <c r="H2154" s="786"/>
      <c r="I2154" s="786"/>
      <c r="J2154" s="786"/>
      <c r="K2154" s="788"/>
      <c r="L2154" s="788"/>
      <c r="M2154" s="788"/>
      <c r="N2154" s="786"/>
      <c r="O2154" s="786"/>
    </row>
    <row r="2155" spans="1:15" ht="31.5">
      <c r="A2155" s="859">
        <f t="shared" si="114"/>
        <v>189</v>
      </c>
      <c r="B2155" s="908" t="s">
        <v>533</v>
      </c>
      <c r="C2155" s="837" t="s">
        <v>2690</v>
      </c>
      <c r="D2155" s="786" t="s">
        <v>40</v>
      </c>
      <c r="E2155" s="906">
        <v>171.1</v>
      </c>
      <c r="F2155" s="786">
        <v>10</v>
      </c>
      <c r="G2155" s="809">
        <f t="shared" si="113"/>
        <v>1711</v>
      </c>
      <c r="H2155" s="786"/>
      <c r="I2155" s="786"/>
      <c r="J2155" s="786"/>
      <c r="K2155" s="788"/>
      <c r="L2155" s="788"/>
      <c r="M2155" s="788"/>
      <c r="N2155" s="786"/>
      <c r="O2155" s="786"/>
    </row>
    <row r="2156" spans="1:15" ht="16.5">
      <c r="A2156" s="859">
        <v>190</v>
      </c>
      <c r="B2156" s="908" t="s">
        <v>2691</v>
      </c>
      <c r="C2156" s="837" t="s">
        <v>2692</v>
      </c>
      <c r="D2156" s="786" t="s">
        <v>40</v>
      </c>
      <c r="E2156" s="906">
        <v>0</v>
      </c>
      <c r="F2156" s="786">
        <v>1</v>
      </c>
      <c r="G2156" s="809">
        <f t="shared" si="113"/>
        <v>0</v>
      </c>
      <c r="H2156" s="786"/>
      <c r="I2156" s="786"/>
      <c r="J2156" s="786"/>
      <c r="K2156" s="788"/>
      <c r="L2156" s="788"/>
      <c r="M2156" s="788"/>
      <c r="N2156" s="786"/>
      <c r="O2156" s="786"/>
    </row>
    <row r="2157" spans="1:15" ht="31.5">
      <c r="A2157" s="859">
        <v>191</v>
      </c>
      <c r="B2157" s="908" t="s">
        <v>2693</v>
      </c>
      <c r="C2157" s="837" t="s">
        <v>2694</v>
      </c>
      <c r="D2157" s="786" t="s">
        <v>40</v>
      </c>
      <c r="E2157" s="906">
        <v>6753</v>
      </c>
      <c r="F2157" s="786">
        <v>1</v>
      </c>
      <c r="G2157" s="809">
        <f t="shared" si="113"/>
        <v>6753</v>
      </c>
      <c r="H2157" s="786"/>
      <c r="I2157" s="786"/>
      <c r="J2157" s="786"/>
      <c r="K2157" s="788"/>
      <c r="L2157" s="788"/>
      <c r="M2157" s="788"/>
      <c r="N2157" s="786"/>
      <c r="O2157" s="786"/>
    </row>
    <row r="2158" spans="1:15" ht="31.5">
      <c r="A2158" s="859"/>
      <c r="B2158" s="908" t="s">
        <v>2651</v>
      </c>
      <c r="C2158" s="837" t="s">
        <v>2695</v>
      </c>
      <c r="D2158" s="786" t="s">
        <v>40</v>
      </c>
      <c r="E2158" s="906">
        <v>29169.9</v>
      </c>
      <c r="F2158" s="786">
        <v>4</v>
      </c>
      <c r="G2158" s="809">
        <f t="shared" si="113"/>
        <v>116679.6</v>
      </c>
      <c r="H2158" s="786"/>
      <c r="I2158" s="786"/>
      <c r="J2158" s="786"/>
      <c r="K2158" s="788"/>
      <c r="L2158" s="788"/>
      <c r="M2158" s="788"/>
      <c r="N2158" s="786"/>
      <c r="O2158" s="786"/>
    </row>
    <row r="2159" spans="1:15" ht="31.5">
      <c r="A2159" s="859"/>
      <c r="B2159" s="908" t="s">
        <v>2696</v>
      </c>
      <c r="C2159" s="837" t="s">
        <v>2697</v>
      </c>
      <c r="D2159" s="786" t="s">
        <v>40</v>
      </c>
      <c r="E2159" s="906">
        <v>28650.82</v>
      </c>
      <c r="F2159" s="786">
        <v>2</v>
      </c>
      <c r="G2159" s="809">
        <f t="shared" si="113"/>
        <v>57301.64</v>
      </c>
      <c r="H2159" s="786"/>
      <c r="I2159" s="786"/>
      <c r="J2159" s="786"/>
      <c r="K2159" s="788"/>
      <c r="L2159" s="788"/>
      <c r="M2159" s="788"/>
      <c r="N2159" s="786"/>
      <c r="O2159" s="786"/>
    </row>
    <row r="2160" spans="1:15" ht="31.5">
      <c r="A2160" s="859"/>
      <c r="B2160" s="908" t="s">
        <v>2680</v>
      </c>
      <c r="C2160" s="837" t="s">
        <v>2698</v>
      </c>
      <c r="D2160" s="786" t="s">
        <v>40</v>
      </c>
      <c r="E2160" s="906">
        <v>194600</v>
      </c>
      <c r="F2160" s="786">
        <v>1</v>
      </c>
      <c r="G2160" s="809">
        <f t="shared" si="113"/>
        <v>194600</v>
      </c>
      <c r="H2160" s="786"/>
      <c r="I2160" s="786"/>
      <c r="J2160" s="786"/>
      <c r="K2160" s="788"/>
      <c r="L2160" s="788"/>
      <c r="M2160" s="788"/>
      <c r="N2160" s="786"/>
      <c r="O2160" s="786"/>
    </row>
    <row r="2161" spans="1:17" ht="16.5">
      <c r="A2161" s="859"/>
      <c r="B2161" s="908" t="s">
        <v>2699</v>
      </c>
      <c r="C2161" s="837" t="s">
        <v>2700</v>
      </c>
      <c r="D2161" s="786" t="s">
        <v>40</v>
      </c>
      <c r="E2161" s="906">
        <v>49206</v>
      </c>
      <c r="F2161" s="786">
        <v>1</v>
      </c>
      <c r="G2161" s="809">
        <f t="shared" si="113"/>
        <v>49206</v>
      </c>
      <c r="H2161" s="786"/>
      <c r="I2161" s="786"/>
      <c r="J2161" s="786"/>
      <c r="K2161" s="788"/>
      <c r="L2161" s="788"/>
      <c r="M2161" s="788"/>
      <c r="N2161" s="786"/>
      <c r="O2161" s="786"/>
    </row>
    <row r="2162" spans="1:17" ht="16.5">
      <c r="A2162" s="859"/>
      <c r="B2162" s="908" t="s">
        <v>2701</v>
      </c>
      <c r="C2162" s="837" t="s">
        <v>570</v>
      </c>
      <c r="D2162" s="786" t="s">
        <v>40</v>
      </c>
      <c r="E2162" s="906">
        <v>7906</v>
      </c>
      <c r="F2162" s="786">
        <v>1</v>
      </c>
      <c r="G2162" s="809">
        <f t="shared" si="113"/>
        <v>7906</v>
      </c>
      <c r="H2162" s="786"/>
      <c r="I2162" s="786"/>
      <c r="J2162" s="786"/>
      <c r="K2162" s="788"/>
      <c r="L2162" s="788"/>
      <c r="M2162" s="788"/>
      <c r="N2162" s="786"/>
      <c r="O2162" s="786"/>
    </row>
    <row r="2163" spans="1:17" ht="16.5">
      <c r="A2163" s="859"/>
      <c r="B2163" s="908" t="s">
        <v>2581</v>
      </c>
      <c r="C2163" s="837" t="s">
        <v>2702</v>
      </c>
      <c r="D2163" s="786" t="s">
        <v>40</v>
      </c>
      <c r="E2163" s="906">
        <v>34456</v>
      </c>
      <c r="F2163" s="786">
        <v>1</v>
      </c>
      <c r="G2163" s="809">
        <f t="shared" si="113"/>
        <v>34456</v>
      </c>
      <c r="H2163" s="786"/>
      <c r="I2163" s="786"/>
      <c r="J2163" s="786"/>
      <c r="K2163" s="788"/>
      <c r="L2163" s="788"/>
      <c r="M2163" s="788"/>
      <c r="N2163" s="786"/>
      <c r="O2163" s="786"/>
    </row>
    <row r="2164" spans="1:17" ht="16.5">
      <c r="A2164" s="859"/>
      <c r="B2164" s="908" t="s">
        <v>2703</v>
      </c>
      <c r="C2164" s="837" t="s">
        <v>2704</v>
      </c>
      <c r="D2164" s="786" t="s">
        <v>40</v>
      </c>
      <c r="E2164" s="906">
        <v>22184</v>
      </c>
      <c r="F2164" s="786">
        <v>2</v>
      </c>
      <c r="G2164" s="809">
        <f t="shared" si="113"/>
        <v>44368</v>
      </c>
      <c r="H2164" s="786"/>
      <c r="I2164" s="786"/>
      <c r="J2164" s="786"/>
      <c r="K2164" s="788"/>
      <c r="L2164" s="788"/>
      <c r="M2164" s="788"/>
      <c r="N2164" s="786"/>
      <c r="O2164" s="786"/>
    </row>
    <row r="2165" spans="1:17" ht="31.5">
      <c r="A2165" s="859"/>
      <c r="B2165" s="908" t="s">
        <v>2705</v>
      </c>
      <c r="C2165" s="837" t="s">
        <v>2706</v>
      </c>
      <c r="D2165" s="786" t="s">
        <v>40</v>
      </c>
      <c r="E2165" s="906">
        <v>5500</v>
      </c>
      <c r="F2165" s="786">
        <v>1</v>
      </c>
      <c r="G2165" s="809">
        <f t="shared" si="113"/>
        <v>5500</v>
      </c>
      <c r="H2165" s="786"/>
      <c r="I2165" s="786"/>
      <c r="J2165" s="786"/>
      <c r="K2165" s="788"/>
      <c r="L2165" s="788"/>
      <c r="M2165" s="788"/>
      <c r="N2165" s="786"/>
      <c r="O2165" s="786"/>
    </row>
    <row r="2166" spans="1:17" ht="31.5">
      <c r="A2166" s="859"/>
      <c r="B2166" s="908"/>
      <c r="C2166" s="837" t="s">
        <v>2707</v>
      </c>
      <c r="D2166" s="786" t="s">
        <v>40</v>
      </c>
      <c r="E2166" s="906">
        <v>71508</v>
      </c>
      <c r="F2166" s="786">
        <v>1</v>
      </c>
      <c r="G2166" s="809">
        <f t="shared" si="113"/>
        <v>71508</v>
      </c>
      <c r="H2166" s="786"/>
      <c r="I2166" s="786"/>
      <c r="J2166" s="786"/>
      <c r="K2166" s="788"/>
      <c r="L2166" s="788"/>
      <c r="M2166" s="788"/>
      <c r="N2166" s="786"/>
      <c r="O2166" s="786"/>
    </row>
    <row r="2167" spans="1:17" ht="15.75">
      <c r="A2167" s="1147" t="s">
        <v>2545</v>
      </c>
      <c r="B2167" s="1148"/>
      <c r="C2167" s="1149"/>
      <c r="D2167" s="1149"/>
      <c r="E2167" s="1150"/>
      <c r="F2167" s="893"/>
      <c r="G2167" s="894">
        <f t="shared" ref="G2167:K2167" si="115">SUM(G2073:G2165)</f>
        <v>2039331.7099399997</v>
      </c>
      <c r="H2167" s="893"/>
      <c r="I2167" s="894">
        <f t="shared" si="115"/>
        <v>0</v>
      </c>
      <c r="J2167" s="893"/>
      <c r="K2167" s="894">
        <f t="shared" si="115"/>
        <v>0</v>
      </c>
      <c r="L2167" s="893"/>
      <c r="M2167" s="894">
        <f>SUM(M2073:M2165)</f>
        <v>153327</v>
      </c>
      <c r="N2167" s="893"/>
      <c r="O2167" s="894">
        <f>SUM(O2073:O2165)</f>
        <v>0</v>
      </c>
    </row>
    <row r="2168" spans="1:17" ht="15.75">
      <c r="A2168" s="910"/>
      <c r="B2168" s="911"/>
      <c r="C2168" s="910"/>
      <c r="D2168" s="912"/>
      <c r="E2168" s="913"/>
      <c r="F2168" s="909"/>
      <c r="G2168" s="909"/>
      <c r="H2168" s="909"/>
      <c r="I2168" s="909"/>
      <c r="J2168" s="909"/>
      <c r="K2168" s="909"/>
      <c r="L2168" s="909"/>
      <c r="M2168" s="909"/>
      <c r="N2168" s="909"/>
      <c r="O2168" s="914"/>
    </row>
    <row r="2171" spans="1:17" ht="15.75">
      <c r="A2171" s="1145" t="s">
        <v>2708</v>
      </c>
      <c r="B2171" s="1145"/>
      <c r="C2171" s="1145"/>
      <c r="D2171" s="1145"/>
      <c r="E2171" s="1145"/>
      <c r="F2171" s="1145"/>
      <c r="G2171" s="1145"/>
      <c r="H2171" s="1145"/>
      <c r="I2171" s="1145"/>
      <c r="J2171" s="1145"/>
      <c r="K2171" s="1145"/>
      <c r="L2171" s="1145"/>
      <c r="M2171" s="1145"/>
      <c r="N2171" s="1145"/>
      <c r="O2171" s="1145"/>
      <c r="P2171" s="1145"/>
      <c r="Q2171" s="1145"/>
    </row>
    <row r="2172" spans="1:17" ht="21">
      <c r="A2172" s="1145" t="s">
        <v>2709</v>
      </c>
      <c r="B2172" s="1145"/>
      <c r="C2172" s="1145"/>
      <c r="D2172" s="1145"/>
      <c r="E2172" s="1145"/>
      <c r="F2172" s="1145"/>
      <c r="G2172" s="1145"/>
      <c r="H2172" s="1145"/>
      <c r="I2172" s="1145"/>
      <c r="J2172" s="1145"/>
      <c r="K2172" s="1145"/>
      <c r="L2172" s="1145"/>
      <c r="M2172" s="1145"/>
      <c r="N2172" s="1145"/>
      <c r="O2172" s="1145"/>
      <c r="P2172" s="1145"/>
      <c r="Q2172" s="915"/>
    </row>
    <row r="2173" spans="1:17" ht="15.75">
      <c r="A2173" s="1151" t="s">
        <v>2710</v>
      </c>
      <c r="B2173" s="1151"/>
      <c r="C2173" s="1151"/>
      <c r="D2173" s="1151"/>
      <c r="E2173" s="1151"/>
      <c r="F2173" s="1151"/>
      <c r="G2173" s="1151"/>
      <c r="H2173" s="1151"/>
      <c r="I2173" s="1151"/>
      <c r="J2173" s="1151"/>
      <c r="K2173" s="1151"/>
      <c r="L2173" s="1151"/>
      <c r="M2173" s="1151"/>
      <c r="N2173" s="1151"/>
      <c r="O2173" s="1151"/>
      <c r="P2173" s="1151"/>
      <c r="Q2173" s="1151"/>
    </row>
    <row r="2174" spans="1:17" ht="18">
      <c r="A2174" s="1152" t="s">
        <v>2711</v>
      </c>
      <c r="B2174" s="1152"/>
      <c r="C2174" s="1152"/>
      <c r="D2174" s="916"/>
      <c r="E2174" s="916"/>
      <c r="F2174" s="917"/>
      <c r="G2174" s="917"/>
      <c r="H2174" s="917"/>
      <c r="I2174" s="917"/>
      <c r="J2174" s="917"/>
      <c r="K2174" s="917"/>
      <c r="L2174" s="917"/>
      <c r="M2174" s="917"/>
      <c r="N2174" s="917"/>
      <c r="O2174" s="918"/>
      <c r="P2174" s="917"/>
      <c r="Q2174" s="917"/>
    </row>
    <row r="2175" spans="1:17" ht="15.75">
      <c r="A2175" s="1130" t="s">
        <v>2712</v>
      </c>
      <c r="B2175" s="1130" t="s">
        <v>110</v>
      </c>
      <c r="C2175" s="1128" t="s">
        <v>1830</v>
      </c>
      <c r="D2175" s="1130" t="s">
        <v>112</v>
      </c>
      <c r="E2175" s="1153" t="s">
        <v>2713</v>
      </c>
      <c r="F2175" s="1130" t="s">
        <v>1832</v>
      </c>
      <c r="G2175" s="1132" t="s">
        <v>114</v>
      </c>
      <c r="H2175" s="1132"/>
      <c r="I2175" s="1133" t="s">
        <v>1833</v>
      </c>
      <c r="J2175" s="1113"/>
      <c r="K2175" s="1134" t="s">
        <v>1306</v>
      </c>
      <c r="L2175" s="1134"/>
      <c r="M2175" s="1134" t="s">
        <v>2714</v>
      </c>
      <c r="N2175" s="1134"/>
      <c r="O2175" s="1112" t="s">
        <v>2715</v>
      </c>
      <c r="P2175" s="1113"/>
      <c r="Q2175" s="1114" t="s">
        <v>2716</v>
      </c>
    </row>
    <row r="2176" spans="1:17" ht="30">
      <c r="A2176" s="1131"/>
      <c r="B2176" s="1131"/>
      <c r="C2176" s="1129"/>
      <c r="D2176" s="1131"/>
      <c r="E2176" s="1154"/>
      <c r="F2176" s="1131"/>
      <c r="G2176" s="919" t="s">
        <v>2713</v>
      </c>
      <c r="H2176" s="920" t="s">
        <v>2717</v>
      </c>
      <c r="I2176" s="921" t="s">
        <v>2713</v>
      </c>
      <c r="J2176" s="921" t="s">
        <v>2718</v>
      </c>
      <c r="K2176" s="919" t="s">
        <v>2713</v>
      </c>
      <c r="L2176" s="922" t="s">
        <v>2719</v>
      </c>
      <c r="M2176" s="920" t="s">
        <v>2713</v>
      </c>
      <c r="N2176" s="922" t="s">
        <v>2720</v>
      </c>
      <c r="O2176" s="921" t="s">
        <v>2713</v>
      </c>
      <c r="P2176" s="921" t="s">
        <v>2721</v>
      </c>
      <c r="Q2176" s="1115"/>
    </row>
    <row r="2177" spans="1:17" ht="57">
      <c r="A2177" s="923">
        <v>1</v>
      </c>
      <c r="B2177" s="384" t="s">
        <v>1654</v>
      </c>
      <c r="C2177" s="924" t="s">
        <v>2722</v>
      </c>
      <c r="D2177" s="229" t="s">
        <v>40</v>
      </c>
      <c r="E2177" s="925">
        <v>4</v>
      </c>
      <c r="F2177" s="926">
        <v>1550</v>
      </c>
      <c r="G2177" s="919"/>
      <c r="H2177" s="920"/>
      <c r="I2177" s="921"/>
      <c r="J2177" s="921"/>
      <c r="K2177" s="919"/>
      <c r="L2177" s="922"/>
      <c r="M2177" s="920"/>
      <c r="N2177" s="922"/>
      <c r="O2177" s="925">
        <v>4</v>
      </c>
      <c r="P2177" s="921">
        <f>O2177*F2177</f>
        <v>6200</v>
      </c>
      <c r="Q2177" s="927">
        <f t="shared" ref="Q2177:Q2242" si="116">+F2177*E2177</f>
        <v>6200</v>
      </c>
    </row>
    <row r="2178" spans="1:17" ht="42.75">
      <c r="A2178" s="928">
        <v>2</v>
      </c>
      <c r="B2178" s="384" t="s">
        <v>2272</v>
      </c>
      <c r="C2178" s="924" t="s">
        <v>2723</v>
      </c>
      <c r="D2178" s="229" t="s">
        <v>40</v>
      </c>
      <c r="E2178" s="925">
        <v>6</v>
      </c>
      <c r="F2178" s="926">
        <v>1500</v>
      </c>
      <c r="G2178" s="919"/>
      <c r="H2178" s="920"/>
      <c r="I2178" s="921"/>
      <c r="J2178" s="921"/>
      <c r="K2178" s="919"/>
      <c r="L2178" s="922"/>
      <c r="M2178" s="920"/>
      <c r="N2178" s="922"/>
      <c r="O2178" s="925">
        <v>6</v>
      </c>
      <c r="P2178" s="921">
        <f t="shared" ref="P2178:P2202" si="117">O2178*F2178</f>
        <v>9000</v>
      </c>
      <c r="Q2178" s="927">
        <f t="shared" si="116"/>
        <v>9000</v>
      </c>
    </row>
    <row r="2179" spans="1:17" ht="42.75">
      <c r="A2179" s="923">
        <v>3</v>
      </c>
      <c r="B2179" s="384" t="s">
        <v>2724</v>
      </c>
      <c r="C2179" s="924" t="s">
        <v>2725</v>
      </c>
      <c r="D2179" s="229" t="s">
        <v>40</v>
      </c>
      <c r="E2179" s="925">
        <v>5</v>
      </c>
      <c r="F2179" s="929">
        <v>1500</v>
      </c>
      <c r="G2179" s="919"/>
      <c r="H2179" s="920"/>
      <c r="I2179" s="921"/>
      <c r="J2179" s="921"/>
      <c r="K2179" s="919"/>
      <c r="L2179" s="922"/>
      <c r="M2179" s="920"/>
      <c r="N2179" s="922"/>
      <c r="O2179" s="925">
        <v>5</v>
      </c>
      <c r="P2179" s="921">
        <f t="shared" si="117"/>
        <v>7500</v>
      </c>
      <c r="Q2179" s="927">
        <f t="shared" si="116"/>
        <v>7500</v>
      </c>
    </row>
    <row r="2180" spans="1:17" ht="42.75">
      <c r="A2180" s="928">
        <v>4</v>
      </c>
      <c r="B2180" s="384" t="s">
        <v>363</v>
      </c>
      <c r="C2180" s="924" t="s">
        <v>2726</v>
      </c>
      <c r="D2180" s="229" t="s">
        <v>324</v>
      </c>
      <c r="E2180" s="925">
        <v>50</v>
      </c>
      <c r="F2180" s="926">
        <v>15</v>
      </c>
      <c r="G2180" s="919"/>
      <c r="H2180" s="920"/>
      <c r="I2180" s="921"/>
      <c r="J2180" s="921"/>
      <c r="K2180" s="919"/>
      <c r="L2180" s="922"/>
      <c r="M2180" s="920"/>
      <c r="N2180" s="922"/>
      <c r="O2180" s="925">
        <v>50</v>
      </c>
      <c r="P2180" s="921">
        <f t="shared" si="117"/>
        <v>750</v>
      </c>
      <c r="Q2180" s="927">
        <f t="shared" si="116"/>
        <v>750</v>
      </c>
    </row>
    <row r="2181" spans="1:17" ht="28.5">
      <c r="A2181" s="923">
        <v>5</v>
      </c>
      <c r="B2181" s="930"/>
      <c r="C2181" s="924" t="s">
        <v>2727</v>
      </c>
      <c r="D2181" s="229" t="s">
        <v>40</v>
      </c>
      <c r="E2181" s="925">
        <v>2</v>
      </c>
      <c r="F2181" s="929">
        <v>2000</v>
      </c>
      <c r="G2181" s="919"/>
      <c r="H2181" s="920"/>
      <c r="I2181" s="921"/>
      <c r="J2181" s="921"/>
      <c r="K2181" s="919"/>
      <c r="L2181" s="922"/>
      <c r="M2181" s="920"/>
      <c r="N2181" s="922"/>
      <c r="O2181" s="925">
        <v>2</v>
      </c>
      <c r="P2181" s="921">
        <f t="shared" si="117"/>
        <v>4000</v>
      </c>
      <c r="Q2181" s="927">
        <f t="shared" si="116"/>
        <v>4000</v>
      </c>
    </row>
    <row r="2182" spans="1:17" ht="57">
      <c r="A2182" s="928">
        <v>6</v>
      </c>
      <c r="B2182" s="384" t="s">
        <v>2728</v>
      </c>
      <c r="C2182" s="924" t="s">
        <v>2729</v>
      </c>
      <c r="D2182" s="923" t="s">
        <v>37</v>
      </c>
      <c r="E2182" s="931">
        <v>1</v>
      </c>
      <c r="F2182" s="932">
        <v>15000</v>
      </c>
      <c r="G2182" s="919"/>
      <c r="H2182" s="920"/>
      <c r="I2182" s="921"/>
      <c r="J2182" s="921"/>
      <c r="K2182" s="919"/>
      <c r="L2182" s="922"/>
      <c r="M2182" s="920"/>
      <c r="N2182" s="922"/>
      <c r="O2182" s="931">
        <v>1</v>
      </c>
      <c r="P2182" s="921">
        <f t="shared" si="117"/>
        <v>15000</v>
      </c>
      <c r="Q2182" s="927">
        <f t="shared" si="116"/>
        <v>15000</v>
      </c>
    </row>
    <row r="2183" spans="1:17" ht="42.75">
      <c r="A2183" s="923">
        <v>7</v>
      </c>
      <c r="B2183" s="384" t="s">
        <v>2730</v>
      </c>
      <c r="C2183" s="924" t="s">
        <v>2731</v>
      </c>
      <c r="D2183" s="923" t="s">
        <v>37</v>
      </c>
      <c r="E2183" s="931">
        <v>1</v>
      </c>
      <c r="F2183" s="932">
        <v>1500</v>
      </c>
      <c r="G2183" s="919"/>
      <c r="H2183" s="920"/>
      <c r="I2183" s="921"/>
      <c r="J2183" s="921"/>
      <c r="K2183" s="919"/>
      <c r="L2183" s="922"/>
      <c r="M2183" s="920"/>
      <c r="N2183" s="922"/>
      <c r="O2183" s="931">
        <v>1</v>
      </c>
      <c r="P2183" s="921">
        <f t="shared" si="117"/>
        <v>1500</v>
      </c>
      <c r="Q2183" s="927">
        <f t="shared" si="116"/>
        <v>1500</v>
      </c>
    </row>
    <row r="2184" spans="1:17" ht="28.5">
      <c r="A2184" s="928">
        <v>8</v>
      </c>
      <c r="B2184" s="384" t="s">
        <v>482</v>
      </c>
      <c r="C2184" s="924" t="s">
        <v>2732</v>
      </c>
      <c r="D2184" s="923" t="s">
        <v>37</v>
      </c>
      <c r="E2184" s="931">
        <v>10</v>
      </c>
      <c r="F2184" s="932">
        <v>2000</v>
      </c>
      <c r="G2184" s="919"/>
      <c r="H2184" s="920"/>
      <c r="I2184" s="921"/>
      <c r="J2184" s="921"/>
      <c r="K2184" s="919"/>
      <c r="L2184" s="922"/>
      <c r="M2184" s="920"/>
      <c r="N2184" s="922"/>
      <c r="O2184" s="931">
        <v>10</v>
      </c>
      <c r="P2184" s="921">
        <f t="shared" si="117"/>
        <v>20000</v>
      </c>
      <c r="Q2184" s="927">
        <f t="shared" si="116"/>
        <v>20000</v>
      </c>
    </row>
    <row r="2185" spans="1:17" ht="43.5">
      <c r="A2185" s="923">
        <v>9</v>
      </c>
      <c r="B2185" s="933"/>
      <c r="C2185" s="934" t="s">
        <v>2733</v>
      </c>
      <c r="D2185" s="923" t="s">
        <v>40</v>
      </c>
      <c r="E2185" s="931">
        <v>14</v>
      </c>
      <c r="F2185" s="932">
        <v>2000</v>
      </c>
      <c r="G2185" s="919"/>
      <c r="H2185" s="920"/>
      <c r="I2185" s="921"/>
      <c r="J2185" s="921"/>
      <c r="K2185" s="919"/>
      <c r="L2185" s="922"/>
      <c r="M2185" s="920"/>
      <c r="N2185" s="922"/>
      <c r="O2185" s="931">
        <v>14</v>
      </c>
      <c r="P2185" s="921">
        <f t="shared" si="117"/>
        <v>28000</v>
      </c>
      <c r="Q2185" s="927">
        <f t="shared" si="116"/>
        <v>28000</v>
      </c>
    </row>
    <row r="2186" spans="1:17" ht="71.25">
      <c r="A2186" s="928">
        <v>10</v>
      </c>
      <c r="B2186" s="930"/>
      <c r="C2186" s="924" t="s">
        <v>2734</v>
      </c>
      <c r="D2186" s="923" t="s">
        <v>37</v>
      </c>
      <c r="E2186" s="931">
        <v>2</v>
      </c>
      <c r="F2186" s="932">
        <v>5000</v>
      </c>
      <c r="G2186" s="919"/>
      <c r="H2186" s="920"/>
      <c r="I2186" s="921"/>
      <c r="J2186" s="921"/>
      <c r="K2186" s="919"/>
      <c r="L2186" s="922"/>
      <c r="M2186" s="920"/>
      <c r="N2186" s="922"/>
      <c r="O2186" s="931">
        <v>2</v>
      </c>
      <c r="P2186" s="921">
        <f t="shared" si="117"/>
        <v>10000</v>
      </c>
      <c r="Q2186" s="927">
        <f t="shared" si="116"/>
        <v>10000</v>
      </c>
    </row>
    <row r="2187" spans="1:17" ht="57">
      <c r="A2187" s="923">
        <v>11</v>
      </c>
      <c r="B2187" s="935" t="s">
        <v>2735</v>
      </c>
      <c r="C2187" s="924" t="s">
        <v>2736</v>
      </c>
      <c r="D2187" s="923" t="s">
        <v>37</v>
      </c>
      <c r="E2187" s="931">
        <v>2</v>
      </c>
      <c r="F2187" s="932">
        <v>500</v>
      </c>
      <c r="G2187" s="919"/>
      <c r="H2187" s="920"/>
      <c r="I2187" s="921"/>
      <c r="J2187" s="921"/>
      <c r="K2187" s="919"/>
      <c r="L2187" s="922"/>
      <c r="M2187" s="920"/>
      <c r="N2187" s="922"/>
      <c r="O2187" s="931">
        <v>2</v>
      </c>
      <c r="P2187" s="921">
        <f t="shared" si="117"/>
        <v>1000</v>
      </c>
      <c r="Q2187" s="927">
        <f t="shared" si="116"/>
        <v>1000</v>
      </c>
    </row>
    <row r="2188" spans="1:17" ht="16.5">
      <c r="A2188" s="928">
        <v>12</v>
      </c>
      <c r="B2188" s="384" t="s">
        <v>2737</v>
      </c>
      <c r="C2188" s="229" t="s">
        <v>2738</v>
      </c>
      <c r="D2188" s="923" t="s">
        <v>37</v>
      </c>
      <c r="E2188" s="931">
        <v>10</v>
      </c>
      <c r="F2188" s="936">
        <v>100</v>
      </c>
      <c r="G2188" s="919"/>
      <c r="H2188" s="920"/>
      <c r="I2188" s="921"/>
      <c r="J2188" s="921"/>
      <c r="K2188" s="919"/>
      <c r="L2188" s="922"/>
      <c r="M2188" s="920"/>
      <c r="N2188" s="922"/>
      <c r="O2188" s="931">
        <v>10</v>
      </c>
      <c r="P2188" s="921">
        <f t="shared" si="117"/>
        <v>1000</v>
      </c>
      <c r="Q2188" s="927">
        <f t="shared" si="116"/>
        <v>1000</v>
      </c>
    </row>
    <row r="2189" spans="1:17" ht="28.5">
      <c r="A2189" s="923">
        <v>13</v>
      </c>
      <c r="B2189" s="937"/>
      <c r="C2189" s="924" t="s">
        <v>2739</v>
      </c>
      <c r="D2189" s="923" t="s">
        <v>37</v>
      </c>
      <c r="E2189" s="931">
        <v>2</v>
      </c>
      <c r="F2189" s="936">
        <v>300</v>
      </c>
      <c r="G2189" s="919"/>
      <c r="H2189" s="920"/>
      <c r="I2189" s="921"/>
      <c r="J2189" s="921"/>
      <c r="K2189" s="919"/>
      <c r="L2189" s="922"/>
      <c r="M2189" s="920"/>
      <c r="N2189" s="922"/>
      <c r="O2189" s="938">
        <v>2</v>
      </c>
      <c r="P2189" s="921">
        <f t="shared" si="117"/>
        <v>600</v>
      </c>
      <c r="Q2189" s="927">
        <f t="shared" si="116"/>
        <v>600</v>
      </c>
    </row>
    <row r="2190" spans="1:17" ht="43.5">
      <c r="A2190" s="928">
        <v>14</v>
      </c>
      <c r="B2190" s="384" t="s">
        <v>2740</v>
      </c>
      <c r="C2190" s="934" t="s">
        <v>2741</v>
      </c>
      <c r="D2190" s="939" t="s">
        <v>40</v>
      </c>
      <c r="E2190" s="931">
        <v>1</v>
      </c>
      <c r="F2190" s="936">
        <v>2000</v>
      </c>
      <c r="G2190" s="919"/>
      <c r="H2190" s="920"/>
      <c r="I2190" s="921"/>
      <c r="J2190" s="921"/>
      <c r="K2190" s="919"/>
      <c r="L2190" s="922"/>
      <c r="M2190" s="920"/>
      <c r="N2190" s="922"/>
      <c r="O2190" s="931">
        <v>1</v>
      </c>
      <c r="P2190" s="921">
        <f t="shared" si="117"/>
        <v>2000</v>
      </c>
      <c r="Q2190" s="927">
        <f t="shared" si="116"/>
        <v>2000</v>
      </c>
    </row>
    <row r="2191" spans="1:17" ht="38.25">
      <c r="A2191" s="923">
        <v>15</v>
      </c>
      <c r="B2191" s="940" t="s">
        <v>1375</v>
      </c>
      <c r="C2191" s="941" t="s">
        <v>2742</v>
      </c>
      <c r="D2191" s="942" t="s">
        <v>324</v>
      </c>
      <c r="E2191" s="943">
        <v>302</v>
      </c>
      <c r="F2191" s="944">
        <v>30</v>
      </c>
      <c r="G2191" s="943"/>
      <c r="H2191" s="943"/>
      <c r="I2191" s="945"/>
      <c r="J2191" s="945"/>
      <c r="K2191" s="945"/>
      <c r="L2191" s="945"/>
      <c r="M2191" s="946"/>
      <c r="N2191" s="946"/>
      <c r="O2191" s="945">
        <v>302</v>
      </c>
      <c r="P2191" s="921">
        <f t="shared" si="117"/>
        <v>9060</v>
      </c>
      <c r="Q2191" s="927">
        <f t="shared" si="116"/>
        <v>9060</v>
      </c>
    </row>
    <row r="2192" spans="1:17" ht="25.5">
      <c r="A2192" s="928">
        <v>16</v>
      </c>
      <c r="B2192" s="940"/>
      <c r="C2192" s="941" t="s">
        <v>2743</v>
      </c>
      <c r="D2192" s="942" t="s">
        <v>324</v>
      </c>
      <c r="E2192" s="943">
        <v>850</v>
      </c>
      <c r="F2192" s="944">
        <v>30</v>
      </c>
      <c r="G2192" s="943"/>
      <c r="H2192" s="943"/>
      <c r="I2192" s="945"/>
      <c r="J2192" s="945"/>
      <c r="K2192" s="945"/>
      <c r="L2192" s="945"/>
      <c r="M2192" s="946"/>
      <c r="N2192" s="946"/>
      <c r="O2192" s="947">
        <v>850</v>
      </c>
      <c r="P2192" s="921">
        <f t="shared" si="117"/>
        <v>25500</v>
      </c>
      <c r="Q2192" s="927">
        <f t="shared" si="116"/>
        <v>25500</v>
      </c>
    </row>
    <row r="2193" spans="1:17" ht="25.5">
      <c r="A2193" s="923">
        <v>17</v>
      </c>
      <c r="B2193" s="34" t="s">
        <v>1377</v>
      </c>
      <c r="C2193" s="941" t="s">
        <v>2744</v>
      </c>
      <c r="D2193" s="942" t="s">
        <v>324</v>
      </c>
      <c r="E2193" s="945">
        <v>1180</v>
      </c>
      <c r="F2193" s="944">
        <v>30</v>
      </c>
      <c r="G2193" s="945"/>
      <c r="H2193" s="945"/>
      <c r="I2193" s="945"/>
      <c r="J2193" s="945"/>
      <c r="K2193" s="945"/>
      <c r="L2193" s="945"/>
      <c r="M2193" s="946"/>
      <c r="N2193" s="946"/>
      <c r="O2193" s="947">
        <v>1180</v>
      </c>
      <c r="P2193" s="921">
        <f t="shared" si="117"/>
        <v>35400</v>
      </c>
      <c r="Q2193" s="927">
        <f t="shared" si="116"/>
        <v>35400</v>
      </c>
    </row>
    <row r="2194" spans="1:17" ht="25.5">
      <c r="A2194" s="928">
        <v>18</v>
      </c>
      <c r="B2194" s="34" t="s">
        <v>1439</v>
      </c>
      <c r="C2194" s="941" t="s">
        <v>2745</v>
      </c>
      <c r="D2194" s="945" t="s">
        <v>37</v>
      </c>
      <c r="E2194" s="945">
        <v>300</v>
      </c>
      <c r="F2194" s="948">
        <v>30</v>
      </c>
      <c r="G2194" s="945"/>
      <c r="H2194" s="945"/>
      <c r="I2194" s="945"/>
      <c r="J2194" s="945"/>
      <c r="K2194" s="945"/>
      <c r="L2194" s="945"/>
      <c r="M2194" s="945"/>
      <c r="N2194" s="945"/>
      <c r="O2194" s="947">
        <v>300</v>
      </c>
      <c r="P2194" s="921">
        <f t="shared" si="117"/>
        <v>9000</v>
      </c>
      <c r="Q2194" s="927">
        <f t="shared" si="116"/>
        <v>9000</v>
      </c>
    </row>
    <row r="2195" spans="1:17" ht="25.5">
      <c r="A2195" s="923">
        <v>19</v>
      </c>
      <c r="B2195" s="940"/>
      <c r="C2195" s="941" t="s">
        <v>2746</v>
      </c>
      <c r="D2195" s="942" t="s">
        <v>37</v>
      </c>
      <c r="E2195" s="943">
        <v>50</v>
      </c>
      <c r="F2195" s="944">
        <v>300</v>
      </c>
      <c r="G2195" s="943"/>
      <c r="H2195" s="943"/>
      <c r="I2195" s="945"/>
      <c r="J2195" s="945"/>
      <c r="K2195" s="945"/>
      <c r="L2195" s="945"/>
      <c r="M2195" s="946"/>
      <c r="N2195" s="946"/>
      <c r="O2195" s="945">
        <v>50</v>
      </c>
      <c r="P2195" s="921">
        <f t="shared" si="117"/>
        <v>15000</v>
      </c>
      <c r="Q2195" s="927">
        <f t="shared" si="116"/>
        <v>15000</v>
      </c>
    </row>
    <row r="2196" spans="1:17" ht="25.5">
      <c r="A2196" s="928">
        <v>20</v>
      </c>
      <c r="B2196" s="940"/>
      <c r="C2196" s="941" t="s">
        <v>2747</v>
      </c>
      <c r="D2196" s="942" t="s">
        <v>37</v>
      </c>
      <c r="E2196" s="943">
        <v>20</v>
      </c>
      <c r="F2196" s="944">
        <v>300</v>
      </c>
      <c r="G2196" s="943"/>
      <c r="H2196" s="943"/>
      <c r="I2196" s="945"/>
      <c r="J2196" s="945"/>
      <c r="K2196" s="945"/>
      <c r="L2196" s="945"/>
      <c r="M2196" s="946"/>
      <c r="N2196" s="946"/>
      <c r="O2196" s="945">
        <v>20</v>
      </c>
      <c r="P2196" s="921">
        <f t="shared" si="117"/>
        <v>6000</v>
      </c>
      <c r="Q2196" s="927">
        <f t="shared" si="116"/>
        <v>6000</v>
      </c>
    </row>
    <row r="2197" spans="1:17" ht="25.5">
      <c r="A2197" s="923">
        <v>21</v>
      </c>
      <c r="B2197" s="949"/>
      <c r="C2197" s="950" t="s">
        <v>2748</v>
      </c>
      <c r="D2197" s="943" t="s">
        <v>37</v>
      </c>
      <c r="E2197" s="944">
        <v>1</v>
      </c>
      <c r="F2197" s="944">
        <v>15000</v>
      </c>
      <c r="G2197" s="944"/>
      <c r="H2197" s="944"/>
      <c r="I2197" s="951"/>
      <c r="J2197" s="951"/>
      <c r="K2197" s="952"/>
      <c r="L2197" s="952"/>
      <c r="M2197" s="946"/>
      <c r="N2197" s="946"/>
      <c r="O2197" s="951">
        <v>1</v>
      </c>
      <c r="P2197" s="921">
        <f t="shared" si="117"/>
        <v>15000</v>
      </c>
      <c r="Q2197" s="927">
        <f t="shared" si="116"/>
        <v>15000</v>
      </c>
    </row>
    <row r="2198" spans="1:17" ht="25.5">
      <c r="A2198" s="928">
        <v>22</v>
      </c>
      <c r="B2198" s="940" t="s">
        <v>2383</v>
      </c>
      <c r="C2198" s="941" t="s">
        <v>2749</v>
      </c>
      <c r="D2198" s="951" t="s">
        <v>37</v>
      </c>
      <c r="E2198" s="944">
        <v>10</v>
      </c>
      <c r="F2198" s="944">
        <v>1000</v>
      </c>
      <c r="G2198" s="944">
        <v>10</v>
      </c>
      <c r="H2198" s="944"/>
      <c r="I2198" s="945"/>
      <c r="J2198" s="945"/>
      <c r="K2198" s="945"/>
      <c r="L2198" s="945"/>
      <c r="M2198" s="946"/>
      <c r="N2198" s="946"/>
      <c r="O2198" s="945">
        <v>10</v>
      </c>
      <c r="P2198" s="921">
        <f t="shared" si="117"/>
        <v>10000</v>
      </c>
      <c r="Q2198" s="927">
        <f t="shared" si="116"/>
        <v>10000</v>
      </c>
    </row>
    <row r="2199" spans="1:17" ht="25.5">
      <c r="A2199" s="923">
        <v>23</v>
      </c>
      <c r="B2199" s="940" t="s">
        <v>421</v>
      </c>
      <c r="C2199" s="941" t="s">
        <v>2750</v>
      </c>
      <c r="D2199" s="943" t="s">
        <v>37</v>
      </c>
      <c r="E2199" s="944">
        <v>10</v>
      </c>
      <c r="F2199" s="944">
        <v>300</v>
      </c>
      <c r="G2199" s="944">
        <v>10</v>
      </c>
      <c r="H2199" s="944"/>
      <c r="I2199" s="945"/>
      <c r="J2199" s="945"/>
      <c r="K2199" s="945"/>
      <c r="L2199" s="945"/>
      <c r="M2199" s="946"/>
      <c r="N2199" s="946"/>
      <c r="O2199" s="945">
        <v>10</v>
      </c>
      <c r="P2199" s="921">
        <f t="shared" si="117"/>
        <v>3000</v>
      </c>
      <c r="Q2199" s="927">
        <f t="shared" si="116"/>
        <v>3000</v>
      </c>
    </row>
    <row r="2200" spans="1:17" ht="25.5">
      <c r="A2200" s="928">
        <v>24</v>
      </c>
      <c r="B2200" s="940" t="s">
        <v>2751</v>
      </c>
      <c r="C2200" s="941" t="s">
        <v>2752</v>
      </c>
      <c r="D2200" s="943" t="s">
        <v>246</v>
      </c>
      <c r="E2200" s="953">
        <v>2</v>
      </c>
      <c r="F2200" s="944">
        <v>5000</v>
      </c>
      <c r="G2200" s="943"/>
      <c r="H2200" s="943"/>
      <c r="I2200" s="945"/>
      <c r="J2200" s="945"/>
      <c r="K2200" s="945"/>
      <c r="L2200" s="945"/>
      <c r="M2200" s="946"/>
      <c r="N2200" s="946"/>
      <c r="O2200" s="945">
        <v>2</v>
      </c>
      <c r="P2200" s="921">
        <f t="shared" si="117"/>
        <v>10000</v>
      </c>
      <c r="Q2200" s="927">
        <f t="shared" si="116"/>
        <v>10000</v>
      </c>
    </row>
    <row r="2201" spans="1:17" ht="38.25">
      <c r="A2201" s="923">
        <v>25</v>
      </c>
      <c r="B2201" s="940" t="s">
        <v>2753</v>
      </c>
      <c r="C2201" s="82" t="s">
        <v>2754</v>
      </c>
      <c r="D2201" s="944" t="s">
        <v>788</v>
      </c>
      <c r="E2201" s="944">
        <v>1</v>
      </c>
      <c r="F2201" s="944">
        <v>7500</v>
      </c>
      <c r="G2201" s="944"/>
      <c r="H2201" s="944"/>
      <c r="I2201" s="952"/>
      <c r="J2201" s="952"/>
      <c r="K2201" s="944"/>
      <c r="L2201" s="944"/>
      <c r="M2201" s="946"/>
      <c r="N2201" s="946"/>
      <c r="O2201" s="947">
        <v>1</v>
      </c>
      <c r="P2201" s="921">
        <f t="shared" si="117"/>
        <v>7500</v>
      </c>
      <c r="Q2201" s="927">
        <f t="shared" si="116"/>
        <v>7500</v>
      </c>
    </row>
    <row r="2202" spans="1:17" ht="25.5">
      <c r="A2202" s="928">
        <v>26</v>
      </c>
      <c r="B2202" s="949"/>
      <c r="C2202" s="950" t="s">
        <v>2755</v>
      </c>
      <c r="D2202" s="943" t="s">
        <v>37</v>
      </c>
      <c r="E2202" s="944">
        <v>1</v>
      </c>
      <c r="F2202" s="954">
        <v>5000</v>
      </c>
      <c r="G2202" s="944"/>
      <c r="H2202" s="944"/>
      <c r="I2202" s="944"/>
      <c r="J2202" s="944"/>
      <c r="K2202" s="944"/>
      <c r="L2202" s="944"/>
      <c r="M2202" s="944"/>
      <c r="N2202" s="944"/>
      <c r="O2202" s="947">
        <v>1</v>
      </c>
      <c r="P2202" s="921">
        <f t="shared" si="117"/>
        <v>5000</v>
      </c>
      <c r="Q2202" s="927">
        <f t="shared" si="116"/>
        <v>5000</v>
      </c>
    </row>
    <row r="2203" spans="1:17">
      <c r="A2203" s="928"/>
      <c r="B2203" s="955"/>
      <c r="C2203" s="956"/>
      <c r="D2203" s="956"/>
      <c r="E2203" s="956"/>
      <c r="F2203" s="956"/>
      <c r="G2203" s="956"/>
      <c r="H2203" s="956"/>
      <c r="I2203" s="956"/>
      <c r="J2203" s="1135" t="s">
        <v>2756</v>
      </c>
      <c r="K2203" s="1136"/>
      <c r="L2203" s="1136"/>
      <c r="M2203" s="1136"/>
      <c r="N2203" s="1137"/>
      <c r="O2203" s="956"/>
      <c r="P2203" s="921"/>
      <c r="Q2203" s="957">
        <f>SUM(Q2177:Q2202)</f>
        <v>257010</v>
      </c>
    </row>
    <row r="2204" spans="1:17" ht="16.5">
      <c r="A2204" s="958">
        <v>27</v>
      </c>
      <c r="B2204" s="959"/>
      <c r="C2204" s="950" t="s">
        <v>2757</v>
      </c>
      <c r="D2204" s="944" t="s">
        <v>37</v>
      </c>
      <c r="E2204" s="944">
        <v>1</v>
      </c>
      <c r="F2204" s="954">
        <v>5000</v>
      </c>
      <c r="G2204" s="944"/>
      <c r="H2204" s="944"/>
      <c r="I2204" s="944">
        <v>1</v>
      </c>
      <c r="J2204" s="921"/>
      <c r="K2204" s="919"/>
      <c r="L2204" s="922"/>
      <c r="M2204" s="920"/>
      <c r="N2204" s="922"/>
      <c r="O2204" s="960"/>
      <c r="P2204" s="921"/>
      <c r="Q2204" s="927">
        <f t="shared" ref="Q2204:Q2207" si="118">+F2204*E2204</f>
        <v>5000</v>
      </c>
    </row>
    <row r="2205" spans="1:17" ht="16.5">
      <c r="A2205" s="961">
        <v>28</v>
      </c>
      <c r="B2205" s="959"/>
      <c r="C2205" s="950" t="s">
        <v>2758</v>
      </c>
      <c r="D2205" s="944" t="s">
        <v>37</v>
      </c>
      <c r="E2205" s="944">
        <v>2</v>
      </c>
      <c r="F2205" s="954">
        <v>5000</v>
      </c>
      <c r="G2205" s="944"/>
      <c r="H2205" s="944"/>
      <c r="I2205" s="944">
        <v>2</v>
      </c>
      <c r="J2205" s="921"/>
      <c r="K2205" s="919"/>
      <c r="L2205" s="922"/>
      <c r="M2205" s="920"/>
      <c r="N2205" s="922"/>
      <c r="O2205" s="960"/>
      <c r="P2205" s="921"/>
      <c r="Q2205" s="927">
        <f t="shared" si="118"/>
        <v>10000</v>
      </c>
    </row>
    <row r="2206" spans="1:17" ht="25.5">
      <c r="A2206" s="958">
        <v>29</v>
      </c>
      <c r="B2206" s="959"/>
      <c r="C2206" s="950" t="s">
        <v>2759</v>
      </c>
      <c r="D2206" s="944" t="s">
        <v>37</v>
      </c>
      <c r="E2206" s="944">
        <v>15</v>
      </c>
      <c r="F2206" s="954">
        <v>200</v>
      </c>
      <c r="G2206" s="944"/>
      <c r="H2206" s="944"/>
      <c r="I2206" s="944">
        <v>15</v>
      </c>
      <c r="J2206" s="921"/>
      <c r="K2206" s="919"/>
      <c r="L2206" s="922"/>
      <c r="M2206" s="920"/>
      <c r="N2206" s="922"/>
      <c r="O2206" s="960"/>
      <c r="P2206" s="921"/>
      <c r="Q2206" s="927">
        <f t="shared" si="118"/>
        <v>3000</v>
      </c>
    </row>
    <row r="2207" spans="1:17" ht="25.5">
      <c r="A2207" s="961">
        <v>30</v>
      </c>
      <c r="B2207" s="959"/>
      <c r="C2207" s="950" t="s">
        <v>2760</v>
      </c>
      <c r="D2207" s="944" t="s">
        <v>266</v>
      </c>
      <c r="E2207" s="962">
        <v>1</v>
      </c>
      <c r="F2207" s="954">
        <v>7000</v>
      </c>
      <c r="G2207" s="944"/>
      <c r="H2207" s="944"/>
      <c r="I2207" s="944">
        <v>1</v>
      </c>
      <c r="J2207" s="921"/>
      <c r="K2207" s="919"/>
      <c r="L2207" s="922"/>
      <c r="M2207" s="920"/>
      <c r="N2207" s="922"/>
      <c r="O2207" s="960"/>
      <c r="P2207" s="921"/>
      <c r="Q2207" s="927">
        <f t="shared" si="118"/>
        <v>7000</v>
      </c>
    </row>
    <row r="2208" spans="1:17" ht="25.5">
      <c r="A2208" s="958">
        <v>31</v>
      </c>
      <c r="B2208" s="959"/>
      <c r="C2208" s="950" t="s">
        <v>2761</v>
      </c>
      <c r="D2208" s="944" t="s">
        <v>37</v>
      </c>
      <c r="E2208" s="963">
        <v>92</v>
      </c>
      <c r="F2208" s="954">
        <v>250</v>
      </c>
      <c r="G2208" s="944"/>
      <c r="H2208" s="944"/>
      <c r="I2208" s="944">
        <v>92</v>
      </c>
      <c r="J2208" s="921"/>
      <c r="K2208" s="919"/>
      <c r="L2208" s="922"/>
      <c r="M2208" s="920"/>
      <c r="N2208" s="922"/>
      <c r="O2208" s="960"/>
      <c r="P2208" s="921"/>
      <c r="Q2208" s="927">
        <f>F2208*E2208</f>
        <v>23000</v>
      </c>
    </row>
    <row r="2209" spans="1:17" ht="16.5">
      <c r="A2209" s="928"/>
      <c r="B2209" s="384"/>
      <c r="C2209" s="964"/>
      <c r="D2209" s="939"/>
      <c r="E2209" s="931"/>
      <c r="F2209" s="936"/>
      <c r="G2209" s="919"/>
      <c r="H2209" s="920"/>
      <c r="I2209" s="921"/>
      <c r="J2209" s="1138" t="s">
        <v>2762</v>
      </c>
      <c r="K2209" s="1139"/>
      <c r="L2209" s="1139"/>
      <c r="M2209" s="1139"/>
      <c r="N2209" s="1140"/>
      <c r="O2209" s="960"/>
      <c r="P2209" s="921"/>
      <c r="Q2209" s="957">
        <f>SUM(Q2204:Q2208)</f>
        <v>48000</v>
      </c>
    </row>
    <row r="2210" spans="1:17" ht="29.25">
      <c r="A2210" s="928">
        <v>32</v>
      </c>
      <c r="B2210" s="384" t="s">
        <v>2730</v>
      </c>
      <c r="C2210" s="955" t="s">
        <v>2763</v>
      </c>
      <c r="D2210" s="939" t="s">
        <v>40</v>
      </c>
      <c r="E2210" s="965">
        <v>3</v>
      </c>
      <c r="F2210" s="926">
        <v>2000</v>
      </c>
      <c r="G2210" s="965">
        <v>3</v>
      </c>
      <c r="H2210" s="920"/>
      <c r="I2210" s="921"/>
      <c r="J2210" s="921"/>
      <c r="K2210" s="919"/>
      <c r="L2210" s="922"/>
      <c r="M2210" s="920"/>
      <c r="N2210" s="922"/>
      <c r="O2210" s="921"/>
      <c r="P2210" s="921"/>
      <c r="Q2210" s="927">
        <f t="shared" si="116"/>
        <v>6000</v>
      </c>
    </row>
    <row r="2211" spans="1:17" ht="29.25">
      <c r="A2211" s="928">
        <v>33</v>
      </c>
      <c r="B2211" s="384" t="s">
        <v>482</v>
      </c>
      <c r="C2211" s="934" t="s">
        <v>2764</v>
      </c>
      <c r="D2211" s="939" t="s">
        <v>40</v>
      </c>
      <c r="E2211" s="965">
        <v>3</v>
      </c>
      <c r="F2211" s="926">
        <v>1000</v>
      </c>
      <c r="G2211" s="965">
        <v>3</v>
      </c>
      <c r="H2211" s="920"/>
      <c r="I2211" s="921"/>
      <c r="J2211" s="921"/>
      <c r="K2211" s="919"/>
      <c r="L2211" s="922"/>
      <c r="M2211" s="920"/>
      <c r="N2211" s="922"/>
      <c r="O2211" s="921"/>
      <c r="P2211" s="921"/>
      <c r="Q2211" s="927">
        <f t="shared" si="116"/>
        <v>3000</v>
      </c>
    </row>
    <row r="2212" spans="1:17" ht="43.5">
      <c r="A2212" s="928">
        <v>34</v>
      </c>
      <c r="B2212" s="384"/>
      <c r="C2212" s="934" t="s">
        <v>2765</v>
      </c>
      <c r="D2212" s="939" t="s">
        <v>40</v>
      </c>
      <c r="E2212" s="965">
        <v>6</v>
      </c>
      <c r="F2212" s="926">
        <v>100</v>
      </c>
      <c r="G2212" s="965">
        <v>6</v>
      </c>
      <c r="H2212" s="920"/>
      <c r="I2212" s="921"/>
      <c r="J2212" s="921"/>
      <c r="K2212" s="919"/>
      <c r="L2212" s="922"/>
      <c r="M2212" s="920"/>
      <c r="N2212" s="922"/>
      <c r="O2212" s="921"/>
      <c r="P2212" s="921"/>
      <c r="Q2212" s="927">
        <f t="shared" si="116"/>
        <v>600</v>
      </c>
    </row>
    <row r="2213" spans="1:17" ht="43.5">
      <c r="A2213" s="928">
        <v>35</v>
      </c>
      <c r="B2213" s="966"/>
      <c r="C2213" s="934" t="s">
        <v>2766</v>
      </c>
      <c r="D2213" s="939" t="s">
        <v>40</v>
      </c>
      <c r="E2213" s="967">
        <v>1</v>
      </c>
      <c r="F2213" s="926">
        <v>200</v>
      </c>
      <c r="G2213" s="967">
        <v>1</v>
      </c>
      <c r="H2213" s="920"/>
      <c r="I2213" s="921"/>
      <c r="J2213" s="921"/>
      <c r="K2213" s="919"/>
      <c r="L2213" s="922"/>
      <c r="M2213" s="920"/>
      <c r="N2213" s="922"/>
      <c r="O2213" s="921"/>
      <c r="P2213" s="921"/>
      <c r="Q2213" s="927">
        <f t="shared" si="116"/>
        <v>200</v>
      </c>
    </row>
    <row r="2214" spans="1:17" ht="25.5">
      <c r="A2214" s="928">
        <v>36</v>
      </c>
      <c r="B2214" s="959"/>
      <c r="C2214" s="950" t="s">
        <v>2767</v>
      </c>
      <c r="D2214" s="943" t="s">
        <v>37</v>
      </c>
      <c r="E2214" s="944">
        <v>6</v>
      </c>
      <c r="F2214" s="944">
        <v>600</v>
      </c>
      <c r="G2214" s="944">
        <v>6</v>
      </c>
      <c r="H2214" s="944"/>
      <c r="I2214" s="951"/>
      <c r="J2214" s="951"/>
      <c r="K2214" s="952"/>
      <c r="L2214" s="952"/>
      <c r="M2214" s="946"/>
      <c r="N2214" s="946"/>
      <c r="O2214" s="951"/>
      <c r="P2214" s="951"/>
      <c r="Q2214" s="927">
        <f t="shared" si="116"/>
        <v>3600</v>
      </c>
    </row>
    <row r="2215" spans="1:17" ht="25.5">
      <c r="A2215" s="928">
        <v>37</v>
      </c>
      <c r="B2215" s="959"/>
      <c r="C2215" s="950" t="s">
        <v>2768</v>
      </c>
      <c r="D2215" s="943" t="s">
        <v>37</v>
      </c>
      <c r="E2215" s="944">
        <v>1</v>
      </c>
      <c r="F2215" s="944">
        <v>1000</v>
      </c>
      <c r="G2215" s="944">
        <v>1</v>
      </c>
      <c r="H2215" s="944"/>
      <c r="I2215" s="951"/>
      <c r="J2215" s="951"/>
      <c r="K2215" s="952"/>
      <c r="L2215" s="952"/>
      <c r="M2215" s="946"/>
      <c r="N2215" s="946"/>
      <c r="O2215" s="951"/>
      <c r="P2215" s="951"/>
      <c r="Q2215" s="927">
        <f t="shared" si="116"/>
        <v>1000</v>
      </c>
    </row>
    <row r="2216" spans="1:17" ht="25.5">
      <c r="A2216" s="928">
        <v>38</v>
      </c>
      <c r="B2216" s="959"/>
      <c r="C2216" s="950" t="s">
        <v>2769</v>
      </c>
      <c r="D2216" s="943" t="s">
        <v>37</v>
      </c>
      <c r="E2216" s="944">
        <v>1</v>
      </c>
      <c r="F2216" s="944">
        <v>50000</v>
      </c>
      <c r="G2216" s="944">
        <v>1</v>
      </c>
      <c r="H2216" s="944"/>
      <c r="I2216" s="951"/>
      <c r="J2216" s="951"/>
      <c r="K2216" s="952"/>
      <c r="L2216" s="952"/>
      <c r="M2216" s="946"/>
      <c r="N2216" s="946"/>
      <c r="O2216" s="951"/>
      <c r="P2216" s="951"/>
      <c r="Q2216" s="927">
        <f t="shared" si="116"/>
        <v>50000</v>
      </c>
    </row>
    <row r="2217" spans="1:17">
      <c r="A2217" s="928">
        <v>39</v>
      </c>
      <c r="B2217" s="949"/>
      <c r="C2217" s="950"/>
      <c r="D2217" s="943"/>
      <c r="E2217" s="944"/>
      <c r="F2217" s="944"/>
      <c r="G2217" s="944"/>
      <c r="H2217" s="944"/>
      <c r="I2217" s="951"/>
      <c r="J2217" s="951"/>
      <c r="K2217" s="952"/>
      <c r="L2217" s="952"/>
      <c r="M2217" s="946"/>
      <c r="N2217" s="946"/>
      <c r="O2217" s="951"/>
      <c r="P2217" s="951"/>
      <c r="Q2217" s="927"/>
    </row>
    <row r="2218" spans="1:17" ht="25.5">
      <c r="A2218" s="928">
        <v>40</v>
      </c>
      <c r="B2218" s="959"/>
      <c r="C2218" s="950" t="s">
        <v>2770</v>
      </c>
      <c r="D2218" s="943" t="s">
        <v>37</v>
      </c>
      <c r="E2218" s="963">
        <v>0</v>
      </c>
      <c r="F2218" s="944">
        <v>600</v>
      </c>
      <c r="G2218" s="944">
        <v>0</v>
      </c>
      <c r="H2218" s="944"/>
      <c r="I2218" s="951"/>
      <c r="J2218" s="951"/>
      <c r="K2218" s="952"/>
      <c r="L2218" s="952"/>
      <c r="M2218" s="946"/>
      <c r="N2218" s="946"/>
      <c r="O2218" s="951"/>
      <c r="P2218" s="951"/>
      <c r="Q2218" s="927">
        <f t="shared" si="116"/>
        <v>0</v>
      </c>
    </row>
    <row r="2219" spans="1:17" ht="25.5">
      <c r="A2219" s="928">
        <v>41</v>
      </c>
      <c r="B2219" s="940" t="s">
        <v>2771</v>
      </c>
      <c r="C2219" s="941" t="s">
        <v>2772</v>
      </c>
      <c r="D2219" s="944" t="s">
        <v>324</v>
      </c>
      <c r="E2219" s="944">
        <v>175</v>
      </c>
      <c r="F2219" s="944">
        <v>200</v>
      </c>
      <c r="G2219" s="944">
        <v>175</v>
      </c>
      <c r="H2219" s="944"/>
      <c r="I2219" s="945"/>
      <c r="J2219" s="945"/>
      <c r="K2219" s="945"/>
      <c r="L2219" s="945"/>
      <c r="M2219" s="946"/>
      <c r="N2219" s="946"/>
      <c r="O2219" s="945"/>
      <c r="P2219" s="945"/>
      <c r="Q2219" s="927">
        <f t="shared" si="116"/>
        <v>35000</v>
      </c>
    </row>
    <row r="2220" spans="1:17" ht="38.25">
      <c r="A2220" s="928">
        <v>42</v>
      </c>
      <c r="B2220" s="944" t="s">
        <v>2773</v>
      </c>
      <c r="C2220" s="941" t="s">
        <v>2774</v>
      </c>
      <c r="D2220" s="942" t="s">
        <v>37</v>
      </c>
      <c r="E2220" s="944">
        <v>55</v>
      </c>
      <c r="F2220" s="944">
        <v>600</v>
      </c>
      <c r="G2220" s="944">
        <v>55</v>
      </c>
      <c r="H2220" s="944"/>
      <c r="I2220" s="945"/>
      <c r="J2220" s="945"/>
      <c r="K2220" s="945"/>
      <c r="L2220" s="945"/>
      <c r="M2220" s="946"/>
      <c r="N2220" s="946"/>
      <c r="O2220" s="945"/>
      <c r="P2220" s="945"/>
      <c r="Q2220" s="927">
        <f t="shared" si="116"/>
        <v>33000</v>
      </c>
    </row>
    <row r="2221" spans="1:17" ht="25.5">
      <c r="A2221" s="928">
        <v>43</v>
      </c>
      <c r="B2221" s="944" t="s">
        <v>2775</v>
      </c>
      <c r="C2221" s="941" t="s">
        <v>2776</v>
      </c>
      <c r="D2221" s="942" t="s">
        <v>37</v>
      </c>
      <c r="E2221" s="944">
        <v>61</v>
      </c>
      <c r="F2221" s="944">
        <v>300</v>
      </c>
      <c r="G2221" s="944">
        <v>61</v>
      </c>
      <c r="H2221" s="944"/>
      <c r="I2221" s="945"/>
      <c r="J2221" s="945"/>
      <c r="K2221" s="945"/>
      <c r="L2221" s="945"/>
      <c r="M2221" s="946"/>
      <c r="N2221" s="946"/>
      <c r="O2221" s="945"/>
      <c r="P2221" s="945"/>
      <c r="Q2221" s="927">
        <f t="shared" si="116"/>
        <v>18300</v>
      </c>
    </row>
    <row r="2222" spans="1:17" ht="25.5">
      <c r="A2222" s="928">
        <v>44</v>
      </c>
      <c r="B2222" s="940" t="s">
        <v>2777</v>
      </c>
      <c r="C2222" s="950" t="s">
        <v>2778</v>
      </c>
      <c r="D2222" s="944" t="s">
        <v>2779</v>
      </c>
      <c r="E2222" s="944">
        <v>17</v>
      </c>
      <c r="F2222" s="944">
        <v>700</v>
      </c>
      <c r="G2222" s="944">
        <v>17</v>
      </c>
      <c r="H2222" s="944"/>
      <c r="I2222" s="945"/>
      <c r="J2222" s="945"/>
      <c r="K2222" s="945"/>
      <c r="L2222" s="945"/>
      <c r="M2222" s="968"/>
      <c r="N2222" s="968"/>
      <c r="O2222" s="945"/>
      <c r="P2222" s="945"/>
      <c r="Q2222" s="927">
        <f t="shared" si="116"/>
        <v>11900</v>
      </c>
    </row>
    <row r="2223" spans="1:17" ht="26.25">
      <c r="A2223" s="928">
        <v>45</v>
      </c>
      <c r="B2223" s="944" t="s">
        <v>2780</v>
      </c>
      <c r="C2223" s="969" t="s">
        <v>2781</v>
      </c>
      <c r="D2223" s="951" t="s">
        <v>37</v>
      </c>
      <c r="E2223" s="944">
        <v>1</v>
      </c>
      <c r="F2223" s="944">
        <v>50000</v>
      </c>
      <c r="G2223" s="944">
        <v>1</v>
      </c>
      <c r="H2223" s="944"/>
      <c r="I2223" s="945"/>
      <c r="J2223" s="945"/>
      <c r="K2223" s="945"/>
      <c r="L2223" s="945"/>
      <c r="M2223" s="946"/>
      <c r="N2223" s="946"/>
      <c r="O2223" s="945"/>
      <c r="P2223" s="945"/>
      <c r="Q2223" s="927">
        <f t="shared" si="116"/>
        <v>50000</v>
      </c>
    </row>
    <row r="2224" spans="1:17">
      <c r="A2224" s="928">
        <v>46</v>
      </c>
      <c r="B2224" s="944" t="s">
        <v>2782</v>
      </c>
      <c r="C2224" s="969" t="s">
        <v>2783</v>
      </c>
      <c r="D2224" s="951" t="s">
        <v>37</v>
      </c>
      <c r="E2224" s="944">
        <v>1</v>
      </c>
      <c r="F2224" s="944">
        <v>50000</v>
      </c>
      <c r="G2224" s="944">
        <v>1</v>
      </c>
      <c r="H2224" s="944"/>
      <c r="I2224" s="945"/>
      <c r="J2224" s="945"/>
      <c r="K2224" s="945"/>
      <c r="L2224" s="945"/>
      <c r="M2224" s="946"/>
      <c r="N2224" s="946"/>
      <c r="O2224" s="945"/>
      <c r="P2224" s="945"/>
      <c r="Q2224" s="927">
        <f t="shared" si="116"/>
        <v>50000</v>
      </c>
    </row>
    <row r="2225" spans="1:17" ht="26.25">
      <c r="A2225" s="928">
        <v>47</v>
      </c>
      <c r="B2225" s="944" t="s">
        <v>2780</v>
      </c>
      <c r="C2225" s="969" t="s">
        <v>2784</v>
      </c>
      <c r="D2225" s="951" t="s">
        <v>37</v>
      </c>
      <c r="E2225" s="944">
        <v>1</v>
      </c>
      <c r="F2225" s="944">
        <v>50000</v>
      </c>
      <c r="G2225" s="944">
        <v>1</v>
      </c>
      <c r="H2225" s="944"/>
      <c r="I2225" s="945"/>
      <c r="J2225" s="945"/>
      <c r="K2225" s="945"/>
      <c r="L2225" s="945"/>
      <c r="M2225" s="946"/>
      <c r="N2225" s="946"/>
      <c r="O2225" s="945"/>
      <c r="P2225" s="945"/>
      <c r="Q2225" s="927">
        <f t="shared" si="116"/>
        <v>50000</v>
      </c>
    </row>
    <row r="2226" spans="1:17">
      <c r="A2226" s="928">
        <v>48</v>
      </c>
      <c r="B2226" s="944" t="s">
        <v>2785</v>
      </c>
      <c r="C2226" s="969" t="s">
        <v>2786</v>
      </c>
      <c r="D2226" s="945" t="s">
        <v>195</v>
      </c>
      <c r="E2226" s="970">
        <v>400</v>
      </c>
      <c r="F2226" s="944">
        <v>60</v>
      </c>
      <c r="G2226" s="970">
        <v>600</v>
      </c>
      <c r="H2226" s="970"/>
      <c r="I2226" s="945"/>
      <c r="J2226" s="945"/>
      <c r="K2226" s="945"/>
      <c r="L2226" s="945"/>
      <c r="M2226" s="946"/>
      <c r="N2226" s="946"/>
      <c r="O2226" s="945"/>
      <c r="P2226" s="945"/>
      <c r="Q2226" s="971">
        <f t="shared" si="116"/>
        <v>24000</v>
      </c>
    </row>
    <row r="2227" spans="1:17">
      <c r="A2227" s="928">
        <v>49</v>
      </c>
      <c r="B2227" s="944" t="s">
        <v>2787</v>
      </c>
      <c r="C2227" s="969" t="s">
        <v>2788</v>
      </c>
      <c r="D2227" s="951" t="s">
        <v>195</v>
      </c>
      <c r="E2227" s="944">
        <v>127.4</v>
      </c>
      <c r="F2227" s="944">
        <v>50</v>
      </c>
      <c r="G2227" s="944">
        <v>127.4</v>
      </c>
      <c r="H2227" s="944"/>
      <c r="I2227" s="945"/>
      <c r="J2227" s="945"/>
      <c r="K2227" s="945"/>
      <c r="L2227" s="945"/>
      <c r="M2227" s="946"/>
      <c r="N2227" s="946"/>
      <c r="O2227" s="945"/>
      <c r="P2227" s="945"/>
      <c r="Q2227" s="927">
        <f t="shared" si="116"/>
        <v>6370</v>
      </c>
    </row>
    <row r="2228" spans="1:17">
      <c r="A2228" s="928">
        <v>50</v>
      </c>
      <c r="B2228" s="959"/>
      <c r="C2228" s="950" t="s">
        <v>2789</v>
      </c>
      <c r="D2228" s="944" t="s">
        <v>37</v>
      </c>
      <c r="E2228" s="944">
        <v>183</v>
      </c>
      <c r="F2228" s="954">
        <v>1109.2</v>
      </c>
      <c r="G2228" s="944">
        <v>183</v>
      </c>
      <c r="H2228" s="944"/>
      <c r="I2228" s="944"/>
      <c r="J2228" s="944"/>
      <c r="K2228" s="944"/>
      <c r="L2228" s="944"/>
      <c r="M2228" s="944"/>
      <c r="N2228" s="944"/>
      <c r="O2228" s="944"/>
      <c r="P2228" s="944"/>
      <c r="Q2228" s="927">
        <f t="shared" si="116"/>
        <v>202983.6</v>
      </c>
    </row>
    <row r="2229" spans="1:17">
      <c r="A2229" s="928">
        <v>51</v>
      </c>
      <c r="B2229" s="959"/>
      <c r="C2229" s="950" t="s">
        <v>2790</v>
      </c>
      <c r="D2229" s="944" t="s">
        <v>1535</v>
      </c>
      <c r="E2229" s="963">
        <v>7755</v>
      </c>
      <c r="F2229" s="954">
        <v>50</v>
      </c>
      <c r="G2229" s="944">
        <v>7755</v>
      </c>
      <c r="H2229" s="944"/>
      <c r="I2229" s="944"/>
      <c r="J2229" s="944"/>
      <c r="K2229" s="944"/>
      <c r="L2229" s="944"/>
      <c r="M2229" s="944"/>
      <c r="N2229" s="944"/>
      <c r="O2229" s="944"/>
      <c r="P2229" s="944"/>
      <c r="Q2229" s="971">
        <f>+F2229*E2229</f>
        <v>387750</v>
      </c>
    </row>
    <row r="2230" spans="1:17" ht="38.25">
      <c r="A2230" s="928">
        <v>52</v>
      </c>
      <c r="B2230" s="959"/>
      <c r="C2230" s="941" t="s">
        <v>2791</v>
      </c>
      <c r="D2230" s="944" t="s">
        <v>324</v>
      </c>
      <c r="E2230" s="963">
        <v>0</v>
      </c>
      <c r="F2230" s="944">
        <v>50</v>
      </c>
      <c r="G2230" s="944">
        <v>0</v>
      </c>
      <c r="H2230" s="944"/>
      <c r="I2230" s="944"/>
      <c r="J2230" s="944"/>
      <c r="K2230" s="944"/>
      <c r="L2230" s="944"/>
      <c r="M2230" s="944"/>
      <c r="N2230" s="944"/>
      <c r="O2230" s="944"/>
      <c r="P2230" s="944"/>
      <c r="Q2230" s="927">
        <f t="shared" si="116"/>
        <v>0</v>
      </c>
    </row>
    <row r="2231" spans="1:17" ht="25.5">
      <c r="A2231" s="928">
        <v>53</v>
      </c>
      <c r="B2231" s="959"/>
      <c r="C2231" s="941" t="s">
        <v>2792</v>
      </c>
      <c r="D2231" s="944" t="s">
        <v>949</v>
      </c>
      <c r="E2231" s="687">
        <v>1</v>
      </c>
      <c r="F2231" s="944">
        <v>15000</v>
      </c>
      <c r="G2231" s="687">
        <v>1</v>
      </c>
      <c r="H2231" s="687"/>
      <c r="I2231" s="944"/>
      <c r="J2231" s="944"/>
      <c r="K2231" s="944"/>
      <c r="L2231" s="944"/>
      <c r="M2231" s="944"/>
      <c r="N2231" s="944"/>
      <c r="O2231" s="944"/>
      <c r="P2231" s="944"/>
      <c r="Q2231" s="927">
        <f t="shared" si="116"/>
        <v>15000</v>
      </c>
    </row>
    <row r="2232" spans="1:17" ht="26.25">
      <c r="A2232" s="928">
        <v>54</v>
      </c>
      <c r="B2232" s="959"/>
      <c r="C2232" s="972" t="s">
        <v>2793</v>
      </c>
      <c r="D2232" s="944" t="s">
        <v>949</v>
      </c>
      <c r="E2232" s="687">
        <v>1</v>
      </c>
      <c r="F2232" s="944">
        <v>15000</v>
      </c>
      <c r="G2232" s="687">
        <v>1</v>
      </c>
      <c r="H2232" s="687"/>
      <c r="I2232" s="944"/>
      <c r="J2232" s="944"/>
      <c r="K2232" s="944"/>
      <c r="L2232" s="944"/>
      <c r="M2232" s="944"/>
      <c r="N2232" s="944"/>
      <c r="O2232" s="944"/>
      <c r="P2232" s="944"/>
      <c r="Q2232" s="927">
        <f t="shared" si="116"/>
        <v>15000</v>
      </c>
    </row>
    <row r="2233" spans="1:17" ht="25.5">
      <c r="A2233" s="928">
        <v>55</v>
      </c>
      <c r="B2233" s="959"/>
      <c r="C2233" s="941" t="s">
        <v>2794</v>
      </c>
      <c r="D2233" s="944" t="s">
        <v>40</v>
      </c>
      <c r="E2233" s="687">
        <v>1</v>
      </c>
      <c r="F2233" s="944">
        <v>10000</v>
      </c>
      <c r="G2233" s="687">
        <v>1</v>
      </c>
      <c r="H2233" s="687"/>
      <c r="I2233" s="944"/>
      <c r="J2233" s="944"/>
      <c r="K2233" s="944"/>
      <c r="L2233" s="944"/>
      <c r="M2233" s="944"/>
      <c r="N2233" s="944"/>
      <c r="O2233" s="944"/>
      <c r="P2233" s="944"/>
      <c r="Q2233" s="927">
        <f t="shared" si="116"/>
        <v>10000</v>
      </c>
    </row>
    <row r="2234" spans="1:17" ht="25.5">
      <c r="A2234" s="928">
        <v>56</v>
      </c>
      <c r="B2234" s="959"/>
      <c r="C2234" s="941" t="s">
        <v>2795</v>
      </c>
      <c r="D2234" s="944" t="s">
        <v>40</v>
      </c>
      <c r="E2234" s="687">
        <v>1</v>
      </c>
      <c r="F2234" s="944">
        <v>10000</v>
      </c>
      <c r="G2234" s="687">
        <v>1</v>
      </c>
      <c r="H2234" s="687"/>
      <c r="I2234" s="944"/>
      <c r="J2234" s="944"/>
      <c r="K2234" s="944"/>
      <c r="L2234" s="944"/>
      <c r="M2234" s="944"/>
      <c r="N2234" s="944"/>
      <c r="O2234" s="944"/>
      <c r="P2234" s="944"/>
      <c r="Q2234" s="927">
        <f t="shared" si="116"/>
        <v>10000</v>
      </c>
    </row>
    <row r="2235" spans="1:17">
      <c r="A2235" s="928">
        <v>57</v>
      </c>
      <c r="B2235" s="959"/>
      <c r="C2235" s="941" t="s">
        <v>2796</v>
      </c>
      <c r="D2235" s="944" t="s">
        <v>949</v>
      </c>
      <c r="E2235" s="687">
        <v>1</v>
      </c>
      <c r="F2235" s="944">
        <v>15000</v>
      </c>
      <c r="G2235" s="687">
        <v>1</v>
      </c>
      <c r="H2235" s="687"/>
      <c r="I2235" s="944"/>
      <c r="J2235" s="944"/>
      <c r="K2235" s="944"/>
      <c r="L2235" s="944"/>
      <c r="M2235" s="944"/>
      <c r="N2235" s="944"/>
      <c r="O2235" s="944"/>
      <c r="P2235" s="944"/>
      <c r="Q2235" s="927">
        <f t="shared" si="116"/>
        <v>15000</v>
      </c>
    </row>
    <row r="2236" spans="1:17">
      <c r="A2236" s="928">
        <v>58</v>
      </c>
      <c r="B2236" s="959"/>
      <c r="C2236" s="941" t="s">
        <v>2797</v>
      </c>
      <c r="D2236" s="944" t="s">
        <v>949</v>
      </c>
      <c r="E2236" s="687">
        <v>5</v>
      </c>
      <c r="F2236" s="944">
        <v>30</v>
      </c>
      <c r="G2236" s="687">
        <v>5</v>
      </c>
      <c r="H2236" s="687"/>
      <c r="I2236" s="944"/>
      <c r="J2236" s="944"/>
      <c r="K2236" s="944"/>
      <c r="L2236" s="944"/>
      <c r="M2236" s="944"/>
      <c r="N2236" s="944"/>
      <c r="O2236" s="944"/>
      <c r="P2236" s="944"/>
      <c r="Q2236" s="927">
        <f t="shared" si="116"/>
        <v>150</v>
      </c>
    </row>
    <row r="2237" spans="1:17">
      <c r="A2237" s="928">
        <v>59</v>
      </c>
      <c r="B2237" s="959"/>
      <c r="C2237" s="941" t="s">
        <v>2798</v>
      </c>
      <c r="D2237" s="944" t="s">
        <v>2799</v>
      </c>
      <c r="E2237" s="687">
        <v>300</v>
      </c>
      <c r="F2237" s="944">
        <v>40</v>
      </c>
      <c r="G2237" s="687">
        <v>300</v>
      </c>
      <c r="H2237" s="687"/>
      <c r="I2237" s="944"/>
      <c r="J2237" s="944"/>
      <c r="K2237" s="944"/>
      <c r="L2237" s="944"/>
      <c r="M2237" s="944"/>
      <c r="N2237" s="944"/>
      <c r="O2237" s="944"/>
      <c r="P2237" s="944"/>
      <c r="Q2237" s="927">
        <f t="shared" si="116"/>
        <v>12000</v>
      </c>
    </row>
    <row r="2238" spans="1:17">
      <c r="A2238" s="928">
        <v>60</v>
      </c>
      <c r="B2238" s="959"/>
      <c r="C2238" s="941" t="s">
        <v>2800</v>
      </c>
      <c r="D2238" s="944" t="s">
        <v>40</v>
      </c>
      <c r="E2238" s="687">
        <v>13</v>
      </c>
      <c r="F2238" s="944">
        <v>200</v>
      </c>
      <c r="G2238" s="687">
        <v>13</v>
      </c>
      <c r="H2238" s="687"/>
      <c r="I2238" s="944"/>
      <c r="J2238" s="944"/>
      <c r="K2238" s="944"/>
      <c r="L2238" s="944"/>
      <c r="M2238" s="944"/>
      <c r="N2238" s="944"/>
      <c r="O2238" s="944"/>
      <c r="P2238" s="944"/>
      <c r="Q2238" s="927">
        <f t="shared" si="116"/>
        <v>2600</v>
      </c>
    </row>
    <row r="2239" spans="1:17" ht="25.5">
      <c r="A2239" s="928">
        <v>61</v>
      </c>
      <c r="B2239" s="959"/>
      <c r="C2239" s="941" t="s">
        <v>2801</v>
      </c>
      <c r="D2239" s="944" t="s">
        <v>40</v>
      </c>
      <c r="E2239" s="687">
        <v>6</v>
      </c>
      <c r="F2239" s="944">
        <v>300</v>
      </c>
      <c r="G2239" s="687">
        <v>6</v>
      </c>
      <c r="H2239" s="687"/>
      <c r="I2239" s="944"/>
      <c r="J2239" s="944"/>
      <c r="K2239" s="944"/>
      <c r="L2239" s="944"/>
      <c r="M2239" s="944"/>
      <c r="N2239" s="944"/>
      <c r="O2239" s="944"/>
      <c r="P2239" s="944"/>
      <c r="Q2239" s="927">
        <f t="shared" si="116"/>
        <v>1800</v>
      </c>
    </row>
    <row r="2240" spans="1:17">
      <c r="A2240" s="928">
        <v>62</v>
      </c>
      <c r="B2240" s="959"/>
      <c r="C2240" s="941" t="s">
        <v>2802</v>
      </c>
      <c r="D2240" s="944" t="s">
        <v>2803</v>
      </c>
      <c r="E2240" s="687">
        <v>4</v>
      </c>
      <c r="F2240" s="944">
        <v>50</v>
      </c>
      <c r="G2240" s="687">
        <v>4</v>
      </c>
      <c r="H2240" s="687"/>
      <c r="I2240" s="944"/>
      <c r="J2240" s="944"/>
      <c r="K2240" s="944"/>
      <c r="L2240" s="944"/>
      <c r="M2240" s="944"/>
      <c r="N2240" s="944"/>
      <c r="O2240" s="944"/>
      <c r="P2240" s="944"/>
      <c r="Q2240" s="927">
        <f t="shared" si="116"/>
        <v>200</v>
      </c>
    </row>
    <row r="2241" spans="1:17">
      <c r="A2241" s="928">
        <v>63</v>
      </c>
      <c r="B2241" s="959"/>
      <c r="C2241" s="941" t="s">
        <v>2804</v>
      </c>
      <c r="D2241" s="944" t="s">
        <v>2799</v>
      </c>
      <c r="E2241" s="687">
        <v>5</v>
      </c>
      <c r="F2241" s="944">
        <v>50</v>
      </c>
      <c r="G2241" s="687">
        <v>5</v>
      </c>
      <c r="H2241" s="687"/>
      <c r="I2241" s="944"/>
      <c r="J2241" s="944"/>
      <c r="K2241" s="944"/>
      <c r="L2241" s="944"/>
      <c r="M2241" s="944"/>
      <c r="N2241" s="944"/>
      <c r="O2241" s="944"/>
      <c r="P2241" s="944"/>
      <c r="Q2241" s="927">
        <f t="shared" si="116"/>
        <v>250</v>
      </c>
    </row>
    <row r="2242" spans="1:17">
      <c r="A2242" s="928">
        <v>64</v>
      </c>
      <c r="B2242" s="959"/>
      <c r="C2242" s="941" t="s">
        <v>2805</v>
      </c>
      <c r="D2242" s="944" t="s">
        <v>37</v>
      </c>
      <c r="E2242" s="687">
        <v>2</v>
      </c>
      <c r="F2242" s="944">
        <v>20</v>
      </c>
      <c r="G2242" s="687">
        <v>2</v>
      </c>
      <c r="H2242" s="687"/>
      <c r="I2242" s="944"/>
      <c r="J2242" s="944"/>
      <c r="K2242" s="944"/>
      <c r="L2242" s="944"/>
      <c r="M2242" s="944"/>
      <c r="N2242" s="944"/>
      <c r="O2242" s="944"/>
      <c r="P2242" s="944"/>
      <c r="Q2242" s="927">
        <f t="shared" si="116"/>
        <v>40</v>
      </c>
    </row>
    <row r="2243" spans="1:17">
      <c r="A2243" s="928">
        <v>65</v>
      </c>
      <c r="B2243" s="959"/>
      <c r="C2243" s="941" t="s">
        <v>2806</v>
      </c>
      <c r="D2243" s="944" t="s">
        <v>37</v>
      </c>
      <c r="E2243" s="687">
        <v>3</v>
      </c>
      <c r="F2243" s="944">
        <v>20</v>
      </c>
      <c r="G2243" s="687">
        <v>3</v>
      </c>
      <c r="H2243" s="687"/>
      <c r="I2243" s="944"/>
      <c r="J2243" s="944"/>
      <c r="K2243" s="944"/>
      <c r="L2243" s="944"/>
      <c r="M2243" s="944"/>
      <c r="N2243" s="944"/>
      <c r="O2243" s="944"/>
      <c r="P2243" s="944"/>
      <c r="Q2243" s="927">
        <f t="shared" ref="Q2243:Q2273" si="119">+F2243*E2243</f>
        <v>60</v>
      </c>
    </row>
    <row r="2244" spans="1:17">
      <c r="A2244" s="928">
        <v>66</v>
      </c>
      <c r="B2244" s="959"/>
      <c r="C2244" s="941" t="s">
        <v>2807</v>
      </c>
      <c r="D2244" s="944" t="s">
        <v>2803</v>
      </c>
      <c r="E2244" s="687">
        <v>4</v>
      </c>
      <c r="F2244" s="944">
        <v>20</v>
      </c>
      <c r="G2244" s="687">
        <v>4</v>
      </c>
      <c r="H2244" s="687"/>
      <c r="I2244" s="944"/>
      <c r="J2244" s="944"/>
      <c r="K2244" s="944"/>
      <c r="L2244" s="944"/>
      <c r="M2244" s="944"/>
      <c r="N2244" s="944"/>
      <c r="O2244" s="944"/>
      <c r="P2244" s="944"/>
      <c r="Q2244" s="927">
        <f t="shared" si="119"/>
        <v>80</v>
      </c>
    </row>
    <row r="2245" spans="1:17">
      <c r="A2245" s="928">
        <v>67</v>
      </c>
      <c r="B2245" s="959"/>
      <c r="C2245" s="941" t="s">
        <v>2808</v>
      </c>
      <c r="D2245" s="944" t="s">
        <v>2803</v>
      </c>
      <c r="E2245" s="687">
        <v>20</v>
      </c>
      <c r="F2245" s="944">
        <v>20</v>
      </c>
      <c r="G2245" s="687">
        <v>20</v>
      </c>
      <c r="H2245" s="687"/>
      <c r="I2245" s="944"/>
      <c r="J2245" s="944"/>
      <c r="K2245" s="944"/>
      <c r="L2245" s="944"/>
      <c r="M2245" s="944"/>
      <c r="N2245" s="944"/>
      <c r="O2245" s="944"/>
      <c r="P2245" s="944"/>
      <c r="Q2245" s="927">
        <f t="shared" si="119"/>
        <v>400</v>
      </c>
    </row>
    <row r="2246" spans="1:17">
      <c r="A2246" s="928">
        <v>68</v>
      </c>
      <c r="B2246" s="959"/>
      <c r="C2246" s="941" t="s">
        <v>2809</v>
      </c>
      <c r="D2246" s="944" t="s">
        <v>949</v>
      </c>
      <c r="E2246" s="687">
        <v>6</v>
      </c>
      <c r="F2246" s="944">
        <v>10</v>
      </c>
      <c r="G2246" s="687">
        <v>6</v>
      </c>
      <c r="H2246" s="687"/>
      <c r="I2246" s="944"/>
      <c r="J2246" s="944"/>
      <c r="K2246" s="944"/>
      <c r="L2246" s="944"/>
      <c r="M2246" s="944"/>
      <c r="N2246" s="944"/>
      <c r="O2246" s="944"/>
      <c r="P2246" s="944"/>
      <c r="Q2246" s="927">
        <f t="shared" si="119"/>
        <v>60</v>
      </c>
    </row>
    <row r="2247" spans="1:17">
      <c r="A2247" s="928">
        <v>69</v>
      </c>
      <c r="B2247" s="959"/>
      <c r="C2247" s="941" t="s">
        <v>2810</v>
      </c>
      <c r="D2247" s="944" t="s">
        <v>2803</v>
      </c>
      <c r="E2247" s="687">
        <v>2</v>
      </c>
      <c r="F2247" s="944">
        <v>10</v>
      </c>
      <c r="G2247" s="687">
        <v>2</v>
      </c>
      <c r="H2247" s="687"/>
      <c r="I2247" s="944"/>
      <c r="J2247" s="944"/>
      <c r="K2247" s="944"/>
      <c r="L2247" s="944"/>
      <c r="M2247" s="944"/>
      <c r="N2247" s="944"/>
      <c r="O2247" s="944"/>
      <c r="P2247" s="944"/>
      <c r="Q2247" s="927">
        <f t="shared" si="119"/>
        <v>20</v>
      </c>
    </row>
    <row r="2248" spans="1:17">
      <c r="A2248" s="928">
        <v>70</v>
      </c>
      <c r="B2248" s="959"/>
      <c r="C2248" s="941" t="s">
        <v>2811</v>
      </c>
      <c r="D2248" s="944" t="s">
        <v>2803</v>
      </c>
      <c r="E2248" s="687">
        <v>2</v>
      </c>
      <c r="F2248" s="944">
        <v>5</v>
      </c>
      <c r="G2248" s="687">
        <v>2</v>
      </c>
      <c r="H2248" s="687"/>
      <c r="I2248" s="944"/>
      <c r="J2248" s="944"/>
      <c r="K2248" s="944"/>
      <c r="L2248" s="944"/>
      <c r="M2248" s="944"/>
      <c r="N2248" s="944"/>
      <c r="O2248" s="944"/>
      <c r="P2248" s="944"/>
      <c r="Q2248" s="927">
        <f t="shared" si="119"/>
        <v>10</v>
      </c>
    </row>
    <row r="2249" spans="1:17">
      <c r="A2249" s="928">
        <v>71</v>
      </c>
      <c r="B2249" s="959"/>
      <c r="C2249" s="941" t="s">
        <v>2812</v>
      </c>
      <c r="D2249" s="944" t="s">
        <v>37</v>
      </c>
      <c r="E2249" s="687">
        <v>40</v>
      </c>
      <c r="F2249" s="944">
        <v>50</v>
      </c>
      <c r="G2249" s="687">
        <v>40</v>
      </c>
      <c r="H2249" s="687"/>
      <c r="I2249" s="944"/>
      <c r="J2249" s="944"/>
      <c r="K2249" s="944"/>
      <c r="L2249" s="944"/>
      <c r="M2249" s="944"/>
      <c r="N2249" s="944"/>
      <c r="O2249" s="944"/>
      <c r="P2249" s="944"/>
      <c r="Q2249" s="927">
        <f t="shared" si="119"/>
        <v>2000</v>
      </c>
    </row>
    <row r="2250" spans="1:17">
      <c r="A2250" s="928">
        <v>72</v>
      </c>
      <c r="B2250" s="959"/>
      <c r="C2250" s="941" t="s">
        <v>2813</v>
      </c>
      <c r="D2250" s="944" t="s">
        <v>2803</v>
      </c>
      <c r="E2250" s="687">
        <v>1</v>
      </c>
      <c r="F2250" s="944">
        <v>150</v>
      </c>
      <c r="G2250" s="687">
        <v>1</v>
      </c>
      <c r="H2250" s="687"/>
      <c r="I2250" s="944"/>
      <c r="J2250" s="944"/>
      <c r="K2250" s="944"/>
      <c r="L2250" s="944"/>
      <c r="M2250" s="944"/>
      <c r="N2250" s="944"/>
      <c r="O2250" s="944"/>
      <c r="P2250" s="944"/>
      <c r="Q2250" s="927">
        <f t="shared" si="119"/>
        <v>150</v>
      </c>
    </row>
    <row r="2251" spans="1:17">
      <c r="A2251" s="928">
        <v>73</v>
      </c>
      <c r="B2251" s="959"/>
      <c r="C2251" s="941" t="s">
        <v>2814</v>
      </c>
      <c r="D2251" s="944" t="s">
        <v>37</v>
      </c>
      <c r="E2251" s="973">
        <v>0</v>
      </c>
      <c r="F2251" s="944">
        <v>5</v>
      </c>
      <c r="G2251" s="687">
        <v>0</v>
      </c>
      <c r="H2251" s="687"/>
      <c r="I2251" s="944"/>
      <c r="J2251" s="944"/>
      <c r="K2251" s="944"/>
      <c r="L2251" s="944"/>
      <c r="M2251" s="944"/>
      <c r="N2251" s="944"/>
      <c r="O2251" s="944"/>
      <c r="P2251" s="944"/>
      <c r="Q2251" s="927">
        <f t="shared" si="119"/>
        <v>0</v>
      </c>
    </row>
    <row r="2252" spans="1:17">
      <c r="A2252" s="928">
        <v>74</v>
      </c>
      <c r="B2252" s="959"/>
      <c r="C2252" s="941" t="s">
        <v>2815</v>
      </c>
      <c r="D2252" s="944" t="s">
        <v>2803</v>
      </c>
      <c r="E2252" s="687">
        <v>16</v>
      </c>
      <c r="F2252" s="944">
        <v>30</v>
      </c>
      <c r="G2252" s="687">
        <v>16</v>
      </c>
      <c r="H2252" s="687"/>
      <c r="I2252" s="944"/>
      <c r="J2252" s="944"/>
      <c r="K2252" s="944"/>
      <c r="L2252" s="944"/>
      <c r="M2252" s="944"/>
      <c r="N2252" s="944"/>
      <c r="O2252" s="944"/>
      <c r="P2252" s="944"/>
      <c r="Q2252" s="927">
        <f t="shared" si="119"/>
        <v>480</v>
      </c>
    </row>
    <row r="2253" spans="1:17" ht="25.5">
      <c r="A2253" s="928">
        <v>75</v>
      </c>
      <c r="B2253" s="34" t="s">
        <v>378</v>
      </c>
      <c r="C2253" s="941" t="s">
        <v>2816</v>
      </c>
      <c r="D2253" s="944" t="s">
        <v>324</v>
      </c>
      <c r="E2253" s="687">
        <v>640</v>
      </c>
      <c r="F2253" s="944">
        <v>50</v>
      </c>
      <c r="G2253" s="687">
        <v>640</v>
      </c>
      <c r="H2253" s="687"/>
      <c r="I2253" s="944"/>
      <c r="J2253" s="944"/>
      <c r="K2253" s="944"/>
      <c r="L2253" s="944"/>
      <c r="M2253" s="944"/>
      <c r="N2253" s="944"/>
      <c r="O2253" s="944"/>
      <c r="P2253" s="944"/>
      <c r="Q2253" s="927">
        <f t="shared" si="119"/>
        <v>32000</v>
      </c>
    </row>
    <row r="2254" spans="1:17">
      <c r="A2254" s="928">
        <v>76</v>
      </c>
      <c r="B2254" s="959"/>
      <c r="C2254" s="941" t="s">
        <v>2817</v>
      </c>
      <c r="D2254" s="944" t="s">
        <v>2803</v>
      </c>
      <c r="E2254" s="687">
        <v>5</v>
      </c>
      <c r="F2254" s="944">
        <v>50</v>
      </c>
      <c r="G2254" s="687">
        <v>5</v>
      </c>
      <c r="H2254" s="687"/>
      <c r="I2254" s="944"/>
      <c r="J2254" s="944"/>
      <c r="K2254" s="944"/>
      <c r="L2254" s="944"/>
      <c r="M2254" s="944"/>
      <c r="N2254" s="944"/>
      <c r="O2254" s="944"/>
      <c r="P2254" s="944"/>
      <c r="Q2254" s="927">
        <f t="shared" si="119"/>
        <v>250</v>
      </c>
    </row>
    <row r="2255" spans="1:17">
      <c r="A2255" s="928">
        <v>77</v>
      </c>
      <c r="B2255" s="959"/>
      <c r="C2255" s="941" t="s">
        <v>2818</v>
      </c>
      <c r="D2255" s="944" t="s">
        <v>2803</v>
      </c>
      <c r="E2255" s="687">
        <v>6</v>
      </c>
      <c r="F2255" s="944">
        <v>50</v>
      </c>
      <c r="G2255" s="687">
        <v>6</v>
      </c>
      <c r="H2255" s="687"/>
      <c r="I2255" s="944"/>
      <c r="J2255" s="944"/>
      <c r="K2255" s="944"/>
      <c r="L2255" s="944"/>
      <c r="M2255" s="944"/>
      <c r="N2255" s="944"/>
      <c r="O2255" s="944"/>
      <c r="P2255" s="944"/>
      <c r="Q2255" s="927">
        <f t="shared" si="119"/>
        <v>300</v>
      </c>
    </row>
    <row r="2256" spans="1:17">
      <c r="A2256" s="928">
        <v>78</v>
      </c>
      <c r="B2256" s="959"/>
      <c r="C2256" s="941" t="s">
        <v>2819</v>
      </c>
      <c r="D2256" s="944" t="s">
        <v>786</v>
      </c>
      <c r="E2256" s="687">
        <v>30</v>
      </c>
      <c r="F2256" s="944">
        <v>50</v>
      </c>
      <c r="G2256" s="687">
        <v>30</v>
      </c>
      <c r="H2256" s="687"/>
      <c r="I2256" s="944"/>
      <c r="J2256" s="944"/>
      <c r="K2256" s="944"/>
      <c r="L2256" s="944"/>
      <c r="M2256" s="944"/>
      <c r="N2256" s="944"/>
      <c r="O2256" s="944"/>
      <c r="P2256" s="944"/>
      <c r="Q2256" s="927">
        <f t="shared" si="119"/>
        <v>1500</v>
      </c>
    </row>
    <row r="2257" spans="1:17">
      <c r="A2257" s="928">
        <v>79</v>
      </c>
      <c r="B2257" s="959"/>
      <c r="C2257" s="974" t="s">
        <v>1139</v>
      </c>
      <c r="D2257" s="975" t="s">
        <v>195</v>
      </c>
      <c r="E2257" s="973">
        <v>10</v>
      </c>
      <c r="F2257" s="975">
        <v>5823.3</v>
      </c>
      <c r="G2257" s="963">
        <v>10</v>
      </c>
      <c r="H2257" s="944"/>
      <c r="I2257" s="945"/>
      <c r="J2257" s="945"/>
      <c r="K2257" s="945"/>
      <c r="L2257" s="945"/>
      <c r="M2257" s="946"/>
      <c r="N2257" s="946"/>
      <c r="O2257" s="945"/>
      <c r="P2257" s="944"/>
      <c r="Q2257" s="927">
        <f t="shared" si="119"/>
        <v>58233</v>
      </c>
    </row>
    <row r="2258" spans="1:17">
      <c r="A2258" s="928">
        <v>80</v>
      </c>
      <c r="B2258" s="959"/>
      <c r="C2258" s="941" t="s">
        <v>2820</v>
      </c>
      <c r="D2258" s="944" t="s">
        <v>62</v>
      </c>
      <c r="E2258" s="687">
        <v>3</v>
      </c>
      <c r="F2258" s="944">
        <v>1000</v>
      </c>
      <c r="G2258" s="687">
        <v>3</v>
      </c>
      <c r="H2258" s="687"/>
      <c r="I2258" s="944"/>
      <c r="J2258" s="944"/>
      <c r="K2258" s="944"/>
      <c r="L2258" s="944"/>
      <c r="M2258" s="944"/>
      <c r="N2258" s="944"/>
      <c r="O2258" s="944"/>
      <c r="P2258" s="944"/>
      <c r="Q2258" s="927">
        <f t="shared" si="119"/>
        <v>3000</v>
      </c>
    </row>
    <row r="2259" spans="1:17">
      <c r="A2259" s="928">
        <v>81</v>
      </c>
      <c r="B2259" s="34" t="s">
        <v>2821</v>
      </c>
      <c r="C2259" s="941" t="s">
        <v>2822</v>
      </c>
      <c r="D2259" s="944" t="s">
        <v>62</v>
      </c>
      <c r="E2259" s="687">
        <v>2</v>
      </c>
      <c r="F2259" s="944">
        <v>100</v>
      </c>
      <c r="G2259" s="687">
        <v>2</v>
      </c>
      <c r="H2259" s="687"/>
      <c r="I2259" s="944"/>
      <c r="J2259" s="944"/>
      <c r="K2259" s="944"/>
      <c r="L2259" s="944"/>
      <c r="M2259" s="944"/>
      <c r="N2259" s="944"/>
      <c r="O2259" s="944"/>
      <c r="P2259" s="944"/>
      <c r="Q2259" s="927">
        <f t="shared" si="119"/>
        <v>200</v>
      </c>
    </row>
    <row r="2260" spans="1:17">
      <c r="A2260" s="928">
        <v>82</v>
      </c>
      <c r="B2260" s="959"/>
      <c r="C2260" s="974" t="s">
        <v>2823</v>
      </c>
      <c r="D2260" s="975" t="s">
        <v>193</v>
      </c>
      <c r="E2260" s="687">
        <v>3</v>
      </c>
      <c r="F2260" s="944"/>
      <c r="G2260" s="687">
        <v>3</v>
      </c>
      <c r="H2260" s="687"/>
      <c r="I2260" s="944"/>
      <c r="J2260" s="944"/>
      <c r="K2260" s="944"/>
      <c r="L2260" s="944"/>
      <c r="M2260" s="944"/>
      <c r="N2260" s="944"/>
      <c r="O2260" s="944"/>
      <c r="P2260" s="944"/>
      <c r="Q2260" s="927">
        <f t="shared" si="119"/>
        <v>0</v>
      </c>
    </row>
    <row r="2261" spans="1:17">
      <c r="A2261" s="928">
        <v>83</v>
      </c>
      <c r="B2261" s="959"/>
      <c r="C2261" s="974" t="s">
        <v>2824</v>
      </c>
      <c r="D2261" s="975" t="s">
        <v>193</v>
      </c>
      <c r="E2261" s="687">
        <v>1</v>
      </c>
      <c r="F2261" s="944">
        <v>50000</v>
      </c>
      <c r="G2261" s="687">
        <v>1</v>
      </c>
      <c r="H2261" s="687"/>
      <c r="I2261" s="944"/>
      <c r="J2261" s="944"/>
      <c r="K2261" s="944"/>
      <c r="L2261" s="944"/>
      <c r="M2261" s="944"/>
      <c r="N2261" s="944"/>
      <c r="O2261" s="944"/>
      <c r="P2261" s="944"/>
      <c r="Q2261" s="927">
        <f t="shared" si="119"/>
        <v>50000</v>
      </c>
    </row>
    <row r="2262" spans="1:17">
      <c r="A2262" s="928">
        <v>84</v>
      </c>
      <c r="B2262" s="940" t="s">
        <v>2825</v>
      </c>
      <c r="C2262" s="976" t="s">
        <v>2826</v>
      </c>
      <c r="D2262" s="975" t="s">
        <v>193</v>
      </c>
      <c r="E2262" s="977">
        <v>2</v>
      </c>
      <c r="F2262" s="975">
        <v>5000</v>
      </c>
      <c r="G2262" s="944">
        <v>2</v>
      </c>
      <c r="H2262" s="944"/>
      <c r="I2262" s="945"/>
      <c r="J2262" s="945"/>
      <c r="K2262" s="945"/>
      <c r="L2262" s="945"/>
      <c r="M2262" s="946"/>
      <c r="N2262" s="946"/>
      <c r="O2262" s="945"/>
      <c r="P2262" s="945"/>
      <c r="Q2262" s="927">
        <f t="shared" si="119"/>
        <v>10000</v>
      </c>
    </row>
    <row r="2263" spans="1:17" ht="39">
      <c r="A2263" s="928">
        <v>85</v>
      </c>
      <c r="B2263" s="940"/>
      <c r="C2263" s="978" t="s">
        <v>2827</v>
      </c>
      <c r="D2263" s="975" t="s">
        <v>193</v>
      </c>
      <c r="E2263" s="977">
        <v>4</v>
      </c>
      <c r="F2263" s="979">
        <v>2004.82</v>
      </c>
      <c r="G2263" s="977">
        <v>4</v>
      </c>
      <c r="H2263" s="944"/>
      <c r="I2263" s="945"/>
      <c r="J2263" s="945"/>
      <c r="K2263" s="945"/>
      <c r="L2263" s="945"/>
      <c r="M2263" s="946"/>
      <c r="N2263" s="946"/>
      <c r="O2263" s="945"/>
      <c r="P2263" s="945"/>
      <c r="Q2263" s="927">
        <f t="shared" si="119"/>
        <v>8019.28</v>
      </c>
    </row>
    <row r="2264" spans="1:17" ht="39">
      <c r="A2264" s="928">
        <v>86</v>
      </c>
      <c r="B2264" s="940"/>
      <c r="C2264" s="978" t="s">
        <v>2828</v>
      </c>
      <c r="D2264" s="975" t="s">
        <v>193</v>
      </c>
      <c r="E2264" s="977">
        <v>4</v>
      </c>
      <c r="F2264" s="980">
        <v>2004.82</v>
      </c>
      <c r="G2264" s="977">
        <v>4</v>
      </c>
      <c r="H2264" s="944"/>
      <c r="I2264" s="945"/>
      <c r="J2264" s="945"/>
      <c r="K2264" s="945"/>
      <c r="L2264" s="945"/>
      <c r="M2264" s="946"/>
      <c r="N2264" s="946"/>
      <c r="O2264" s="945"/>
      <c r="P2264" s="945"/>
      <c r="Q2264" s="927">
        <f t="shared" si="119"/>
        <v>8019.28</v>
      </c>
    </row>
    <row r="2265" spans="1:17" ht="26.25">
      <c r="A2265" s="928">
        <v>87</v>
      </c>
      <c r="B2265" s="940"/>
      <c r="C2265" s="978" t="s">
        <v>2829</v>
      </c>
      <c r="D2265" s="975" t="s">
        <v>193</v>
      </c>
      <c r="E2265" s="977">
        <v>7</v>
      </c>
      <c r="F2265" s="979">
        <v>2004.82</v>
      </c>
      <c r="G2265" s="977">
        <v>7</v>
      </c>
      <c r="H2265" s="944"/>
      <c r="I2265" s="945"/>
      <c r="J2265" s="945"/>
      <c r="K2265" s="945"/>
      <c r="L2265" s="945"/>
      <c r="M2265" s="946"/>
      <c r="N2265" s="946"/>
      <c r="O2265" s="945"/>
      <c r="P2265" s="945"/>
      <c r="Q2265" s="927">
        <f t="shared" si="119"/>
        <v>14033.74</v>
      </c>
    </row>
    <row r="2266" spans="1:17" ht="26.25">
      <c r="A2266" s="928">
        <v>88</v>
      </c>
      <c r="B2266" s="940"/>
      <c r="C2266" s="978" t="s">
        <v>2830</v>
      </c>
      <c r="D2266" s="975" t="s">
        <v>193</v>
      </c>
      <c r="E2266" s="977">
        <v>2</v>
      </c>
      <c r="F2266" s="979">
        <v>3702.84</v>
      </c>
      <c r="G2266" s="977">
        <v>2</v>
      </c>
      <c r="H2266" s="944"/>
      <c r="I2266" s="945"/>
      <c r="J2266" s="945"/>
      <c r="K2266" s="945"/>
      <c r="L2266" s="945"/>
      <c r="M2266" s="946"/>
      <c r="N2266" s="946"/>
      <c r="O2266" s="945"/>
      <c r="P2266" s="945"/>
      <c r="Q2266" s="927">
        <f t="shared" si="119"/>
        <v>7405.68</v>
      </c>
    </row>
    <row r="2267" spans="1:17" ht="26.25">
      <c r="A2267" s="928">
        <v>89</v>
      </c>
      <c r="B2267" s="940"/>
      <c r="C2267" s="978" t="s">
        <v>2831</v>
      </c>
      <c r="D2267" s="975" t="s">
        <v>193</v>
      </c>
      <c r="E2267" s="977">
        <v>2</v>
      </c>
      <c r="F2267" s="981">
        <v>2929.94</v>
      </c>
      <c r="G2267" s="977">
        <v>2</v>
      </c>
      <c r="H2267" s="944"/>
      <c r="I2267" s="945"/>
      <c r="J2267" s="945"/>
      <c r="K2267" s="945"/>
      <c r="L2267" s="945"/>
      <c r="M2267" s="946"/>
      <c r="N2267" s="946"/>
      <c r="O2267" s="945"/>
      <c r="P2267" s="945"/>
      <c r="Q2267" s="927">
        <f t="shared" si="119"/>
        <v>5859.88</v>
      </c>
    </row>
    <row r="2268" spans="1:17" ht="26.25">
      <c r="A2268" s="928">
        <v>90</v>
      </c>
      <c r="B2268" s="940"/>
      <c r="C2268" s="978" t="s">
        <v>2832</v>
      </c>
      <c r="D2268" s="975" t="s">
        <v>193</v>
      </c>
      <c r="E2268" s="977">
        <v>4</v>
      </c>
      <c r="F2268" s="979">
        <v>1436.06</v>
      </c>
      <c r="G2268" s="977">
        <v>4</v>
      </c>
      <c r="H2268" s="944"/>
      <c r="I2268" s="945"/>
      <c r="J2268" s="945"/>
      <c r="K2268" s="945"/>
      <c r="L2268" s="945"/>
      <c r="M2268" s="946"/>
      <c r="N2268" s="946"/>
      <c r="O2268" s="945"/>
      <c r="P2268" s="945"/>
      <c r="Q2268" s="927">
        <f t="shared" si="119"/>
        <v>5744.24</v>
      </c>
    </row>
    <row r="2269" spans="1:17" ht="26.25">
      <c r="A2269" s="928">
        <v>91</v>
      </c>
      <c r="B2269" s="940"/>
      <c r="C2269" s="978" t="s">
        <v>2833</v>
      </c>
      <c r="D2269" s="975" t="s">
        <v>193</v>
      </c>
      <c r="E2269" s="977">
        <v>4</v>
      </c>
      <c r="F2269" s="979">
        <v>1391.22</v>
      </c>
      <c r="G2269" s="977">
        <v>4</v>
      </c>
      <c r="H2269" s="944"/>
      <c r="I2269" s="945"/>
      <c r="J2269" s="945"/>
      <c r="K2269" s="945"/>
      <c r="L2269" s="945"/>
      <c r="M2269" s="946"/>
      <c r="N2269" s="946"/>
      <c r="O2269" s="945"/>
      <c r="P2269" s="945"/>
      <c r="Q2269" s="927">
        <f t="shared" si="119"/>
        <v>5564.88</v>
      </c>
    </row>
    <row r="2270" spans="1:17" ht="26.25">
      <c r="A2270" s="928">
        <v>92</v>
      </c>
      <c r="B2270" s="940"/>
      <c r="C2270" s="978" t="s">
        <v>2834</v>
      </c>
      <c r="D2270" s="975" t="s">
        <v>193</v>
      </c>
      <c r="E2270" s="977">
        <v>4</v>
      </c>
      <c r="F2270" s="979">
        <v>1346.38</v>
      </c>
      <c r="G2270" s="977">
        <v>4</v>
      </c>
      <c r="H2270" s="944"/>
      <c r="I2270" s="945"/>
      <c r="J2270" s="945"/>
      <c r="K2270" s="945"/>
      <c r="L2270" s="945"/>
      <c r="M2270" s="946"/>
      <c r="N2270" s="946"/>
      <c r="O2270" s="945"/>
      <c r="P2270" s="945"/>
      <c r="Q2270" s="927">
        <f t="shared" si="119"/>
        <v>5385.52</v>
      </c>
    </row>
    <row r="2271" spans="1:17" ht="26.25">
      <c r="A2271" s="928">
        <v>93</v>
      </c>
      <c r="B2271" s="940"/>
      <c r="C2271" s="978" t="s">
        <v>2835</v>
      </c>
      <c r="D2271" s="975" t="s">
        <v>193</v>
      </c>
      <c r="E2271" s="977">
        <v>20</v>
      </c>
      <c r="F2271" s="979">
        <v>1436.06</v>
      </c>
      <c r="G2271" s="977">
        <v>20</v>
      </c>
      <c r="H2271" s="944"/>
      <c r="I2271" s="945"/>
      <c r="J2271" s="945"/>
      <c r="K2271" s="945"/>
      <c r="L2271" s="945"/>
      <c r="M2271" s="946"/>
      <c r="N2271" s="946"/>
      <c r="O2271" s="945"/>
      <c r="P2271" s="945"/>
      <c r="Q2271" s="927">
        <f t="shared" si="119"/>
        <v>28721.199999999997</v>
      </c>
    </row>
    <row r="2272" spans="1:17" ht="26.25">
      <c r="A2272" s="928">
        <v>94</v>
      </c>
      <c r="B2272" s="940"/>
      <c r="C2272" s="978" t="s">
        <v>2836</v>
      </c>
      <c r="D2272" s="975" t="s">
        <v>193</v>
      </c>
      <c r="E2272" s="977">
        <v>10</v>
      </c>
      <c r="F2272" s="979">
        <v>1436.06</v>
      </c>
      <c r="G2272" s="977">
        <v>10</v>
      </c>
      <c r="H2272" s="944"/>
      <c r="I2272" s="945"/>
      <c r="J2272" s="945"/>
      <c r="K2272" s="945"/>
      <c r="L2272" s="945"/>
      <c r="M2272" s="946"/>
      <c r="N2272" s="946"/>
      <c r="O2272" s="945"/>
      <c r="P2272" s="945"/>
      <c r="Q2272" s="927">
        <f t="shared" si="119"/>
        <v>14360.599999999999</v>
      </c>
    </row>
    <row r="2273" spans="1:17" ht="26.25">
      <c r="A2273" s="928">
        <v>95</v>
      </c>
      <c r="B2273" s="940"/>
      <c r="C2273" s="969" t="s">
        <v>2837</v>
      </c>
      <c r="D2273" s="975" t="s">
        <v>193</v>
      </c>
      <c r="E2273" s="977">
        <v>10</v>
      </c>
      <c r="F2273" s="979">
        <v>1436.06</v>
      </c>
      <c r="G2273" s="977">
        <v>10</v>
      </c>
      <c r="H2273" s="944"/>
      <c r="I2273" s="945"/>
      <c r="J2273" s="945"/>
      <c r="K2273" s="945"/>
      <c r="L2273" s="945"/>
      <c r="M2273" s="946"/>
      <c r="N2273" s="946"/>
      <c r="O2273" s="945"/>
      <c r="P2273" s="945"/>
      <c r="Q2273" s="927">
        <f t="shared" si="119"/>
        <v>14360.599999999999</v>
      </c>
    </row>
    <row r="2274" spans="1:17">
      <c r="A2274" s="928"/>
      <c r="B2274" s="940"/>
      <c r="C2274" s="982"/>
      <c r="D2274" s="975"/>
      <c r="E2274" s="977"/>
      <c r="F2274" s="983"/>
      <c r="G2274" s="944"/>
      <c r="H2274" s="944"/>
      <c r="I2274" s="945"/>
      <c r="J2274" s="945"/>
      <c r="K2274" s="945"/>
      <c r="L2274" s="945"/>
      <c r="M2274" s="946"/>
      <c r="N2274" s="946"/>
      <c r="O2274" s="945"/>
      <c r="P2274" s="945"/>
      <c r="Q2274" s="927"/>
    </row>
    <row r="2275" spans="1:17">
      <c r="A2275" s="928"/>
      <c r="B2275" s="940"/>
      <c r="D2275" s="975"/>
      <c r="E2275" s="977"/>
      <c r="F2275" s="975"/>
      <c r="G2275" s="944"/>
      <c r="H2275" s="944"/>
      <c r="I2275" s="945"/>
      <c r="J2275" s="945"/>
      <c r="K2275" s="945"/>
      <c r="L2275" s="945"/>
      <c r="M2275" s="946"/>
      <c r="N2275" s="946"/>
      <c r="O2275" s="945"/>
      <c r="P2275" s="945"/>
      <c r="Q2275" s="927"/>
    </row>
    <row r="2276" spans="1:17">
      <c r="A2276" s="984"/>
      <c r="B2276" s="985"/>
      <c r="C2276" s="984"/>
      <c r="D2276" s="984"/>
      <c r="E2276" s="1141" t="s">
        <v>2838</v>
      </c>
      <c r="F2276" s="1142"/>
      <c r="G2276" s="1142"/>
      <c r="H2276" s="1142"/>
      <c r="I2276" s="1142"/>
      <c r="J2276" s="1142"/>
      <c r="K2276" s="1142"/>
      <c r="L2276" s="1142"/>
      <c r="M2276" s="1143"/>
      <c r="N2276" s="986"/>
      <c r="O2276" s="987"/>
      <c r="P2276" s="988"/>
      <c r="Q2276" s="989">
        <f>SUM(Q2210:Q2275)</f>
        <v>1291961.5</v>
      </c>
    </row>
    <row r="2277" spans="1:17">
      <c r="A2277" s="990"/>
      <c r="B2277" s="991"/>
      <c r="C2277" s="992"/>
      <c r="D2277" s="990"/>
      <c r="E2277" s="993"/>
      <c r="F2277" s="993"/>
      <c r="G2277" s="990"/>
      <c r="H2277" s="990"/>
      <c r="I2277" s="990"/>
      <c r="J2277" s="990"/>
      <c r="K2277" s="990"/>
      <c r="L2277" s="990"/>
      <c r="M2277" s="990"/>
      <c r="N2277" s="990"/>
      <c r="O2277" s="993"/>
      <c r="P2277" s="990"/>
      <c r="Q2277" s="994"/>
    </row>
    <row r="2278" spans="1:17">
      <c r="A2278" s="1144" t="s">
        <v>2839</v>
      </c>
      <c r="B2278" s="1144"/>
      <c r="C2278" s="1144"/>
      <c r="D2278" s="990"/>
      <c r="E2278" s="993"/>
      <c r="F2278" s="993"/>
      <c r="G2278" s="990"/>
      <c r="H2278" s="990"/>
      <c r="I2278" s="990"/>
      <c r="J2278" s="990"/>
      <c r="K2278" s="990"/>
      <c r="L2278" s="990"/>
      <c r="M2278" s="990"/>
      <c r="N2278" s="990"/>
      <c r="O2278" s="993"/>
      <c r="P2278" s="990"/>
      <c r="Q2278" s="994"/>
    </row>
    <row r="2279" spans="1:17" ht="25.5">
      <c r="A2279" s="958">
        <v>1</v>
      </c>
      <c r="C2279" s="941" t="s">
        <v>2840</v>
      </c>
      <c r="D2279" s="951" t="s">
        <v>37</v>
      </c>
      <c r="E2279" s="944">
        <v>6</v>
      </c>
      <c r="F2279" s="944">
        <v>10000</v>
      </c>
      <c r="G2279" s="336">
        <v>6</v>
      </c>
      <c r="H2279" s="34"/>
      <c r="I2279" s="34"/>
      <c r="J2279" s="34"/>
      <c r="K2279" s="34"/>
      <c r="L2279" s="34"/>
      <c r="M2279" s="34"/>
      <c r="N2279" s="34"/>
      <c r="O2279" s="337">
        <v>6</v>
      </c>
      <c r="P2279" s="34"/>
      <c r="Q2279" s="927">
        <f t="shared" ref="Q2279:Q2294" si="120">+F2279*E2279</f>
        <v>60000</v>
      </c>
    </row>
    <row r="2280" spans="1:17" ht="25.5">
      <c r="A2280" s="961">
        <v>2</v>
      </c>
      <c r="B2280" s="940" t="s">
        <v>2354</v>
      </c>
      <c r="C2280" s="941" t="s">
        <v>2841</v>
      </c>
      <c r="D2280" s="944" t="s">
        <v>37</v>
      </c>
      <c r="E2280" s="944">
        <v>5</v>
      </c>
      <c r="F2280" s="944">
        <v>15000</v>
      </c>
      <c r="G2280" s="944">
        <v>5</v>
      </c>
      <c r="H2280" s="944"/>
      <c r="I2280" s="945"/>
      <c r="J2280" s="945"/>
      <c r="K2280" s="945"/>
      <c r="L2280" s="945"/>
      <c r="M2280" s="946"/>
      <c r="N2280" s="946"/>
      <c r="O2280" s="945"/>
      <c r="P2280" s="945"/>
      <c r="Q2280" s="927">
        <f t="shared" si="120"/>
        <v>75000</v>
      </c>
    </row>
    <row r="2281" spans="1:17" ht="25.5">
      <c r="A2281" s="958">
        <v>3</v>
      </c>
      <c r="B2281" s="944" t="s">
        <v>1958</v>
      </c>
      <c r="C2281" s="941" t="s">
        <v>2842</v>
      </c>
      <c r="D2281" s="944" t="s">
        <v>37</v>
      </c>
      <c r="E2281" s="944">
        <v>11</v>
      </c>
      <c r="F2281" s="944">
        <v>10000</v>
      </c>
      <c r="G2281" s="944">
        <v>11</v>
      </c>
      <c r="H2281" s="944"/>
      <c r="I2281" s="945"/>
      <c r="J2281" s="945"/>
      <c r="K2281" s="945"/>
      <c r="L2281" s="945"/>
      <c r="M2281" s="946"/>
      <c r="N2281" s="946"/>
      <c r="O2281" s="945"/>
      <c r="P2281" s="945"/>
      <c r="Q2281" s="927">
        <f t="shared" si="120"/>
        <v>110000</v>
      </c>
    </row>
    <row r="2282" spans="1:17" ht="26.25">
      <c r="A2282" s="961">
        <v>4</v>
      </c>
      <c r="B2282" s="944" t="s">
        <v>2843</v>
      </c>
      <c r="C2282" s="969" t="s">
        <v>2844</v>
      </c>
      <c r="D2282" s="944" t="s">
        <v>37</v>
      </c>
      <c r="E2282" s="944">
        <v>18</v>
      </c>
      <c r="F2282" s="944">
        <v>100000</v>
      </c>
      <c r="G2282" s="944">
        <v>18</v>
      </c>
      <c r="H2282" s="944"/>
      <c r="I2282" s="945"/>
      <c r="J2282" s="945"/>
      <c r="K2282" s="945"/>
      <c r="L2282" s="945"/>
      <c r="M2282" s="946"/>
      <c r="N2282" s="946"/>
      <c r="O2282" s="945"/>
      <c r="P2282" s="945"/>
      <c r="Q2282" s="927">
        <f t="shared" si="120"/>
        <v>1800000</v>
      </c>
    </row>
    <row r="2283" spans="1:17" ht="26.25">
      <c r="A2283" s="958">
        <v>5</v>
      </c>
      <c r="B2283" s="944" t="s">
        <v>1657</v>
      </c>
      <c r="C2283" s="969" t="s">
        <v>2845</v>
      </c>
      <c r="D2283" s="951" t="s">
        <v>37</v>
      </c>
      <c r="E2283" s="944">
        <v>9</v>
      </c>
      <c r="F2283" s="944">
        <v>100000</v>
      </c>
      <c r="G2283" s="944">
        <v>9</v>
      </c>
      <c r="H2283" s="944"/>
      <c r="I2283" s="945"/>
      <c r="J2283" s="945"/>
      <c r="K2283" s="945"/>
      <c r="L2283" s="945"/>
      <c r="M2283" s="946"/>
      <c r="N2283" s="946"/>
      <c r="O2283" s="945"/>
      <c r="P2283" s="945"/>
      <c r="Q2283" s="927">
        <f t="shared" si="120"/>
        <v>900000</v>
      </c>
    </row>
    <row r="2284" spans="1:17" ht="25.5">
      <c r="A2284" s="961">
        <v>6</v>
      </c>
      <c r="B2284" s="944" t="s">
        <v>2846</v>
      </c>
      <c r="C2284" s="941" t="s">
        <v>2847</v>
      </c>
      <c r="D2284" s="944" t="s">
        <v>37</v>
      </c>
      <c r="E2284" s="944">
        <v>6</v>
      </c>
      <c r="F2284" s="944">
        <v>10000</v>
      </c>
      <c r="G2284" s="944">
        <v>6</v>
      </c>
      <c r="H2284" s="944"/>
      <c r="I2284" s="945"/>
      <c r="J2284" s="945"/>
      <c r="K2284" s="945"/>
      <c r="L2284" s="945"/>
      <c r="M2284" s="946"/>
      <c r="N2284" s="946"/>
      <c r="O2284" s="945"/>
      <c r="P2284" s="945"/>
      <c r="Q2284" s="927">
        <f t="shared" si="120"/>
        <v>60000</v>
      </c>
    </row>
    <row r="2285" spans="1:17">
      <c r="A2285" s="958">
        <v>7</v>
      </c>
      <c r="B2285" s="34" t="s">
        <v>2730</v>
      </c>
      <c r="C2285" s="950" t="s">
        <v>2848</v>
      </c>
      <c r="D2285" s="945" t="s">
        <v>37</v>
      </c>
      <c r="E2285" s="945">
        <v>2</v>
      </c>
      <c r="F2285" s="927">
        <v>2000</v>
      </c>
      <c r="G2285" s="945"/>
      <c r="H2285" s="945"/>
      <c r="I2285" s="945"/>
      <c r="J2285" s="945"/>
      <c r="K2285" s="945"/>
      <c r="L2285" s="945"/>
      <c r="M2285" s="945"/>
      <c r="N2285" s="945"/>
      <c r="O2285" s="944">
        <v>2</v>
      </c>
      <c r="P2285" s="944"/>
      <c r="Q2285" s="927">
        <f t="shared" si="120"/>
        <v>4000</v>
      </c>
    </row>
    <row r="2286" spans="1:17">
      <c r="A2286" s="961">
        <v>8</v>
      </c>
      <c r="B2286" s="959"/>
      <c r="C2286" s="950" t="s">
        <v>2849</v>
      </c>
      <c r="D2286" s="944" t="s">
        <v>37</v>
      </c>
      <c r="E2286" s="944">
        <v>1</v>
      </c>
      <c r="F2286" s="954">
        <v>354000</v>
      </c>
      <c r="G2286" s="944"/>
      <c r="H2286" s="944"/>
      <c r="I2286" s="944">
        <v>1</v>
      </c>
      <c r="J2286" s="944"/>
      <c r="K2286" s="944"/>
      <c r="L2286" s="944"/>
      <c r="M2286" s="944"/>
      <c r="N2286" s="944"/>
      <c r="O2286" s="944"/>
      <c r="P2286" s="944"/>
      <c r="Q2286" s="927">
        <f t="shared" si="120"/>
        <v>354000</v>
      </c>
    </row>
    <row r="2287" spans="1:17" ht="25.5">
      <c r="A2287" s="958">
        <v>9</v>
      </c>
      <c r="B2287" s="959"/>
      <c r="C2287" s="950" t="s">
        <v>2850</v>
      </c>
      <c r="D2287" s="944" t="s">
        <v>37</v>
      </c>
      <c r="E2287" s="944">
        <v>1</v>
      </c>
      <c r="F2287" s="954">
        <v>224200</v>
      </c>
      <c r="G2287" s="944"/>
      <c r="H2287" s="944"/>
      <c r="I2287" s="944">
        <v>1</v>
      </c>
      <c r="J2287" s="944"/>
      <c r="K2287" s="944"/>
      <c r="L2287" s="944"/>
      <c r="M2287" s="944"/>
      <c r="N2287" s="944"/>
      <c r="O2287" s="944"/>
      <c r="P2287" s="944"/>
      <c r="Q2287" s="927">
        <f t="shared" si="120"/>
        <v>224200</v>
      </c>
    </row>
    <row r="2288" spans="1:17" ht="25.5">
      <c r="A2288" s="961">
        <v>10</v>
      </c>
      <c r="B2288" s="34" t="s">
        <v>659</v>
      </c>
      <c r="C2288" s="950" t="s">
        <v>2851</v>
      </c>
      <c r="D2288" s="944" t="s">
        <v>37</v>
      </c>
      <c r="E2288" s="944">
        <v>2</v>
      </c>
      <c r="F2288" s="954">
        <v>212400</v>
      </c>
      <c r="G2288" s="944"/>
      <c r="H2288" s="944"/>
      <c r="I2288" s="944">
        <v>2</v>
      </c>
      <c r="J2288" s="944"/>
      <c r="K2288" s="944"/>
      <c r="L2288" s="944"/>
      <c r="M2288" s="944"/>
      <c r="N2288" s="944"/>
      <c r="O2288" s="944"/>
      <c r="P2288" s="944"/>
      <c r="Q2288" s="927">
        <f t="shared" si="120"/>
        <v>424800</v>
      </c>
    </row>
    <row r="2289" spans="1:17" ht="25.5">
      <c r="A2289" s="958">
        <v>11</v>
      </c>
      <c r="B2289" s="34" t="s">
        <v>740</v>
      </c>
      <c r="C2289" s="950" t="s">
        <v>2852</v>
      </c>
      <c r="D2289" s="944" t="s">
        <v>37</v>
      </c>
      <c r="E2289" s="944">
        <v>1</v>
      </c>
      <c r="F2289" s="954">
        <v>212400</v>
      </c>
      <c r="G2289" s="944"/>
      <c r="H2289" s="944"/>
      <c r="I2289" s="944">
        <v>1</v>
      </c>
      <c r="J2289" s="944"/>
      <c r="K2289" s="944"/>
      <c r="L2289" s="944"/>
      <c r="M2289" s="944"/>
      <c r="N2289" s="944"/>
      <c r="O2289" s="944"/>
      <c r="P2289" s="944"/>
      <c r="Q2289" s="927">
        <f t="shared" si="120"/>
        <v>212400</v>
      </c>
    </row>
    <row r="2290" spans="1:17" ht="25.5">
      <c r="A2290" s="961">
        <v>12</v>
      </c>
      <c r="B2290" s="34" t="s">
        <v>1657</v>
      </c>
      <c r="C2290" s="950" t="s">
        <v>2853</v>
      </c>
      <c r="D2290" s="944" t="s">
        <v>37</v>
      </c>
      <c r="E2290" s="944">
        <v>1</v>
      </c>
      <c r="F2290" s="954">
        <v>212400</v>
      </c>
      <c r="G2290" s="944">
        <v>1</v>
      </c>
      <c r="H2290" s="944"/>
      <c r="I2290" s="944"/>
      <c r="J2290" s="944"/>
      <c r="K2290" s="944"/>
      <c r="L2290" s="944"/>
      <c r="M2290" s="944"/>
      <c r="N2290" s="944"/>
      <c r="O2290" s="944"/>
      <c r="P2290" s="944"/>
      <c r="Q2290" s="927">
        <f t="shared" si="120"/>
        <v>212400</v>
      </c>
    </row>
    <row r="2291" spans="1:17" ht="25.5">
      <c r="A2291" s="958">
        <v>13</v>
      </c>
      <c r="B2291" s="34"/>
      <c r="C2291" s="941" t="s">
        <v>2854</v>
      </c>
      <c r="D2291" s="944" t="s">
        <v>2855</v>
      </c>
      <c r="E2291" s="995">
        <v>1</v>
      </c>
      <c r="F2291" s="944">
        <v>200000</v>
      </c>
      <c r="G2291" s="687">
        <v>1</v>
      </c>
      <c r="H2291" s="687"/>
      <c r="I2291" s="944"/>
      <c r="J2291" s="944"/>
      <c r="K2291" s="944"/>
      <c r="L2291" s="944"/>
      <c r="M2291" s="944"/>
      <c r="N2291" s="944"/>
      <c r="O2291" s="944"/>
      <c r="P2291" s="944"/>
      <c r="Q2291" s="927">
        <f t="shared" si="120"/>
        <v>200000</v>
      </c>
    </row>
    <row r="2292" spans="1:17" ht="25.5">
      <c r="A2292" s="961">
        <v>14</v>
      </c>
      <c r="B2292" s="34" t="s">
        <v>2856</v>
      </c>
      <c r="C2292" s="941" t="s">
        <v>2857</v>
      </c>
      <c r="D2292" s="944" t="s">
        <v>949</v>
      </c>
      <c r="E2292" s="995">
        <v>1</v>
      </c>
      <c r="F2292" s="944">
        <v>200000</v>
      </c>
      <c r="G2292" s="687">
        <v>1</v>
      </c>
      <c r="H2292" s="687"/>
      <c r="I2292" s="944"/>
      <c r="J2292" s="944"/>
      <c r="K2292" s="944"/>
      <c r="L2292" s="944"/>
      <c r="M2292" s="944"/>
      <c r="N2292" s="944"/>
      <c r="O2292" s="944"/>
      <c r="P2292" s="944"/>
      <c r="Q2292" s="927">
        <f t="shared" si="120"/>
        <v>200000</v>
      </c>
    </row>
    <row r="2293" spans="1:17">
      <c r="A2293" s="958">
        <v>15</v>
      </c>
      <c r="B2293" s="959"/>
      <c r="C2293" s="941" t="s">
        <v>2858</v>
      </c>
      <c r="D2293" s="944" t="s">
        <v>62</v>
      </c>
      <c r="E2293" s="687">
        <v>6</v>
      </c>
      <c r="F2293" s="944">
        <v>3000</v>
      </c>
      <c r="G2293" s="687">
        <v>6</v>
      </c>
      <c r="H2293" s="687"/>
      <c r="I2293" s="944"/>
      <c r="J2293" s="944"/>
      <c r="K2293" s="944"/>
      <c r="L2293" s="944"/>
      <c r="M2293" s="944"/>
      <c r="N2293" s="944"/>
      <c r="O2293" s="944"/>
      <c r="P2293" s="944"/>
      <c r="Q2293" s="927">
        <f t="shared" si="120"/>
        <v>18000</v>
      </c>
    </row>
    <row r="2294" spans="1:17" ht="25.5">
      <c r="A2294" s="961">
        <v>16</v>
      </c>
      <c r="B2294" s="959"/>
      <c r="C2294" s="941" t="s">
        <v>2859</v>
      </c>
      <c r="D2294" s="944" t="s">
        <v>62</v>
      </c>
      <c r="E2294" s="687">
        <v>2</v>
      </c>
      <c r="F2294" s="944">
        <v>5000</v>
      </c>
      <c r="G2294" s="687">
        <v>2</v>
      </c>
      <c r="H2294" s="687"/>
      <c r="I2294" s="944"/>
      <c r="J2294" s="944"/>
      <c r="K2294" s="944"/>
      <c r="L2294" s="944"/>
      <c r="M2294" s="944"/>
      <c r="N2294" s="944"/>
      <c r="O2294" s="944"/>
      <c r="P2294" s="944"/>
      <c r="Q2294" s="927">
        <f t="shared" si="120"/>
        <v>10000</v>
      </c>
    </row>
    <row r="2295" spans="1:17">
      <c r="A2295" s="958"/>
      <c r="B2295" s="959"/>
      <c r="H2295" s="687"/>
      <c r="I2295" s="944"/>
      <c r="J2295" s="944"/>
      <c r="K2295" s="944"/>
      <c r="L2295" s="944"/>
      <c r="M2295" s="944"/>
      <c r="N2295" s="944"/>
      <c r="O2295" s="944"/>
      <c r="P2295" s="944"/>
      <c r="Q2295" s="927"/>
    </row>
    <row r="2296" spans="1:17">
      <c r="A2296" s="1119"/>
      <c r="B2296" s="1120"/>
      <c r="C2296" s="1120"/>
      <c r="D2296" s="1120"/>
      <c r="E2296" s="1121"/>
      <c r="F2296" s="1122" t="s">
        <v>2860</v>
      </c>
      <c r="G2296" s="1123"/>
      <c r="H2296" s="1123"/>
      <c r="I2296" s="1123"/>
      <c r="J2296" s="1123"/>
      <c r="K2296" s="1123"/>
      <c r="L2296" s="1123"/>
      <c r="M2296" s="1124"/>
      <c r="N2296" s="996"/>
      <c r="O2296" s="997"/>
      <c r="P2296" s="998"/>
      <c r="Q2296" s="999">
        <f>SUM(Q2279:Q2295)</f>
        <v>4864800</v>
      </c>
    </row>
    <row r="2300" spans="1:17" ht="21">
      <c r="A2300" s="1145" t="s">
        <v>2708</v>
      </c>
      <c r="B2300" s="1145"/>
      <c r="C2300" s="1145"/>
      <c r="D2300" s="1145"/>
      <c r="E2300" s="1145"/>
      <c r="F2300" s="1145"/>
      <c r="G2300" s="1145"/>
      <c r="H2300" s="1145"/>
      <c r="I2300" s="1145"/>
      <c r="J2300" s="1145"/>
      <c r="K2300" s="1145"/>
      <c r="L2300" s="915"/>
      <c r="M2300" s="915"/>
      <c r="N2300" s="915"/>
      <c r="O2300" s="915"/>
      <c r="P2300" s="915"/>
      <c r="Q2300" s="915"/>
    </row>
    <row r="2301" spans="1:17" ht="21">
      <c r="A2301" s="1145" t="s">
        <v>2709</v>
      </c>
      <c r="B2301" s="1145"/>
      <c r="C2301" s="1145"/>
      <c r="D2301" s="1145"/>
      <c r="E2301" s="1145"/>
      <c r="F2301" s="1145"/>
      <c r="G2301" s="1145"/>
      <c r="H2301" s="1145"/>
      <c r="I2301" s="1145"/>
      <c r="J2301" s="1145"/>
      <c r="K2301" s="1145"/>
      <c r="L2301" s="915"/>
      <c r="M2301" s="915"/>
      <c r="N2301" s="915"/>
      <c r="O2301" s="915"/>
      <c r="P2301" s="915"/>
      <c r="Q2301" s="915"/>
    </row>
    <row r="2302" spans="1:17" ht="21">
      <c r="A2302" s="1146" t="s">
        <v>2710</v>
      </c>
      <c r="B2302" s="1146"/>
      <c r="C2302" s="1146"/>
      <c r="D2302" s="1146"/>
      <c r="E2302" s="1146"/>
      <c r="F2302" s="1146"/>
      <c r="G2302" s="1146"/>
      <c r="H2302" s="1146"/>
      <c r="I2302" s="1146"/>
      <c r="J2302" s="1146"/>
      <c r="K2302" s="1146"/>
      <c r="L2302" s="915"/>
      <c r="M2302" s="915"/>
      <c r="N2302" s="915"/>
      <c r="O2302" s="915"/>
      <c r="P2302" s="915"/>
      <c r="Q2302" s="915"/>
    </row>
    <row r="2303" spans="1:17">
      <c r="A2303" s="1126" t="s">
        <v>2861</v>
      </c>
      <c r="B2303" s="1127"/>
      <c r="C2303" s="1127"/>
      <c r="D2303" s="1127"/>
      <c r="E2303" s="916"/>
      <c r="F2303" s="917"/>
      <c r="G2303" s="917"/>
      <c r="H2303" s="917"/>
      <c r="I2303" s="917"/>
      <c r="J2303" s="917"/>
      <c r="K2303" s="917"/>
      <c r="L2303" s="917"/>
      <c r="M2303" s="917"/>
      <c r="N2303" s="917"/>
      <c r="O2303" s="918"/>
      <c r="P2303" s="917"/>
      <c r="Q2303" s="917"/>
    </row>
    <row r="2304" spans="1:17" ht="15.75">
      <c r="A2304" s="1128" t="s">
        <v>2712</v>
      </c>
      <c r="B2304" s="1000" t="s">
        <v>110</v>
      </c>
      <c r="C2304" s="1001"/>
      <c r="D2304" s="1130" t="s">
        <v>1830</v>
      </c>
      <c r="E2304" s="1130" t="s">
        <v>112</v>
      </c>
      <c r="F2304" s="1130" t="s">
        <v>1832</v>
      </c>
      <c r="G2304" s="1132" t="s">
        <v>114</v>
      </c>
      <c r="H2304" s="1132"/>
      <c r="I2304" s="1133" t="s">
        <v>1833</v>
      </c>
      <c r="J2304" s="1113"/>
      <c r="K2304" s="1134" t="s">
        <v>1306</v>
      </c>
      <c r="L2304" s="1134"/>
      <c r="M2304" s="1134" t="s">
        <v>2714</v>
      </c>
      <c r="N2304" s="1134"/>
      <c r="O2304" s="1112" t="s">
        <v>2715</v>
      </c>
      <c r="P2304" s="1113"/>
      <c r="Q2304" s="1114" t="s">
        <v>2716</v>
      </c>
    </row>
    <row r="2305" spans="1:17" ht="30">
      <c r="A2305" s="1129"/>
      <c r="B2305" s="1002"/>
      <c r="C2305" s="1003"/>
      <c r="D2305" s="1131"/>
      <c r="E2305" s="1131"/>
      <c r="F2305" s="1131"/>
      <c r="G2305" s="919" t="s">
        <v>2713</v>
      </c>
      <c r="H2305" s="920" t="s">
        <v>2717</v>
      </c>
      <c r="I2305" s="921" t="s">
        <v>2713</v>
      </c>
      <c r="J2305" s="921" t="s">
        <v>2718</v>
      </c>
      <c r="K2305" s="919" t="s">
        <v>2713</v>
      </c>
      <c r="L2305" s="922" t="s">
        <v>2719</v>
      </c>
      <c r="M2305" s="920" t="s">
        <v>2713</v>
      </c>
      <c r="N2305" s="922" t="s">
        <v>2720</v>
      </c>
      <c r="O2305" s="921" t="s">
        <v>2713</v>
      </c>
      <c r="P2305" s="921" t="s">
        <v>2721</v>
      </c>
      <c r="Q2305" s="1115"/>
    </row>
    <row r="2306" spans="1:17" ht="25.5">
      <c r="A2306" s="961">
        <v>1</v>
      </c>
      <c r="B2306" s="940" t="s">
        <v>2354</v>
      </c>
      <c r="C2306" s="941" t="s">
        <v>2841</v>
      </c>
      <c r="D2306" s="944" t="s">
        <v>37</v>
      </c>
      <c r="E2306" s="944">
        <v>5</v>
      </c>
      <c r="F2306" s="944">
        <v>15000</v>
      </c>
      <c r="G2306" s="944">
        <v>5</v>
      </c>
      <c r="H2306" s="944"/>
      <c r="I2306" s="945"/>
      <c r="J2306" s="945"/>
      <c r="K2306" s="945"/>
      <c r="L2306" s="945"/>
      <c r="M2306" s="946"/>
      <c r="N2306" s="946"/>
      <c r="O2306" s="945"/>
      <c r="P2306" s="945"/>
      <c r="Q2306" s="927">
        <f t="shared" ref="Q2306:Q2323" si="121">+F2306*E2306</f>
        <v>75000</v>
      </c>
    </row>
    <row r="2307" spans="1:17" ht="25.5">
      <c r="A2307" s="958">
        <v>2</v>
      </c>
      <c r="B2307" s="944" t="s">
        <v>1958</v>
      </c>
      <c r="C2307" s="941" t="s">
        <v>2842</v>
      </c>
      <c r="D2307" s="944" t="s">
        <v>37</v>
      </c>
      <c r="E2307" s="944">
        <v>11</v>
      </c>
      <c r="F2307" s="944">
        <v>10000</v>
      </c>
      <c r="G2307" s="944">
        <v>11</v>
      </c>
      <c r="H2307" s="944"/>
      <c r="I2307" s="945"/>
      <c r="J2307" s="945"/>
      <c r="K2307" s="945"/>
      <c r="L2307" s="945"/>
      <c r="M2307" s="946"/>
      <c r="N2307" s="946"/>
      <c r="O2307" s="945"/>
      <c r="P2307" s="945"/>
      <c r="Q2307" s="927">
        <f t="shared" si="121"/>
        <v>110000</v>
      </c>
    </row>
    <row r="2308" spans="1:17" ht="26.25">
      <c r="A2308" s="961">
        <v>3</v>
      </c>
      <c r="B2308" s="944" t="s">
        <v>2843</v>
      </c>
      <c r="C2308" s="969" t="s">
        <v>2862</v>
      </c>
      <c r="D2308" s="944" t="s">
        <v>37</v>
      </c>
      <c r="E2308" s="944">
        <v>18</v>
      </c>
      <c r="F2308" s="944">
        <v>100000</v>
      </c>
      <c r="G2308" s="944">
        <v>18</v>
      </c>
      <c r="H2308" s="944"/>
      <c r="I2308" s="945"/>
      <c r="J2308" s="945"/>
      <c r="K2308" s="945"/>
      <c r="L2308" s="945"/>
      <c r="M2308" s="946"/>
      <c r="N2308" s="946"/>
      <c r="O2308" s="945"/>
      <c r="P2308" s="945"/>
      <c r="Q2308" s="927">
        <f t="shared" si="121"/>
        <v>1800000</v>
      </c>
    </row>
    <row r="2309" spans="1:17" ht="26.25">
      <c r="A2309" s="961">
        <v>4</v>
      </c>
      <c r="B2309" s="944" t="s">
        <v>1657</v>
      </c>
      <c r="C2309" s="969" t="s">
        <v>2845</v>
      </c>
      <c r="D2309" s="951" t="s">
        <v>37</v>
      </c>
      <c r="E2309" s="944">
        <v>9</v>
      </c>
      <c r="F2309" s="944">
        <v>100000</v>
      </c>
      <c r="G2309" s="944">
        <v>9</v>
      </c>
      <c r="H2309" s="944"/>
      <c r="I2309" s="945"/>
      <c r="J2309" s="945"/>
      <c r="K2309" s="945"/>
      <c r="L2309" s="945"/>
      <c r="M2309" s="946"/>
      <c r="N2309" s="946"/>
      <c r="O2309" s="945"/>
      <c r="P2309" s="945"/>
      <c r="Q2309" s="927">
        <f t="shared" si="121"/>
        <v>900000</v>
      </c>
    </row>
    <row r="2310" spans="1:17" ht="25.5">
      <c r="A2310" s="958">
        <v>5</v>
      </c>
      <c r="B2310" s="944" t="s">
        <v>2846</v>
      </c>
      <c r="C2310" s="941" t="s">
        <v>2847</v>
      </c>
      <c r="D2310" s="944" t="s">
        <v>37</v>
      </c>
      <c r="E2310" s="944">
        <v>6</v>
      </c>
      <c r="F2310" s="944">
        <v>10000</v>
      </c>
      <c r="G2310" s="944">
        <v>6</v>
      </c>
      <c r="H2310" s="944"/>
      <c r="I2310" s="945"/>
      <c r="J2310" s="945"/>
      <c r="K2310" s="945"/>
      <c r="L2310" s="945"/>
      <c r="M2310" s="946"/>
      <c r="N2310" s="946"/>
      <c r="O2310" s="945"/>
      <c r="P2310" s="945"/>
      <c r="Q2310" s="927">
        <f t="shared" si="121"/>
        <v>60000</v>
      </c>
    </row>
    <row r="2311" spans="1:17" ht="25.5">
      <c r="A2311" s="961">
        <v>6</v>
      </c>
      <c r="B2311" s="34" t="s">
        <v>1657</v>
      </c>
      <c r="C2311" s="950" t="s">
        <v>2853</v>
      </c>
      <c r="D2311" s="944" t="s">
        <v>37</v>
      </c>
      <c r="E2311" s="944">
        <v>1</v>
      </c>
      <c r="F2311" s="954">
        <v>212400</v>
      </c>
      <c r="G2311" s="944">
        <v>1</v>
      </c>
      <c r="H2311" s="944"/>
      <c r="I2311" s="945"/>
      <c r="J2311" s="945"/>
      <c r="K2311" s="945"/>
      <c r="L2311" s="945"/>
      <c r="M2311" s="946"/>
      <c r="N2311" s="946"/>
      <c r="O2311" s="945"/>
      <c r="P2311" s="945"/>
      <c r="Q2311" s="927">
        <f t="shared" si="121"/>
        <v>212400</v>
      </c>
    </row>
    <row r="2312" spans="1:17" ht="25.5">
      <c r="A2312" s="961">
        <v>7</v>
      </c>
      <c r="B2312" s="34"/>
      <c r="C2312" s="941" t="s">
        <v>2854</v>
      </c>
      <c r="D2312" s="944" t="s">
        <v>2855</v>
      </c>
      <c r="E2312" s="995">
        <v>1</v>
      </c>
      <c r="F2312" s="944">
        <v>200000</v>
      </c>
      <c r="G2312" s="687">
        <v>1</v>
      </c>
      <c r="H2312" s="687"/>
      <c r="I2312" s="945"/>
      <c r="J2312" s="945"/>
      <c r="K2312" s="945"/>
      <c r="L2312" s="945"/>
      <c r="M2312" s="946"/>
      <c r="N2312" s="946"/>
      <c r="O2312" s="945"/>
      <c r="P2312" s="945"/>
      <c r="Q2312" s="927">
        <f t="shared" si="121"/>
        <v>200000</v>
      </c>
    </row>
    <row r="2313" spans="1:17" ht="25.5">
      <c r="A2313" s="958">
        <v>8</v>
      </c>
      <c r="B2313" s="34" t="s">
        <v>2856</v>
      </c>
      <c r="C2313" s="941" t="s">
        <v>2857</v>
      </c>
      <c r="D2313" s="944" t="s">
        <v>949</v>
      </c>
      <c r="E2313" s="995">
        <v>1</v>
      </c>
      <c r="F2313" s="944">
        <v>200000</v>
      </c>
      <c r="G2313" s="687">
        <v>1</v>
      </c>
      <c r="H2313" s="687"/>
      <c r="I2313" s="945"/>
      <c r="J2313" s="945"/>
      <c r="K2313" s="945"/>
      <c r="L2313" s="945"/>
      <c r="M2313" s="946"/>
      <c r="N2313" s="946"/>
      <c r="O2313" s="945"/>
      <c r="P2313" s="945"/>
      <c r="Q2313" s="927">
        <f t="shared" si="121"/>
        <v>200000</v>
      </c>
    </row>
    <row r="2314" spans="1:17">
      <c r="A2314" s="961">
        <v>9</v>
      </c>
      <c r="B2314" s="959"/>
      <c r="C2314" s="941" t="s">
        <v>2858</v>
      </c>
      <c r="D2314" s="944" t="s">
        <v>62</v>
      </c>
      <c r="E2314" s="687">
        <v>6</v>
      </c>
      <c r="F2314" s="944">
        <v>3000</v>
      </c>
      <c r="G2314" s="687">
        <v>6</v>
      </c>
      <c r="H2314" s="687"/>
      <c r="I2314" s="945"/>
      <c r="J2314" s="945"/>
      <c r="K2314" s="945"/>
      <c r="L2314" s="945"/>
      <c r="M2314" s="946"/>
      <c r="N2314" s="946"/>
      <c r="O2314" s="945"/>
      <c r="P2314" s="945"/>
      <c r="Q2314" s="927">
        <f t="shared" si="121"/>
        <v>18000</v>
      </c>
    </row>
    <row r="2315" spans="1:17" ht="25.5">
      <c r="A2315" s="961">
        <v>10</v>
      </c>
      <c r="B2315" s="959"/>
      <c r="C2315" s="941" t="s">
        <v>2859</v>
      </c>
      <c r="D2315" s="944" t="s">
        <v>62</v>
      </c>
      <c r="E2315" s="687">
        <v>2</v>
      </c>
      <c r="F2315" s="944">
        <v>5000</v>
      </c>
      <c r="G2315" s="687">
        <v>2</v>
      </c>
      <c r="H2315" s="687"/>
      <c r="I2315" s="945"/>
      <c r="J2315" s="945"/>
      <c r="K2315" s="945"/>
      <c r="L2315" s="945"/>
      <c r="M2315" s="946"/>
      <c r="N2315" s="946"/>
      <c r="O2315" s="945"/>
      <c r="P2315" s="945"/>
      <c r="Q2315" s="927">
        <f t="shared" si="121"/>
        <v>10000</v>
      </c>
    </row>
    <row r="2316" spans="1:17">
      <c r="A2316" s="961"/>
      <c r="B2316" s="959"/>
      <c r="C2316" s="941"/>
      <c r="D2316" s="944"/>
      <c r="E2316" s="687"/>
      <c r="F2316" s="944"/>
      <c r="G2316" s="687"/>
      <c r="H2316" s="687"/>
      <c r="I2316" s="945"/>
      <c r="J2316" s="945"/>
      <c r="K2316" s="945"/>
      <c r="L2316" s="1116" t="s">
        <v>2863</v>
      </c>
      <c r="M2316" s="1117"/>
      <c r="N2316" s="1117"/>
      <c r="O2316" s="1118"/>
      <c r="P2316" s="945"/>
      <c r="Q2316" s="957">
        <f>SUM(Q2306:Q2315)</f>
        <v>3585400</v>
      </c>
    </row>
    <row r="2317" spans="1:17">
      <c r="A2317" s="958">
        <v>11</v>
      </c>
      <c r="B2317" s="959"/>
      <c r="C2317" s="950" t="s">
        <v>2849</v>
      </c>
      <c r="D2317" s="944" t="s">
        <v>37</v>
      </c>
      <c r="E2317" s="944">
        <v>1</v>
      </c>
      <c r="F2317" s="954">
        <v>354000</v>
      </c>
      <c r="G2317" s="944"/>
      <c r="H2317" s="944"/>
      <c r="I2317" s="944">
        <v>1</v>
      </c>
      <c r="J2317" s="944"/>
      <c r="K2317" s="944"/>
      <c r="L2317" s="944"/>
      <c r="M2317" s="944"/>
      <c r="N2317" s="944"/>
      <c r="O2317" s="944"/>
      <c r="P2317" s="944"/>
      <c r="Q2317" s="927">
        <f t="shared" si="121"/>
        <v>354000</v>
      </c>
    </row>
    <row r="2318" spans="1:17" ht="25.5">
      <c r="A2318" s="961">
        <v>12</v>
      </c>
      <c r="B2318" s="959"/>
      <c r="C2318" s="950" t="s">
        <v>2850</v>
      </c>
      <c r="D2318" s="944" t="s">
        <v>37</v>
      </c>
      <c r="E2318" s="944">
        <v>1</v>
      </c>
      <c r="F2318" s="954">
        <v>224200</v>
      </c>
      <c r="G2318" s="944"/>
      <c r="H2318" s="944"/>
      <c r="I2318" s="944">
        <v>1</v>
      </c>
      <c r="J2318" s="944"/>
      <c r="K2318" s="944"/>
      <c r="L2318" s="944"/>
      <c r="M2318" s="944"/>
      <c r="N2318" s="944"/>
      <c r="O2318" s="944"/>
      <c r="P2318" s="944"/>
      <c r="Q2318" s="927">
        <f t="shared" si="121"/>
        <v>224200</v>
      </c>
    </row>
    <row r="2319" spans="1:17" ht="25.5">
      <c r="A2319" s="961">
        <v>13</v>
      </c>
      <c r="B2319" s="34" t="s">
        <v>659</v>
      </c>
      <c r="C2319" s="950" t="s">
        <v>2851</v>
      </c>
      <c r="D2319" s="944" t="s">
        <v>37</v>
      </c>
      <c r="E2319" s="944">
        <v>2</v>
      </c>
      <c r="F2319" s="954">
        <v>212400</v>
      </c>
      <c r="G2319" s="944"/>
      <c r="H2319" s="944"/>
      <c r="I2319" s="944">
        <v>2</v>
      </c>
      <c r="J2319" s="944"/>
      <c r="K2319" s="944"/>
      <c r="L2319" s="944"/>
      <c r="M2319" s="944"/>
      <c r="N2319" s="944"/>
      <c r="O2319" s="944"/>
      <c r="P2319" s="944"/>
      <c r="Q2319" s="927">
        <f t="shared" si="121"/>
        <v>424800</v>
      </c>
    </row>
    <row r="2320" spans="1:17" ht="25.5">
      <c r="A2320" s="958">
        <v>14</v>
      </c>
      <c r="B2320" s="34" t="s">
        <v>740</v>
      </c>
      <c r="C2320" s="950" t="s">
        <v>2852</v>
      </c>
      <c r="D2320" s="944" t="s">
        <v>37</v>
      </c>
      <c r="E2320" s="944">
        <v>1</v>
      </c>
      <c r="F2320" s="954">
        <v>212400</v>
      </c>
      <c r="G2320" s="944"/>
      <c r="H2320" s="944"/>
      <c r="I2320" s="944">
        <v>1</v>
      </c>
      <c r="J2320" s="944"/>
      <c r="K2320" s="944"/>
      <c r="L2320" s="968"/>
      <c r="M2320" s="968"/>
      <c r="N2320" s="968"/>
      <c r="O2320" s="968"/>
      <c r="P2320" s="944"/>
      <c r="Q2320" s="927">
        <f t="shared" si="121"/>
        <v>212400</v>
      </c>
    </row>
    <row r="2321" spans="1:19">
      <c r="A2321" s="1004"/>
      <c r="B2321" s="34"/>
      <c r="C2321" s="950"/>
      <c r="D2321" s="944"/>
      <c r="E2321" s="944"/>
      <c r="F2321" s="954"/>
      <c r="G2321" s="944"/>
      <c r="H2321" s="944"/>
      <c r="I2321" s="944"/>
      <c r="J2321" s="944"/>
      <c r="K2321" s="944"/>
      <c r="L2321" s="1116" t="s">
        <v>2762</v>
      </c>
      <c r="M2321" s="1117"/>
      <c r="N2321" s="1117"/>
      <c r="O2321" s="1118"/>
      <c r="P2321" s="944"/>
      <c r="Q2321" s="957">
        <f>SUM(Q2317:Q2320)</f>
        <v>1215400</v>
      </c>
    </row>
    <row r="2322" spans="1:19">
      <c r="A2322" s="961">
        <v>15</v>
      </c>
      <c r="B2322" s="34" t="s">
        <v>2730</v>
      </c>
      <c r="C2322" s="950" t="s">
        <v>2848</v>
      </c>
      <c r="D2322" s="945" t="s">
        <v>37</v>
      </c>
      <c r="E2322" s="945">
        <v>2</v>
      </c>
      <c r="F2322" s="927">
        <v>2000</v>
      </c>
      <c r="G2322" s="945"/>
      <c r="H2322" s="945"/>
      <c r="I2322" s="945"/>
      <c r="J2322" s="945"/>
      <c r="K2322" s="945"/>
      <c r="L2322" s="945"/>
      <c r="M2322" s="945"/>
      <c r="N2322" s="945"/>
      <c r="O2322" s="944">
        <v>2</v>
      </c>
      <c r="P2322" s="944"/>
      <c r="Q2322" s="927">
        <f t="shared" si="121"/>
        <v>4000</v>
      </c>
    </row>
    <row r="2323" spans="1:19" ht="25.5">
      <c r="A2323" s="961">
        <v>16</v>
      </c>
      <c r="B2323" s="34"/>
      <c r="C2323" s="941" t="s">
        <v>2840</v>
      </c>
      <c r="D2323" s="951" t="s">
        <v>37</v>
      </c>
      <c r="E2323" s="944">
        <v>6</v>
      </c>
      <c r="F2323" s="944">
        <v>10000</v>
      </c>
      <c r="G2323" s="336"/>
      <c r="H2323" s="34"/>
      <c r="I2323" s="34"/>
      <c r="J2323" s="34"/>
      <c r="K2323" s="34"/>
      <c r="L2323" s="34"/>
      <c r="M2323" s="34"/>
      <c r="N2323" s="34"/>
      <c r="O2323" s="337">
        <v>6</v>
      </c>
      <c r="P2323" s="944"/>
      <c r="Q2323" s="927">
        <f t="shared" si="121"/>
        <v>60000</v>
      </c>
    </row>
    <row r="2324" spans="1:19">
      <c r="A2324" s="1005"/>
      <c r="C2324" s="1006"/>
      <c r="D2324" s="1007"/>
      <c r="E2324" s="1008"/>
      <c r="F2324" s="1009"/>
      <c r="G2324" s="1010"/>
      <c r="H2324" s="1011"/>
      <c r="I2324" s="1011"/>
      <c r="J2324" s="1011"/>
      <c r="K2324" s="1011"/>
      <c r="L2324" s="1116" t="s">
        <v>2864</v>
      </c>
      <c r="M2324" s="1117"/>
      <c r="N2324" s="1117"/>
      <c r="O2324" s="1118"/>
      <c r="P2324" s="944"/>
      <c r="Q2324" s="957">
        <f>SUM(Q2322:Q2323)</f>
        <v>64000</v>
      </c>
    </row>
    <row r="2325" spans="1:19">
      <c r="A2325" s="1119"/>
      <c r="B2325" s="1120"/>
      <c r="C2325" s="1120"/>
      <c r="D2325" s="1120"/>
      <c r="E2325" s="1121"/>
      <c r="F2325" s="1122" t="s">
        <v>2865</v>
      </c>
      <c r="G2325" s="1123"/>
      <c r="H2325" s="1123"/>
      <c r="I2325" s="1123"/>
      <c r="J2325" s="1123"/>
      <c r="K2325" s="1123"/>
      <c r="L2325" s="1123"/>
      <c r="M2325" s="1124"/>
      <c r="N2325" s="996"/>
      <c r="O2325" s="997"/>
      <c r="P2325" s="998"/>
      <c r="Q2325" s="999">
        <f>Q2316+Q2321+Q2324</f>
        <v>4864800</v>
      </c>
    </row>
    <row r="2326" spans="1:19">
      <c r="A2326"/>
    </row>
    <row r="2329" spans="1:19" ht="15.75">
      <c r="A2329" s="1125" t="s">
        <v>2866</v>
      </c>
      <c r="B2329" s="1125"/>
      <c r="C2329" s="1125"/>
      <c r="D2329" s="46"/>
      <c r="E2329" s="46"/>
      <c r="F2329" s="46"/>
      <c r="G2329" s="46"/>
      <c r="H2329" s="46"/>
      <c r="I2329" s="46"/>
      <c r="J2329" s="46"/>
      <c r="K2329" s="46"/>
      <c r="L2329" s="46"/>
      <c r="M2329" s="46"/>
      <c r="N2329" s="46"/>
      <c r="O2329" s="46"/>
      <c r="P2329" s="46"/>
      <c r="Q2329" s="46"/>
      <c r="R2329" s="46"/>
      <c r="S2329" s="46"/>
    </row>
    <row r="2330" spans="1:19" ht="15.75">
      <c r="A2330" s="1125" t="s">
        <v>2867</v>
      </c>
      <c r="B2330" s="1125"/>
      <c r="C2330" s="1125"/>
      <c r="D2330" s="46"/>
      <c r="E2330" s="46"/>
      <c r="F2330" s="46"/>
      <c r="G2330" s="46"/>
      <c r="H2330" s="46"/>
      <c r="I2330" s="46"/>
      <c r="J2330" s="46"/>
      <c r="K2330" s="46"/>
      <c r="L2330" s="46"/>
      <c r="M2330" s="46"/>
      <c r="N2330" s="46"/>
      <c r="O2330" s="46"/>
      <c r="P2330" s="46"/>
      <c r="Q2330" s="46"/>
      <c r="R2330" s="46"/>
      <c r="S2330" s="46"/>
    </row>
    <row r="2331" spans="1:19" ht="31.5">
      <c r="A2331" s="1052" t="s">
        <v>109</v>
      </c>
      <c r="B2331" s="1052" t="s">
        <v>110</v>
      </c>
      <c r="C2331" s="1052" t="s">
        <v>111</v>
      </c>
      <c r="D2331" s="1052" t="s">
        <v>112</v>
      </c>
      <c r="E2331" s="1052" t="s">
        <v>113</v>
      </c>
      <c r="F2331" s="1108" t="s">
        <v>114</v>
      </c>
      <c r="G2331" s="1109"/>
      <c r="H2331" s="1108" t="s">
        <v>115</v>
      </c>
      <c r="I2331" s="1109"/>
      <c r="J2331" s="1108" t="s">
        <v>116</v>
      </c>
      <c r="K2331" s="1109"/>
      <c r="L2331" s="1108" t="s">
        <v>1</v>
      </c>
      <c r="M2331" s="1109"/>
      <c r="N2331" s="1108" t="s">
        <v>0</v>
      </c>
      <c r="O2331" s="1109"/>
      <c r="P2331" s="1110" t="s">
        <v>117</v>
      </c>
      <c r="Q2331" s="46"/>
      <c r="R2331" s="46"/>
      <c r="S2331" s="46"/>
    </row>
    <row r="2332" spans="1:19" ht="47.25">
      <c r="A2332" s="1053"/>
      <c r="B2332" s="1053"/>
      <c r="C2332" s="1053"/>
      <c r="D2332" s="1053"/>
      <c r="E2332" s="1053"/>
      <c r="F2332" s="1052" t="s">
        <v>118</v>
      </c>
      <c r="G2332" s="1052" t="s">
        <v>119</v>
      </c>
      <c r="H2332" s="1052" t="s">
        <v>118</v>
      </c>
      <c r="I2332" s="1052" t="s">
        <v>119</v>
      </c>
      <c r="J2332" s="1052" t="s">
        <v>118</v>
      </c>
      <c r="K2332" s="1052" t="s">
        <v>119</v>
      </c>
      <c r="L2332" s="1052" t="s">
        <v>118</v>
      </c>
      <c r="M2332" s="1052" t="s">
        <v>119</v>
      </c>
      <c r="N2332" s="1052" t="s">
        <v>118</v>
      </c>
      <c r="O2332" s="1052" t="s">
        <v>119</v>
      </c>
      <c r="P2332" s="1110"/>
      <c r="Q2332" s="46"/>
      <c r="R2332" s="46"/>
      <c r="S2332" s="46"/>
    </row>
    <row r="2333" spans="1:19" ht="15.75">
      <c r="A2333" s="1053">
        <v>1</v>
      </c>
      <c r="B2333" s="1054" t="s">
        <v>2868</v>
      </c>
      <c r="C2333" s="1055" t="s">
        <v>2869</v>
      </c>
      <c r="D2333" s="1056" t="s">
        <v>2870</v>
      </c>
      <c r="E2333" s="1057">
        <v>300</v>
      </c>
      <c r="F2333" s="232">
        <v>584</v>
      </c>
      <c r="G2333" s="1052">
        <f t="shared" ref="G2333:G2335" si="122">F2333*E2333</f>
        <v>175200</v>
      </c>
      <c r="H2333" s="1052" t="s">
        <v>2871</v>
      </c>
      <c r="I2333" s="1052" t="s">
        <v>2871</v>
      </c>
      <c r="J2333" s="1052" t="s">
        <v>2871</v>
      </c>
      <c r="K2333" s="1052" t="s">
        <v>2871</v>
      </c>
      <c r="L2333" s="1052" t="s">
        <v>2871</v>
      </c>
      <c r="M2333" s="1052" t="s">
        <v>2871</v>
      </c>
      <c r="N2333" s="1052" t="s">
        <v>2871</v>
      </c>
      <c r="O2333" s="1058" t="s">
        <v>2871</v>
      </c>
      <c r="P2333" s="1052">
        <f t="shared" ref="P2333:P2334" si="123">F2333*E2333</f>
        <v>175200</v>
      </c>
      <c r="Q2333" s="46"/>
      <c r="R2333" s="46"/>
      <c r="S2333" s="46"/>
    </row>
    <row r="2334" spans="1:19" ht="31.5">
      <c r="A2334" s="1053">
        <v>2</v>
      </c>
      <c r="B2334" s="232" t="s">
        <v>363</v>
      </c>
      <c r="C2334" s="50" t="s">
        <v>2872</v>
      </c>
      <c r="D2334" s="1056" t="s">
        <v>2870</v>
      </c>
      <c r="E2334" s="1059">
        <v>90</v>
      </c>
      <c r="F2334" s="1060">
        <v>204</v>
      </c>
      <c r="G2334" s="1061">
        <f t="shared" si="122"/>
        <v>18360</v>
      </c>
      <c r="H2334" s="1052" t="s">
        <v>2871</v>
      </c>
      <c r="I2334" s="1052" t="s">
        <v>2871</v>
      </c>
      <c r="J2334" s="1052" t="s">
        <v>2871</v>
      </c>
      <c r="K2334" s="1052" t="s">
        <v>2871</v>
      </c>
      <c r="L2334" s="1052" t="s">
        <v>2871</v>
      </c>
      <c r="M2334" s="1052" t="s">
        <v>2871</v>
      </c>
      <c r="N2334" s="1052" t="s">
        <v>2871</v>
      </c>
      <c r="O2334" s="1058" t="s">
        <v>2871</v>
      </c>
      <c r="P2334" s="1052">
        <f t="shared" si="123"/>
        <v>18360</v>
      </c>
      <c r="Q2334" s="46"/>
      <c r="R2334" s="46"/>
      <c r="S2334" s="46"/>
    </row>
    <row r="2335" spans="1:19" ht="15.75">
      <c r="A2335" s="1053">
        <v>3</v>
      </c>
      <c r="B2335" s="1053" t="s">
        <v>411</v>
      </c>
      <c r="C2335" s="1062" t="s">
        <v>2873</v>
      </c>
      <c r="D2335" s="48" t="s">
        <v>2870</v>
      </c>
      <c r="E2335" s="1057">
        <v>30</v>
      </c>
      <c r="F2335" s="232">
        <v>2640</v>
      </c>
      <c r="G2335" s="1052">
        <f t="shared" si="122"/>
        <v>79200</v>
      </c>
      <c r="H2335" s="1052" t="s">
        <v>2874</v>
      </c>
      <c r="I2335" s="1052" t="s">
        <v>2871</v>
      </c>
      <c r="J2335" s="1052" t="s">
        <v>2871</v>
      </c>
      <c r="K2335" s="1052" t="s">
        <v>2871</v>
      </c>
      <c r="L2335" s="1052" t="s">
        <v>2871</v>
      </c>
      <c r="M2335" s="1052" t="s">
        <v>2871</v>
      </c>
      <c r="N2335" s="1052" t="s">
        <v>2871</v>
      </c>
      <c r="O2335" s="1058" t="s">
        <v>2871</v>
      </c>
      <c r="P2335" s="1052">
        <f>F2335*E2335</f>
        <v>79200</v>
      </c>
      <c r="Q2335" s="46"/>
      <c r="R2335" s="46"/>
      <c r="S2335" s="46"/>
    </row>
    <row r="2336" spans="1:19" ht="31.5">
      <c r="A2336" s="1053">
        <v>4</v>
      </c>
      <c r="B2336" s="232" t="s">
        <v>2875</v>
      </c>
      <c r="C2336" s="50" t="s">
        <v>2876</v>
      </c>
      <c r="D2336" s="1015" t="s">
        <v>503</v>
      </c>
      <c r="E2336" s="1057">
        <v>30</v>
      </c>
      <c r="F2336" s="1015">
        <v>80</v>
      </c>
      <c r="G2336" s="1052">
        <f>F2336*E2336</f>
        <v>2400</v>
      </c>
      <c r="H2336" s="1052" t="s">
        <v>2871</v>
      </c>
      <c r="I2336" s="1052" t="s">
        <v>2871</v>
      </c>
      <c r="J2336" s="1052" t="s">
        <v>2871</v>
      </c>
      <c r="K2336" s="1052" t="s">
        <v>2871</v>
      </c>
      <c r="L2336" s="1052" t="s">
        <v>2871</v>
      </c>
      <c r="M2336" s="1052" t="s">
        <v>2871</v>
      </c>
      <c r="N2336" s="1052" t="s">
        <v>2871</v>
      </c>
      <c r="O2336" s="1058" t="s">
        <v>2871</v>
      </c>
      <c r="P2336" s="1052">
        <f t="shared" ref="P2336:P2338" si="124">F2336*E2336</f>
        <v>2400</v>
      </c>
      <c r="Q2336" s="46"/>
      <c r="R2336" s="46"/>
      <c r="S2336" s="46"/>
    </row>
    <row r="2337" spans="1:19" ht="47.25">
      <c r="A2337" s="1053">
        <v>5</v>
      </c>
      <c r="B2337" s="232" t="s">
        <v>2877</v>
      </c>
      <c r="C2337" s="1063" t="s">
        <v>2878</v>
      </c>
      <c r="D2337" s="48" t="s">
        <v>786</v>
      </c>
      <c r="E2337" s="1057">
        <v>20</v>
      </c>
      <c r="F2337" s="1029">
        <v>5800</v>
      </c>
      <c r="G2337" s="1052">
        <f>F2337*E2337</f>
        <v>116000</v>
      </c>
      <c r="H2337" s="1052" t="s">
        <v>2871</v>
      </c>
      <c r="I2337" s="1052" t="s">
        <v>2871</v>
      </c>
      <c r="J2337" s="1052" t="s">
        <v>2871</v>
      </c>
      <c r="K2337" s="1052" t="s">
        <v>2871</v>
      </c>
      <c r="L2337" s="1052" t="s">
        <v>2871</v>
      </c>
      <c r="M2337" s="1052" t="s">
        <v>2871</v>
      </c>
      <c r="N2337" s="1052" t="s">
        <v>2871</v>
      </c>
      <c r="O2337" s="1058" t="s">
        <v>2871</v>
      </c>
      <c r="P2337" s="1052">
        <f t="shared" si="124"/>
        <v>116000</v>
      </c>
      <c r="Q2337" s="46"/>
      <c r="R2337" s="46"/>
      <c r="S2337" s="46"/>
    </row>
    <row r="2338" spans="1:19" ht="47.25">
      <c r="A2338" s="1053">
        <v>6</v>
      </c>
      <c r="B2338" s="232" t="s">
        <v>2879</v>
      </c>
      <c r="C2338" s="1064" t="s">
        <v>2880</v>
      </c>
      <c r="D2338" s="1029" t="s">
        <v>7</v>
      </c>
      <c r="E2338" s="1065">
        <v>24.646999999999998</v>
      </c>
      <c r="F2338" s="232">
        <v>16955</v>
      </c>
      <c r="G2338" s="1052">
        <f t="shared" ref="G2338" si="125">F2338*E2338</f>
        <v>417889.88499999995</v>
      </c>
      <c r="H2338" s="1052" t="s">
        <v>2871</v>
      </c>
      <c r="I2338" s="1052" t="s">
        <v>2871</v>
      </c>
      <c r="J2338" s="1052" t="s">
        <v>2871</v>
      </c>
      <c r="K2338" s="1052" t="s">
        <v>2871</v>
      </c>
      <c r="L2338" s="1052" t="s">
        <v>2871</v>
      </c>
      <c r="M2338" s="1052" t="s">
        <v>2871</v>
      </c>
      <c r="N2338" s="1052" t="s">
        <v>2871</v>
      </c>
      <c r="O2338" s="1058" t="s">
        <v>2871</v>
      </c>
      <c r="P2338" s="1061">
        <f t="shared" si="124"/>
        <v>417889.88499999995</v>
      </c>
      <c r="Q2338" s="46"/>
      <c r="R2338" s="46"/>
      <c r="S2338" s="46"/>
    </row>
    <row r="2339" spans="1:19" ht="47.25">
      <c r="A2339" s="1053">
        <v>7</v>
      </c>
      <c r="B2339" s="232" t="s">
        <v>2881</v>
      </c>
      <c r="C2339" s="1066" t="s">
        <v>2882</v>
      </c>
      <c r="D2339" s="48" t="s">
        <v>786</v>
      </c>
      <c r="E2339" s="1057">
        <v>25</v>
      </c>
      <c r="F2339" s="1029">
        <v>936</v>
      </c>
      <c r="G2339" s="1052">
        <f>F2339*E2339</f>
        <v>23400</v>
      </c>
      <c r="H2339" s="1052" t="s">
        <v>2874</v>
      </c>
      <c r="I2339" s="1052" t="s">
        <v>2874</v>
      </c>
      <c r="J2339" s="1052" t="s">
        <v>2874</v>
      </c>
      <c r="K2339" s="1052" t="s">
        <v>2874</v>
      </c>
      <c r="L2339" s="1052" t="s">
        <v>2874</v>
      </c>
      <c r="M2339" s="1052" t="s">
        <v>2874</v>
      </c>
      <c r="N2339" s="1052" t="s">
        <v>2874</v>
      </c>
      <c r="O2339" s="1058" t="s">
        <v>2874</v>
      </c>
      <c r="P2339" s="1052">
        <f>F2339*E2339</f>
        <v>23400</v>
      </c>
      <c r="Q2339" s="46"/>
      <c r="R2339" s="46"/>
      <c r="S2339" s="46"/>
    </row>
    <row r="2340" spans="1:19" ht="63">
      <c r="A2340" s="1053">
        <v>8</v>
      </c>
      <c r="B2340" s="232" t="s">
        <v>2883</v>
      </c>
      <c r="C2340" s="1067" t="s">
        <v>2884</v>
      </c>
      <c r="D2340" s="48" t="s">
        <v>2885</v>
      </c>
      <c r="E2340" s="1057">
        <v>97589.19</v>
      </c>
      <c r="F2340" s="232">
        <v>0.70499999999999996</v>
      </c>
      <c r="G2340" s="1061">
        <f t="shared" ref="G2340" si="126">F2340*E2340</f>
        <v>68800.378949999998</v>
      </c>
      <c r="H2340" s="1052" t="s">
        <v>2871</v>
      </c>
      <c r="I2340" s="1052" t="s">
        <v>2871</v>
      </c>
      <c r="J2340" s="1052" t="s">
        <v>2871</v>
      </c>
      <c r="K2340" s="1052" t="s">
        <v>2871</v>
      </c>
      <c r="L2340" s="1052" t="s">
        <v>2871</v>
      </c>
      <c r="M2340" s="1052" t="s">
        <v>2871</v>
      </c>
      <c r="N2340" s="1052" t="s">
        <v>2871</v>
      </c>
      <c r="O2340" s="1058" t="s">
        <v>2871</v>
      </c>
      <c r="P2340" s="1061">
        <f t="shared" ref="P2340" si="127">F2340*E2340</f>
        <v>68800.378949999998</v>
      </c>
      <c r="Q2340" s="46"/>
      <c r="R2340" s="46"/>
      <c r="S2340" s="46"/>
    </row>
    <row r="2341" spans="1:19" ht="15.75">
      <c r="A2341" s="1053">
        <v>9</v>
      </c>
      <c r="B2341" s="232" t="s">
        <v>1392</v>
      </c>
      <c r="C2341" s="1068" t="s">
        <v>2886</v>
      </c>
      <c r="D2341" s="48" t="s">
        <v>195</v>
      </c>
      <c r="E2341" s="1059">
        <v>120</v>
      </c>
      <c r="F2341" s="232" t="s">
        <v>2874</v>
      </c>
      <c r="G2341" s="232" t="s">
        <v>2874</v>
      </c>
      <c r="H2341" s="232"/>
      <c r="I2341" s="232"/>
      <c r="J2341" s="232"/>
      <c r="K2341" s="232"/>
      <c r="L2341" s="232"/>
      <c r="M2341" s="232"/>
      <c r="N2341" s="1052">
        <v>10</v>
      </c>
      <c r="O2341" s="1058">
        <f t="shared" ref="O2341" si="128">N2341*E2341</f>
        <v>1200</v>
      </c>
      <c r="P2341" s="1052">
        <f t="shared" ref="P2341" si="129">O2341</f>
        <v>1200</v>
      </c>
      <c r="Q2341" s="46"/>
      <c r="R2341" s="46"/>
      <c r="S2341" s="46"/>
    </row>
    <row r="2342" spans="1:19" ht="15.75">
      <c r="A2342" s="1053">
        <v>10</v>
      </c>
      <c r="B2342" s="232" t="s">
        <v>390</v>
      </c>
      <c r="C2342" s="1062" t="s">
        <v>2887</v>
      </c>
      <c r="D2342" s="92" t="s">
        <v>2888</v>
      </c>
      <c r="E2342" s="1057">
        <v>90</v>
      </c>
      <c r="F2342" s="1069">
        <v>5</v>
      </c>
      <c r="G2342" s="1052">
        <f t="shared" ref="G2342:G2343" si="130">F2342*E2342</f>
        <v>450</v>
      </c>
      <c r="H2342" s="1052"/>
      <c r="I2342" s="1052" t="s">
        <v>2871</v>
      </c>
      <c r="J2342" s="1052" t="s">
        <v>2871</v>
      </c>
      <c r="K2342" s="1052" t="s">
        <v>2871</v>
      </c>
      <c r="L2342" s="1052" t="s">
        <v>2871</v>
      </c>
      <c r="M2342" s="1052" t="s">
        <v>2871</v>
      </c>
      <c r="N2342" s="1052" t="s">
        <v>2871</v>
      </c>
      <c r="O2342" s="1058" t="s">
        <v>2871</v>
      </c>
      <c r="P2342" s="1052">
        <f t="shared" ref="P2342:P2352" si="131">F2342*E2342</f>
        <v>450</v>
      </c>
      <c r="Q2342" s="46"/>
      <c r="R2342" s="46"/>
      <c r="S2342" s="46"/>
    </row>
    <row r="2343" spans="1:19" ht="31.5">
      <c r="A2343" s="1053">
        <v>11</v>
      </c>
      <c r="B2343" s="232" t="s">
        <v>340</v>
      </c>
      <c r="C2343" s="1012" t="s">
        <v>2889</v>
      </c>
      <c r="D2343" s="1070" t="s">
        <v>37</v>
      </c>
      <c r="E2343" s="1059">
        <v>150</v>
      </c>
      <c r="F2343" s="1060">
        <v>27</v>
      </c>
      <c r="G2343" s="1061">
        <f t="shared" si="130"/>
        <v>4050</v>
      </c>
      <c r="H2343" s="1052" t="s">
        <v>2871</v>
      </c>
      <c r="I2343" s="1052" t="s">
        <v>2871</v>
      </c>
      <c r="J2343" s="1052" t="s">
        <v>2871</v>
      </c>
      <c r="K2343" s="1052" t="s">
        <v>2871</v>
      </c>
      <c r="L2343" s="1052" t="s">
        <v>2871</v>
      </c>
      <c r="M2343" s="1052" t="s">
        <v>2871</v>
      </c>
      <c r="N2343" s="1052" t="s">
        <v>2871</v>
      </c>
      <c r="O2343" s="1058" t="s">
        <v>2871</v>
      </c>
      <c r="P2343" s="1052">
        <f t="shared" si="131"/>
        <v>4050</v>
      </c>
      <c r="Q2343" s="46"/>
      <c r="R2343" s="46"/>
      <c r="S2343" s="46"/>
    </row>
    <row r="2344" spans="1:19" ht="15.75">
      <c r="A2344" s="1053">
        <v>12</v>
      </c>
      <c r="B2344" s="232" t="s">
        <v>2890</v>
      </c>
      <c r="C2344" s="1070" t="s">
        <v>2891</v>
      </c>
      <c r="D2344" s="48" t="s">
        <v>37</v>
      </c>
      <c r="E2344" s="1057">
        <v>696.2</v>
      </c>
      <c r="F2344" s="232">
        <v>3</v>
      </c>
      <c r="G2344" s="1052">
        <f>F2344*E2344</f>
        <v>2088.6000000000004</v>
      </c>
      <c r="H2344" s="1052" t="s">
        <v>2871</v>
      </c>
      <c r="I2344" s="1052" t="s">
        <v>2871</v>
      </c>
      <c r="J2344" s="1052" t="s">
        <v>2871</v>
      </c>
      <c r="K2344" s="1052" t="s">
        <v>2871</v>
      </c>
      <c r="L2344" s="1052" t="s">
        <v>2871</v>
      </c>
      <c r="M2344" s="1052" t="s">
        <v>2871</v>
      </c>
      <c r="N2344" s="1052" t="s">
        <v>2871</v>
      </c>
      <c r="O2344" s="1058" t="s">
        <v>2871</v>
      </c>
      <c r="P2344" s="1052">
        <f t="shared" si="131"/>
        <v>2088.6000000000004</v>
      </c>
      <c r="Q2344" s="46"/>
      <c r="R2344" s="46"/>
      <c r="S2344" s="46"/>
    </row>
    <row r="2345" spans="1:19" ht="78.75">
      <c r="A2345" s="1053">
        <v>13</v>
      </c>
      <c r="B2345" s="232" t="s">
        <v>2892</v>
      </c>
      <c r="C2345" s="1014" t="s">
        <v>2893</v>
      </c>
      <c r="D2345" s="1070" t="s">
        <v>37</v>
      </c>
      <c r="E2345" s="1015">
        <v>4932.3999999999996</v>
      </c>
      <c r="F2345" s="1015">
        <v>1</v>
      </c>
      <c r="G2345" s="1015">
        <f>F2345*E2345</f>
        <v>4932.3999999999996</v>
      </c>
      <c r="H2345" s="1052" t="s">
        <v>2871</v>
      </c>
      <c r="I2345" s="1052" t="s">
        <v>2871</v>
      </c>
      <c r="J2345" s="1052" t="s">
        <v>2871</v>
      </c>
      <c r="K2345" s="1052" t="s">
        <v>2871</v>
      </c>
      <c r="L2345" s="1052" t="s">
        <v>2871</v>
      </c>
      <c r="M2345" s="1052" t="s">
        <v>2871</v>
      </c>
      <c r="N2345" s="1052" t="s">
        <v>2871</v>
      </c>
      <c r="O2345" s="1058" t="s">
        <v>2871</v>
      </c>
      <c r="P2345" s="1052">
        <f t="shared" si="131"/>
        <v>4932.3999999999996</v>
      </c>
      <c r="Q2345" s="46"/>
      <c r="R2345" s="46"/>
      <c r="S2345" s="46"/>
    </row>
    <row r="2346" spans="1:19" ht="31.5">
      <c r="A2346" s="1053">
        <v>14</v>
      </c>
      <c r="B2346" s="1071" t="s">
        <v>435</v>
      </c>
      <c r="C2346" s="1064" t="s">
        <v>2894</v>
      </c>
      <c r="D2346" s="1015" t="s">
        <v>62</v>
      </c>
      <c r="E2346" s="1057">
        <v>3186</v>
      </c>
      <c r="F2346" s="1015">
        <v>12</v>
      </c>
      <c r="G2346" s="1052">
        <f t="shared" ref="G2346:G2348" si="132">F2346*E2346</f>
        <v>38232</v>
      </c>
      <c r="H2346" s="1052" t="s">
        <v>2871</v>
      </c>
      <c r="I2346" s="1052" t="s">
        <v>2871</v>
      </c>
      <c r="J2346" s="1052" t="s">
        <v>2871</v>
      </c>
      <c r="K2346" s="1052" t="s">
        <v>2871</v>
      </c>
      <c r="L2346" s="1052" t="s">
        <v>2871</v>
      </c>
      <c r="M2346" s="1052" t="s">
        <v>2871</v>
      </c>
      <c r="N2346" s="1052" t="s">
        <v>2871</v>
      </c>
      <c r="O2346" s="1058" t="s">
        <v>2871</v>
      </c>
      <c r="P2346" s="1052">
        <f t="shared" si="131"/>
        <v>38232</v>
      </c>
      <c r="Q2346" s="46"/>
      <c r="R2346" s="46"/>
      <c r="S2346" s="46"/>
    </row>
    <row r="2347" spans="1:19" ht="31.5">
      <c r="A2347" s="1053">
        <v>15</v>
      </c>
      <c r="B2347" s="232" t="s">
        <v>1875</v>
      </c>
      <c r="C2347" s="1064" t="s">
        <v>2895</v>
      </c>
      <c r="D2347" s="1015" t="s">
        <v>62</v>
      </c>
      <c r="E2347" s="1057">
        <v>1770</v>
      </c>
      <c r="F2347" s="1015">
        <v>1</v>
      </c>
      <c r="G2347" s="1052">
        <f t="shared" si="132"/>
        <v>1770</v>
      </c>
      <c r="H2347" s="1052" t="s">
        <v>2871</v>
      </c>
      <c r="I2347" s="1052" t="s">
        <v>2871</v>
      </c>
      <c r="J2347" s="1052" t="s">
        <v>2871</v>
      </c>
      <c r="K2347" s="1052" t="s">
        <v>2871</v>
      </c>
      <c r="L2347" s="1052" t="s">
        <v>2871</v>
      </c>
      <c r="M2347" s="1052" t="s">
        <v>2871</v>
      </c>
      <c r="N2347" s="1052" t="s">
        <v>2871</v>
      </c>
      <c r="O2347" s="1058" t="s">
        <v>2871</v>
      </c>
      <c r="P2347" s="1052">
        <f t="shared" si="131"/>
        <v>1770</v>
      </c>
      <c r="Q2347" s="46"/>
      <c r="R2347" s="46"/>
      <c r="S2347" s="46"/>
    </row>
    <row r="2348" spans="1:19" ht="15.75">
      <c r="A2348" s="1053">
        <v>16</v>
      </c>
      <c r="B2348" s="232" t="s">
        <v>235</v>
      </c>
      <c r="C2348" s="1071" t="s">
        <v>2896</v>
      </c>
      <c r="D2348" s="48" t="s">
        <v>37</v>
      </c>
      <c r="E2348" s="1057">
        <v>1067.05</v>
      </c>
      <c r="F2348" s="232">
        <v>18</v>
      </c>
      <c r="G2348" s="1052">
        <f t="shared" si="132"/>
        <v>19206.899999999998</v>
      </c>
      <c r="H2348" s="1052" t="s">
        <v>2871</v>
      </c>
      <c r="I2348" s="1052" t="s">
        <v>2871</v>
      </c>
      <c r="J2348" s="1052" t="s">
        <v>2871</v>
      </c>
      <c r="K2348" s="1052" t="s">
        <v>2871</v>
      </c>
      <c r="L2348" s="1052" t="s">
        <v>2871</v>
      </c>
      <c r="M2348" s="1052" t="s">
        <v>2871</v>
      </c>
      <c r="N2348" s="1052" t="s">
        <v>2871</v>
      </c>
      <c r="O2348" s="1058" t="s">
        <v>2871</v>
      </c>
      <c r="P2348" s="1052">
        <f t="shared" si="131"/>
        <v>19206.899999999998</v>
      </c>
      <c r="Q2348" s="46"/>
      <c r="R2348" s="46"/>
      <c r="S2348" s="46"/>
    </row>
    <row r="2349" spans="1:19" ht="47.25">
      <c r="A2349" s="1053">
        <v>17</v>
      </c>
      <c r="B2349" s="232" t="s">
        <v>233</v>
      </c>
      <c r="C2349" s="50" t="s">
        <v>2897</v>
      </c>
      <c r="D2349" s="48" t="s">
        <v>37</v>
      </c>
      <c r="E2349" s="1057">
        <v>649</v>
      </c>
      <c r="F2349" s="232">
        <v>18</v>
      </c>
      <c r="G2349" s="1052">
        <f>F2349*E2349</f>
        <v>11682</v>
      </c>
      <c r="H2349" s="1052" t="s">
        <v>2871</v>
      </c>
      <c r="I2349" s="1052" t="s">
        <v>2871</v>
      </c>
      <c r="J2349" s="1052" t="s">
        <v>2871</v>
      </c>
      <c r="K2349" s="1052" t="s">
        <v>2871</v>
      </c>
      <c r="L2349" s="1052" t="s">
        <v>2871</v>
      </c>
      <c r="M2349" s="1052" t="s">
        <v>2871</v>
      </c>
      <c r="N2349" s="1052" t="s">
        <v>2871</v>
      </c>
      <c r="O2349" s="1058" t="s">
        <v>2871</v>
      </c>
      <c r="P2349" s="1052">
        <f t="shared" si="131"/>
        <v>11682</v>
      </c>
      <c r="Q2349" s="46"/>
      <c r="R2349" s="46"/>
      <c r="S2349" s="46"/>
    </row>
    <row r="2350" spans="1:19" ht="63">
      <c r="A2350" s="1053">
        <v>18</v>
      </c>
      <c r="B2350" s="232" t="s">
        <v>240</v>
      </c>
      <c r="C2350" s="1064" t="s">
        <v>2898</v>
      </c>
      <c r="D2350" s="48" t="s">
        <v>37</v>
      </c>
      <c r="E2350" s="1057">
        <v>30</v>
      </c>
      <c r="F2350" s="232">
        <v>3</v>
      </c>
      <c r="G2350" s="1052">
        <f t="shared" ref="G2350:G2352" si="133">F2350*E2350</f>
        <v>90</v>
      </c>
      <c r="H2350" s="1052" t="s">
        <v>2871</v>
      </c>
      <c r="I2350" s="1052" t="s">
        <v>2871</v>
      </c>
      <c r="J2350" s="1052" t="s">
        <v>2871</v>
      </c>
      <c r="K2350" s="1052" t="s">
        <v>2871</v>
      </c>
      <c r="L2350" s="1052" t="s">
        <v>2871</v>
      </c>
      <c r="M2350" s="1052" t="s">
        <v>2871</v>
      </c>
      <c r="N2350" s="1052" t="s">
        <v>2871</v>
      </c>
      <c r="O2350" s="1058" t="s">
        <v>2871</v>
      </c>
      <c r="P2350" s="1052">
        <f t="shared" si="131"/>
        <v>90</v>
      </c>
      <c r="Q2350" s="46"/>
      <c r="R2350" s="46"/>
      <c r="S2350" s="46"/>
    </row>
    <row r="2351" spans="1:19" ht="15.75">
      <c r="A2351" s="1053">
        <v>19</v>
      </c>
      <c r="B2351" s="232" t="s">
        <v>593</v>
      </c>
      <c r="C2351" s="1071" t="s">
        <v>2899</v>
      </c>
      <c r="D2351" s="48" t="s">
        <v>266</v>
      </c>
      <c r="E2351" s="1057">
        <v>1277.82</v>
      </c>
      <c r="F2351" s="232">
        <v>10</v>
      </c>
      <c r="G2351" s="1052">
        <f t="shared" si="133"/>
        <v>12778.199999999999</v>
      </c>
      <c r="H2351" s="1052" t="s">
        <v>2874</v>
      </c>
      <c r="I2351" s="1052" t="s">
        <v>2871</v>
      </c>
      <c r="J2351" s="1052" t="s">
        <v>2871</v>
      </c>
      <c r="K2351" s="1052" t="s">
        <v>2871</v>
      </c>
      <c r="L2351" s="1052" t="s">
        <v>2871</v>
      </c>
      <c r="M2351" s="1052" t="s">
        <v>2871</v>
      </c>
      <c r="N2351" s="1052" t="s">
        <v>2871</v>
      </c>
      <c r="O2351" s="1058" t="s">
        <v>2871</v>
      </c>
      <c r="P2351" s="1052">
        <f t="shared" si="131"/>
        <v>12778.199999999999</v>
      </c>
      <c r="Q2351" s="46"/>
      <c r="R2351" s="46"/>
      <c r="S2351" s="46"/>
    </row>
    <row r="2352" spans="1:19" ht="31.5">
      <c r="A2352" s="1053">
        <v>20</v>
      </c>
      <c r="B2352" s="1071" t="s">
        <v>2900</v>
      </c>
      <c r="C2352" s="1064" t="s">
        <v>2901</v>
      </c>
      <c r="D2352" s="1015" t="s">
        <v>62</v>
      </c>
      <c r="E2352" s="1057">
        <v>1298</v>
      </c>
      <c r="F2352" s="1015">
        <v>32</v>
      </c>
      <c r="G2352" s="1052">
        <f t="shared" si="133"/>
        <v>41536</v>
      </c>
      <c r="H2352" s="1052" t="s">
        <v>2871</v>
      </c>
      <c r="I2352" s="1052" t="s">
        <v>2871</v>
      </c>
      <c r="J2352" s="1052" t="s">
        <v>2871</v>
      </c>
      <c r="K2352" s="1052" t="s">
        <v>2871</v>
      </c>
      <c r="L2352" s="1052" t="s">
        <v>2871</v>
      </c>
      <c r="M2352" s="1052" t="s">
        <v>2871</v>
      </c>
      <c r="N2352" s="1052" t="s">
        <v>2871</v>
      </c>
      <c r="O2352" s="1058" t="s">
        <v>2871</v>
      </c>
      <c r="P2352" s="1052">
        <f t="shared" si="131"/>
        <v>41536</v>
      </c>
      <c r="Q2352" s="46"/>
      <c r="R2352" s="46"/>
      <c r="S2352" s="46"/>
    </row>
    <row r="2353" spans="1:19" ht="15.75">
      <c r="A2353" s="1053">
        <v>21</v>
      </c>
      <c r="B2353" s="1053" t="s">
        <v>244</v>
      </c>
      <c r="C2353" s="1062" t="s">
        <v>2902</v>
      </c>
      <c r="D2353" s="92" t="s">
        <v>37</v>
      </c>
      <c r="E2353" s="1057">
        <v>1105.75</v>
      </c>
      <c r="F2353" s="232">
        <v>8</v>
      </c>
      <c r="G2353" s="1052">
        <f>F2353*E2353</f>
        <v>8846</v>
      </c>
      <c r="H2353" s="1052" t="s">
        <v>2871</v>
      </c>
      <c r="I2353" s="1052" t="s">
        <v>2871</v>
      </c>
      <c r="J2353" s="1052" t="s">
        <v>2871</v>
      </c>
      <c r="K2353" s="1052" t="s">
        <v>2871</v>
      </c>
      <c r="L2353" s="1052" t="s">
        <v>2871</v>
      </c>
      <c r="M2353" s="1052" t="s">
        <v>2871</v>
      </c>
      <c r="N2353" s="1052" t="s">
        <v>2871</v>
      </c>
      <c r="O2353" s="1058" t="s">
        <v>2871</v>
      </c>
      <c r="P2353" s="1052">
        <f>F2353*E2353</f>
        <v>8846</v>
      </c>
      <c r="Q2353" s="46"/>
      <c r="R2353" s="46"/>
      <c r="S2353" s="46"/>
    </row>
    <row r="2354" spans="1:19" ht="47.25">
      <c r="A2354" s="1053">
        <v>22</v>
      </c>
      <c r="B2354" s="1071" t="s">
        <v>2903</v>
      </c>
      <c r="C2354" s="1072" t="s">
        <v>2904</v>
      </c>
      <c r="D2354" s="48" t="s">
        <v>2905</v>
      </c>
      <c r="E2354" s="1057">
        <v>6962</v>
      </c>
      <c r="F2354" s="1015">
        <v>3</v>
      </c>
      <c r="G2354" s="1052">
        <f t="shared" ref="G2354:G2356" si="134">F2354*E2354</f>
        <v>20886</v>
      </c>
      <c r="H2354" s="1052" t="s">
        <v>2871</v>
      </c>
      <c r="I2354" s="1052" t="s">
        <v>2871</v>
      </c>
      <c r="J2354" s="1052" t="s">
        <v>2871</v>
      </c>
      <c r="K2354" s="1052" t="s">
        <v>2871</v>
      </c>
      <c r="L2354" s="1052" t="s">
        <v>2871</v>
      </c>
      <c r="M2354" s="1052" t="s">
        <v>2871</v>
      </c>
      <c r="N2354" s="1052" t="s">
        <v>2871</v>
      </c>
      <c r="O2354" s="1058" t="s">
        <v>2871</v>
      </c>
      <c r="P2354" s="1052">
        <f t="shared" ref="P2354:P2356" si="135">F2354*E2354</f>
        <v>20886</v>
      </c>
      <c r="Q2354" s="46"/>
      <c r="R2354" s="46"/>
      <c r="S2354" s="46"/>
    </row>
    <row r="2355" spans="1:19" ht="15.75">
      <c r="A2355" s="1053">
        <v>23</v>
      </c>
      <c r="B2355" s="232" t="s">
        <v>1644</v>
      </c>
      <c r="C2355" s="1062" t="s">
        <v>2906</v>
      </c>
      <c r="D2355" s="1070" t="s">
        <v>37</v>
      </c>
      <c r="E2355" s="1059">
        <v>160</v>
      </c>
      <c r="F2355" s="1015">
        <v>4</v>
      </c>
      <c r="G2355" s="1061">
        <f t="shared" si="134"/>
        <v>640</v>
      </c>
      <c r="H2355" s="1052" t="s">
        <v>2871</v>
      </c>
      <c r="I2355" s="1052" t="s">
        <v>2871</v>
      </c>
      <c r="J2355" s="1052" t="s">
        <v>2871</v>
      </c>
      <c r="K2355" s="1052" t="s">
        <v>2871</v>
      </c>
      <c r="L2355" s="1052" t="s">
        <v>2871</v>
      </c>
      <c r="M2355" s="1052" t="s">
        <v>2871</v>
      </c>
      <c r="N2355" s="1052" t="s">
        <v>2871</v>
      </c>
      <c r="O2355" s="1058" t="s">
        <v>2871</v>
      </c>
      <c r="P2355" s="1052">
        <f t="shared" si="135"/>
        <v>640</v>
      </c>
      <c r="Q2355" s="46"/>
      <c r="R2355" s="46"/>
      <c r="S2355" s="46"/>
    </row>
    <row r="2356" spans="1:19" ht="47.25">
      <c r="A2356" s="1053">
        <v>24</v>
      </c>
      <c r="B2356" s="232" t="s">
        <v>606</v>
      </c>
      <c r="C2356" s="92" t="s">
        <v>2907</v>
      </c>
      <c r="D2356" s="48" t="s">
        <v>37</v>
      </c>
      <c r="E2356" s="1057">
        <v>4653.92</v>
      </c>
      <c r="F2356" s="232">
        <v>4</v>
      </c>
      <c r="G2356" s="1052">
        <f t="shared" si="134"/>
        <v>18615.68</v>
      </c>
      <c r="H2356" s="1052" t="s">
        <v>2871</v>
      </c>
      <c r="I2356" s="1052" t="s">
        <v>2871</v>
      </c>
      <c r="J2356" s="1052" t="s">
        <v>2871</v>
      </c>
      <c r="K2356" s="1052" t="s">
        <v>2871</v>
      </c>
      <c r="L2356" s="1052" t="s">
        <v>2871</v>
      </c>
      <c r="M2356" s="1052" t="s">
        <v>2871</v>
      </c>
      <c r="N2356" s="1052" t="s">
        <v>2871</v>
      </c>
      <c r="O2356" s="1058" t="s">
        <v>2871</v>
      </c>
      <c r="P2356" s="1052">
        <f t="shared" si="135"/>
        <v>18615.68</v>
      </c>
      <c r="Q2356" s="46"/>
      <c r="R2356" s="46"/>
      <c r="S2356" s="46"/>
    </row>
    <row r="2357" spans="1:19" ht="47.25">
      <c r="A2357" s="1053">
        <v>25</v>
      </c>
      <c r="B2357" s="232" t="s">
        <v>248</v>
      </c>
      <c r="C2357" s="1016" t="s">
        <v>2908</v>
      </c>
      <c r="D2357" s="48" t="s">
        <v>266</v>
      </c>
      <c r="E2357" s="1057">
        <v>1669.7</v>
      </c>
      <c r="F2357" s="1029">
        <v>6</v>
      </c>
      <c r="G2357" s="1052">
        <f>F2357*E2357</f>
        <v>10018.200000000001</v>
      </c>
      <c r="H2357" s="1052" t="s">
        <v>2871</v>
      </c>
      <c r="I2357" s="1052" t="s">
        <v>2871</v>
      </c>
      <c r="J2357" s="1052" t="s">
        <v>2871</v>
      </c>
      <c r="K2357" s="1052" t="s">
        <v>2871</v>
      </c>
      <c r="L2357" s="1052" t="s">
        <v>2871</v>
      </c>
      <c r="M2357" s="1052" t="s">
        <v>2871</v>
      </c>
      <c r="N2357" s="1052" t="s">
        <v>2871</v>
      </c>
      <c r="O2357" s="1058" t="s">
        <v>2871</v>
      </c>
      <c r="P2357" s="1052">
        <f>F2357*E2357</f>
        <v>10018.200000000001</v>
      </c>
      <c r="Q2357" s="46"/>
      <c r="R2357" s="46"/>
      <c r="S2357" s="46"/>
    </row>
    <row r="2358" spans="1:19" ht="47.25">
      <c r="A2358" s="1053">
        <v>26</v>
      </c>
      <c r="B2358" s="232" t="s">
        <v>400</v>
      </c>
      <c r="C2358" s="1064" t="s">
        <v>2909</v>
      </c>
      <c r="D2358" s="1070" t="s">
        <v>37</v>
      </c>
      <c r="E2358" s="1059">
        <v>300</v>
      </c>
      <c r="F2358" s="1015">
        <v>18</v>
      </c>
      <c r="G2358" s="1061">
        <f t="shared" ref="G2358:G2369" si="136">F2358*E2358</f>
        <v>5400</v>
      </c>
      <c r="H2358" s="1052" t="s">
        <v>2871</v>
      </c>
      <c r="I2358" s="1052" t="s">
        <v>2871</v>
      </c>
      <c r="J2358" s="1052" t="s">
        <v>2871</v>
      </c>
      <c r="K2358" s="1052" t="s">
        <v>2871</v>
      </c>
      <c r="L2358" s="1052" t="s">
        <v>2871</v>
      </c>
      <c r="M2358" s="1052" t="s">
        <v>2871</v>
      </c>
      <c r="N2358" s="1052" t="s">
        <v>2871</v>
      </c>
      <c r="O2358" s="1058" t="s">
        <v>2871</v>
      </c>
      <c r="P2358" s="1052">
        <f t="shared" ref="P2358:P2369" si="137">F2358*E2358</f>
        <v>5400</v>
      </c>
      <c r="Q2358" s="46"/>
      <c r="R2358" s="46"/>
      <c r="S2358" s="46"/>
    </row>
    <row r="2359" spans="1:19" ht="15.75">
      <c r="A2359" s="1053">
        <v>27</v>
      </c>
      <c r="B2359" s="232" t="s">
        <v>1701</v>
      </c>
      <c r="C2359" s="1073" t="s">
        <v>2910</v>
      </c>
      <c r="D2359" s="1029" t="s">
        <v>40</v>
      </c>
      <c r="E2359" s="1057">
        <v>0</v>
      </c>
      <c r="F2359" s="232">
        <v>4</v>
      </c>
      <c r="G2359" s="1052">
        <f t="shared" si="136"/>
        <v>0</v>
      </c>
      <c r="H2359" s="1052" t="s">
        <v>2871</v>
      </c>
      <c r="I2359" s="1052" t="s">
        <v>2871</v>
      </c>
      <c r="J2359" s="1052" t="s">
        <v>2871</v>
      </c>
      <c r="K2359" s="1052" t="s">
        <v>2871</v>
      </c>
      <c r="L2359" s="1052" t="s">
        <v>2871</v>
      </c>
      <c r="M2359" s="1052" t="s">
        <v>2871</v>
      </c>
      <c r="N2359" s="1052" t="s">
        <v>2871</v>
      </c>
      <c r="O2359" s="1058" t="s">
        <v>2871</v>
      </c>
      <c r="P2359" s="1052">
        <f t="shared" si="137"/>
        <v>0</v>
      </c>
      <c r="Q2359" s="46"/>
      <c r="R2359" s="46"/>
      <c r="S2359" s="46"/>
    </row>
    <row r="2360" spans="1:19" ht="15.75">
      <c r="A2360" s="1053">
        <v>28</v>
      </c>
      <c r="B2360" s="1069" t="s">
        <v>1701</v>
      </c>
      <c r="C2360" s="1073" t="s">
        <v>2911</v>
      </c>
      <c r="D2360" s="1034" t="s">
        <v>40</v>
      </c>
      <c r="E2360" s="1057">
        <v>3916</v>
      </c>
      <c r="F2360" s="232">
        <v>3</v>
      </c>
      <c r="G2360" s="1052">
        <f t="shared" si="136"/>
        <v>11748</v>
      </c>
      <c r="H2360" s="1052" t="s">
        <v>2871</v>
      </c>
      <c r="I2360" s="1052" t="s">
        <v>2871</v>
      </c>
      <c r="J2360" s="1052" t="s">
        <v>2871</v>
      </c>
      <c r="K2360" s="1052" t="s">
        <v>2871</v>
      </c>
      <c r="L2360" s="1052" t="s">
        <v>2871</v>
      </c>
      <c r="M2360" s="1052" t="s">
        <v>2871</v>
      </c>
      <c r="N2360" s="1052" t="s">
        <v>2871</v>
      </c>
      <c r="O2360" s="1058" t="s">
        <v>2871</v>
      </c>
      <c r="P2360" s="1052">
        <f t="shared" si="137"/>
        <v>11748</v>
      </c>
      <c r="Q2360" s="46"/>
      <c r="R2360" s="46"/>
      <c r="S2360" s="46"/>
    </row>
    <row r="2361" spans="1:19" ht="15.75">
      <c r="A2361" s="1053">
        <v>29</v>
      </c>
      <c r="B2361" s="232" t="s">
        <v>1720</v>
      </c>
      <c r="C2361" s="1073" t="s">
        <v>2912</v>
      </c>
      <c r="D2361" s="1034" t="s">
        <v>40</v>
      </c>
      <c r="E2361" s="1057">
        <v>2459</v>
      </c>
      <c r="F2361" s="232">
        <v>4</v>
      </c>
      <c r="G2361" s="1052">
        <f t="shared" si="136"/>
        <v>9836</v>
      </c>
      <c r="H2361" s="1052" t="s">
        <v>2871</v>
      </c>
      <c r="I2361" s="1052" t="s">
        <v>2871</v>
      </c>
      <c r="J2361" s="1052" t="s">
        <v>2871</v>
      </c>
      <c r="K2361" s="1052" t="s">
        <v>2871</v>
      </c>
      <c r="L2361" s="1052" t="s">
        <v>2871</v>
      </c>
      <c r="M2361" s="1052" t="s">
        <v>2871</v>
      </c>
      <c r="N2361" s="1052" t="s">
        <v>2871</v>
      </c>
      <c r="O2361" s="1058" t="s">
        <v>2871</v>
      </c>
      <c r="P2361" s="1052">
        <f t="shared" si="137"/>
        <v>9836</v>
      </c>
      <c r="Q2361" s="46"/>
      <c r="R2361" s="46"/>
      <c r="S2361" s="46"/>
    </row>
    <row r="2362" spans="1:19" ht="15.75">
      <c r="A2362" s="1053">
        <v>30</v>
      </c>
      <c r="B2362" s="232" t="s">
        <v>2913</v>
      </c>
      <c r="C2362" s="1073" t="s">
        <v>2914</v>
      </c>
      <c r="D2362" s="1029" t="s">
        <v>40</v>
      </c>
      <c r="E2362" s="1057">
        <v>12267</v>
      </c>
      <c r="F2362" s="232">
        <v>2</v>
      </c>
      <c r="G2362" s="1052">
        <f t="shared" si="136"/>
        <v>24534</v>
      </c>
      <c r="H2362" s="1052" t="s">
        <v>2871</v>
      </c>
      <c r="I2362" s="1052" t="s">
        <v>2871</v>
      </c>
      <c r="J2362" s="1052" t="s">
        <v>2871</v>
      </c>
      <c r="K2362" s="1052" t="s">
        <v>2871</v>
      </c>
      <c r="L2362" s="1052" t="s">
        <v>2871</v>
      </c>
      <c r="M2362" s="1052" t="s">
        <v>2871</v>
      </c>
      <c r="N2362" s="1052" t="s">
        <v>2871</v>
      </c>
      <c r="O2362" s="1058" t="s">
        <v>2871</v>
      </c>
      <c r="P2362" s="1052">
        <f t="shared" si="137"/>
        <v>24534</v>
      </c>
      <c r="Q2362" s="46"/>
      <c r="R2362" s="46"/>
      <c r="S2362" s="46"/>
    </row>
    <row r="2363" spans="1:19" ht="15.75">
      <c r="A2363" s="1053">
        <v>31</v>
      </c>
      <c r="B2363" s="232" t="s">
        <v>2373</v>
      </c>
      <c r="C2363" s="1073" t="s">
        <v>2915</v>
      </c>
      <c r="D2363" s="1029" t="s">
        <v>40</v>
      </c>
      <c r="E2363" s="1057">
        <v>0</v>
      </c>
      <c r="F2363" s="232">
        <v>1</v>
      </c>
      <c r="G2363" s="1052">
        <f t="shared" si="136"/>
        <v>0</v>
      </c>
      <c r="H2363" s="1052" t="s">
        <v>2871</v>
      </c>
      <c r="I2363" s="1052" t="s">
        <v>2871</v>
      </c>
      <c r="J2363" s="1052" t="s">
        <v>2871</v>
      </c>
      <c r="K2363" s="1052" t="s">
        <v>2871</v>
      </c>
      <c r="L2363" s="1052" t="s">
        <v>2871</v>
      </c>
      <c r="M2363" s="1052" t="s">
        <v>2871</v>
      </c>
      <c r="N2363" s="1052" t="s">
        <v>2871</v>
      </c>
      <c r="O2363" s="1058" t="s">
        <v>2871</v>
      </c>
      <c r="P2363" s="1052">
        <f t="shared" si="137"/>
        <v>0</v>
      </c>
      <c r="Q2363" s="46"/>
      <c r="R2363" s="46"/>
      <c r="S2363" s="46"/>
    </row>
    <row r="2364" spans="1:19" ht="15.75">
      <c r="A2364" s="1053">
        <v>32</v>
      </c>
      <c r="B2364" s="232" t="s">
        <v>2916</v>
      </c>
      <c r="C2364" s="1073" t="s">
        <v>2917</v>
      </c>
      <c r="D2364" s="1034" t="s">
        <v>40</v>
      </c>
      <c r="E2364" s="1057">
        <v>7882.5</v>
      </c>
      <c r="F2364" s="232">
        <v>2</v>
      </c>
      <c r="G2364" s="1052">
        <f t="shared" si="136"/>
        <v>15765</v>
      </c>
      <c r="H2364" s="1052" t="s">
        <v>2871</v>
      </c>
      <c r="I2364" s="1052" t="s">
        <v>2871</v>
      </c>
      <c r="J2364" s="1052" t="s">
        <v>2871</v>
      </c>
      <c r="K2364" s="1052" t="s">
        <v>2871</v>
      </c>
      <c r="L2364" s="1052" t="s">
        <v>2871</v>
      </c>
      <c r="M2364" s="1052" t="s">
        <v>2871</v>
      </c>
      <c r="N2364" s="1052" t="s">
        <v>2871</v>
      </c>
      <c r="O2364" s="1058" t="s">
        <v>2871</v>
      </c>
      <c r="P2364" s="1052">
        <f t="shared" si="137"/>
        <v>15765</v>
      </c>
      <c r="Q2364" s="46"/>
      <c r="R2364" s="46"/>
      <c r="S2364" s="46"/>
    </row>
    <row r="2365" spans="1:19" ht="15.75">
      <c r="A2365" s="1053">
        <v>33</v>
      </c>
      <c r="B2365" s="232" t="s">
        <v>698</v>
      </c>
      <c r="C2365" s="1071" t="s">
        <v>2918</v>
      </c>
      <c r="D2365" s="48" t="s">
        <v>601</v>
      </c>
      <c r="E2365" s="1059">
        <v>5830.82</v>
      </c>
      <c r="F2365" s="232">
        <v>8</v>
      </c>
      <c r="G2365" s="1052">
        <f t="shared" si="136"/>
        <v>46646.559999999998</v>
      </c>
      <c r="H2365" s="1052" t="s">
        <v>2871</v>
      </c>
      <c r="I2365" s="1052" t="s">
        <v>2871</v>
      </c>
      <c r="J2365" s="1052" t="s">
        <v>2871</v>
      </c>
      <c r="K2365" s="1052" t="s">
        <v>2871</v>
      </c>
      <c r="L2365" s="1052" t="s">
        <v>2871</v>
      </c>
      <c r="M2365" s="1052" t="s">
        <v>2871</v>
      </c>
      <c r="N2365" s="1052" t="s">
        <v>2871</v>
      </c>
      <c r="O2365" s="1058" t="s">
        <v>2871</v>
      </c>
      <c r="P2365" s="1052">
        <f t="shared" si="137"/>
        <v>46646.559999999998</v>
      </c>
      <c r="Q2365" s="46"/>
      <c r="R2365" s="46"/>
      <c r="S2365" s="46"/>
    </row>
    <row r="2366" spans="1:19" ht="15.75">
      <c r="A2366" s="1053">
        <v>34</v>
      </c>
      <c r="B2366" s="232" t="s">
        <v>1394</v>
      </c>
      <c r="C2366" s="1073" t="s">
        <v>2919</v>
      </c>
      <c r="D2366" s="1034" t="s">
        <v>40</v>
      </c>
      <c r="E2366" s="1057">
        <v>0</v>
      </c>
      <c r="F2366" s="232">
        <v>2</v>
      </c>
      <c r="G2366" s="1052">
        <f t="shared" si="136"/>
        <v>0</v>
      </c>
      <c r="H2366" s="1052" t="s">
        <v>2871</v>
      </c>
      <c r="I2366" s="1052" t="s">
        <v>2871</v>
      </c>
      <c r="J2366" s="1052" t="s">
        <v>2871</v>
      </c>
      <c r="K2366" s="1052" t="s">
        <v>2871</v>
      </c>
      <c r="L2366" s="1052" t="s">
        <v>2871</v>
      </c>
      <c r="M2366" s="1052" t="s">
        <v>2871</v>
      </c>
      <c r="N2366" s="1052" t="s">
        <v>2871</v>
      </c>
      <c r="O2366" s="1058" t="s">
        <v>2871</v>
      </c>
      <c r="P2366" s="1052">
        <f t="shared" si="137"/>
        <v>0</v>
      </c>
      <c r="Q2366" s="46"/>
      <c r="R2366" s="46"/>
      <c r="S2366" s="46"/>
    </row>
    <row r="2367" spans="1:19" ht="63">
      <c r="A2367" s="1053">
        <v>35</v>
      </c>
      <c r="B2367" s="232" t="s">
        <v>2920</v>
      </c>
      <c r="C2367" s="1014" t="s">
        <v>2921</v>
      </c>
      <c r="D2367" s="1070" t="s">
        <v>37</v>
      </c>
      <c r="E2367" s="1015">
        <v>1410.1</v>
      </c>
      <c r="F2367" s="1015">
        <v>2</v>
      </c>
      <c r="G2367" s="1052">
        <f t="shared" si="136"/>
        <v>2820.2</v>
      </c>
      <c r="H2367" s="1052" t="s">
        <v>2871</v>
      </c>
      <c r="I2367" s="1052" t="s">
        <v>2871</v>
      </c>
      <c r="J2367" s="1052" t="s">
        <v>2871</v>
      </c>
      <c r="K2367" s="1052" t="s">
        <v>2871</v>
      </c>
      <c r="L2367" s="1052" t="s">
        <v>2871</v>
      </c>
      <c r="M2367" s="1052" t="s">
        <v>2871</v>
      </c>
      <c r="N2367" s="1052" t="s">
        <v>2871</v>
      </c>
      <c r="O2367" s="1058" t="s">
        <v>2871</v>
      </c>
      <c r="P2367" s="1052">
        <f t="shared" si="137"/>
        <v>2820.2</v>
      </c>
      <c r="Q2367" s="46"/>
      <c r="R2367" s="46"/>
      <c r="S2367" s="46"/>
    </row>
    <row r="2368" spans="1:19" ht="15.75">
      <c r="A2368" s="1053">
        <v>36</v>
      </c>
      <c r="B2368" s="232" t="s">
        <v>421</v>
      </c>
      <c r="C2368" s="1071" t="s">
        <v>2922</v>
      </c>
      <c r="D2368" s="48" t="s">
        <v>37</v>
      </c>
      <c r="E2368" s="1057">
        <v>800</v>
      </c>
      <c r="F2368" s="232">
        <v>1</v>
      </c>
      <c r="G2368" s="1052">
        <f t="shared" si="136"/>
        <v>800</v>
      </c>
      <c r="H2368" s="1052" t="s">
        <v>2871</v>
      </c>
      <c r="I2368" s="1052" t="s">
        <v>2871</v>
      </c>
      <c r="J2368" s="1052" t="s">
        <v>2871</v>
      </c>
      <c r="K2368" s="1052" t="s">
        <v>2871</v>
      </c>
      <c r="L2368" s="1052" t="s">
        <v>2871</v>
      </c>
      <c r="M2368" s="1052" t="s">
        <v>2871</v>
      </c>
      <c r="N2368" s="1052" t="s">
        <v>2871</v>
      </c>
      <c r="O2368" s="1058" t="s">
        <v>2871</v>
      </c>
      <c r="P2368" s="1052">
        <f t="shared" si="137"/>
        <v>800</v>
      </c>
      <c r="Q2368" s="46"/>
      <c r="R2368" s="46"/>
      <c r="S2368" s="46"/>
    </row>
    <row r="2369" spans="1:19" ht="63">
      <c r="A2369" s="1053">
        <v>37</v>
      </c>
      <c r="B2369" s="1074" t="s">
        <v>2923</v>
      </c>
      <c r="C2369" s="1064" t="s">
        <v>2924</v>
      </c>
      <c r="D2369" s="48" t="s">
        <v>2905</v>
      </c>
      <c r="E2369" s="1057">
        <v>11682</v>
      </c>
      <c r="F2369" s="1015">
        <v>3</v>
      </c>
      <c r="G2369" s="1052">
        <f t="shared" si="136"/>
        <v>35046</v>
      </c>
      <c r="H2369" s="1052" t="s">
        <v>2871</v>
      </c>
      <c r="I2369" s="1052" t="s">
        <v>2871</v>
      </c>
      <c r="J2369" s="1052" t="s">
        <v>2871</v>
      </c>
      <c r="K2369" s="1052" t="s">
        <v>2871</v>
      </c>
      <c r="L2369" s="1052" t="s">
        <v>2871</v>
      </c>
      <c r="M2369" s="1052" t="s">
        <v>2871</v>
      </c>
      <c r="N2369" s="1052" t="s">
        <v>2871</v>
      </c>
      <c r="O2369" s="1058" t="s">
        <v>2871</v>
      </c>
      <c r="P2369" s="1052">
        <f t="shared" si="137"/>
        <v>35046</v>
      </c>
      <c r="Q2369" s="46"/>
      <c r="R2369" s="46"/>
      <c r="S2369" s="46"/>
    </row>
    <row r="2370" spans="1:19" ht="31.5">
      <c r="A2370" s="1053">
        <v>38</v>
      </c>
      <c r="B2370" s="232" t="s">
        <v>2925</v>
      </c>
      <c r="C2370" s="1075" t="s">
        <v>2926</v>
      </c>
      <c r="D2370" s="48" t="s">
        <v>37</v>
      </c>
      <c r="E2370" s="1059">
        <v>150</v>
      </c>
      <c r="F2370" s="232" t="s">
        <v>2871</v>
      </c>
      <c r="G2370" s="232" t="s">
        <v>2874</v>
      </c>
      <c r="H2370" s="232"/>
      <c r="I2370" s="232"/>
      <c r="J2370" s="232"/>
      <c r="K2370" s="232"/>
      <c r="L2370" s="232"/>
      <c r="M2370" s="232"/>
      <c r="N2370" s="1052">
        <v>11</v>
      </c>
      <c r="O2370" s="1058">
        <f t="shared" ref="O2370" si="138">N2370*E2370</f>
        <v>1650</v>
      </c>
      <c r="P2370" s="1052">
        <f t="shared" ref="P2370" si="139">O2370</f>
        <v>1650</v>
      </c>
      <c r="Q2370" s="46"/>
      <c r="R2370" s="46"/>
      <c r="S2370" s="46"/>
    </row>
    <row r="2371" spans="1:19" ht="15.75">
      <c r="A2371" s="1053">
        <v>39</v>
      </c>
      <c r="B2371" s="232" t="s">
        <v>2927</v>
      </c>
      <c r="C2371" s="1076" t="s">
        <v>2928</v>
      </c>
      <c r="D2371" s="48" t="s">
        <v>195</v>
      </c>
      <c r="E2371" s="1057">
        <v>15</v>
      </c>
      <c r="F2371" s="1029">
        <v>330</v>
      </c>
      <c r="G2371" s="1052">
        <f t="shared" ref="G2371:G2385" si="140">F2371*E2371</f>
        <v>4950</v>
      </c>
      <c r="H2371" s="232" t="s">
        <v>2871</v>
      </c>
      <c r="I2371" s="232" t="s">
        <v>2871</v>
      </c>
      <c r="J2371" s="232" t="s">
        <v>2871</v>
      </c>
      <c r="K2371" s="232" t="s">
        <v>2871</v>
      </c>
      <c r="L2371" s="232" t="s">
        <v>2871</v>
      </c>
      <c r="M2371" s="232" t="s">
        <v>2871</v>
      </c>
      <c r="N2371" s="232" t="s">
        <v>2871</v>
      </c>
      <c r="O2371" s="1077" t="s">
        <v>2871</v>
      </c>
      <c r="P2371" s="1052">
        <f>F2371*E2371</f>
        <v>4950</v>
      </c>
      <c r="Q2371" s="46"/>
      <c r="R2371" s="46"/>
      <c r="S2371" s="46"/>
    </row>
    <row r="2372" spans="1:19" ht="78.75">
      <c r="A2372" s="1053">
        <v>40</v>
      </c>
      <c r="B2372" s="232" t="s">
        <v>429</v>
      </c>
      <c r="C2372" s="1078" t="s">
        <v>2929</v>
      </c>
      <c r="D2372" s="48" t="s">
        <v>37</v>
      </c>
      <c r="E2372" s="1057">
        <v>19116</v>
      </c>
      <c r="F2372" s="1029">
        <v>3</v>
      </c>
      <c r="G2372" s="1052">
        <f t="shared" si="140"/>
        <v>57348</v>
      </c>
      <c r="H2372" s="1052" t="s">
        <v>2871</v>
      </c>
      <c r="I2372" s="1052" t="s">
        <v>2871</v>
      </c>
      <c r="J2372" s="1052" t="s">
        <v>2871</v>
      </c>
      <c r="K2372" s="1052" t="s">
        <v>2871</v>
      </c>
      <c r="L2372" s="1052" t="s">
        <v>2871</v>
      </c>
      <c r="M2372" s="1052" t="s">
        <v>2871</v>
      </c>
      <c r="N2372" s="1052" t="s">
        <v>2871</v>
      </c>
      <c r="O2372" s="1058" t="s">
        <v>2871</v>
      </c>
      <c r="P2372" s="1052">
        <f>F2372*E2372</f>
        <v>57348</v>
      </c>
      <c r="Q2372" s="46"/>
      <c r="R2372" s="46"/>
      <c r="S2372" s="46"/>
    </row>
    <row r="2373" spans="1:19" ht="173.25">
      <c r="A2373" s="1053">
        <v>41</v>
      </c>
      <c r="B2373" s="1069" t="s">
        <v>429</v>
      </c>
      <c r="C2373" s="1053" t="s">
        <v>2930</v>
      </c>
      <c r="D2373" s="48" t="s">
        <v>37</v>
      </c>
      <c r="E2373" s="1057">
        <v>19057</v>
      </c>
      <c r="F2373" s="1029">
        <v>2</v>
      </c>
      <c r="G2373" s="1052">
        <f t="shared" si="140"/>
        <v>38114</v>
      </c>
      <c r="H2373" s="1052" t="s">
        <v>2871</v>
      </c>
      <c r="I2373" s="1052" t="s">
        <v>2871</v>
      </c>
      <c r="J2373" s="1052" t="s">
        <v>2871</v>
      </c>
      <c r="K2373" s="1052" t="s">
        <v>2871</v>
      </c>
      <c r="L2373" s="1052" t="s">
        <v>2871</v>
      </c>
      <c r="M2373" s="1052" t="s">
        <v>2871</v>
      </c>
      <c r="N2373" s="1052" t="s">
        <v>2871</v>
      </c>
      <c r="O2373" s="1058" t="s">
        <v>2871</v>
      </c>
      <c r="P2373" s="1052">
        <f t="shared" ref="P2373:P2387" si="141">F2373*E2373</f>
        <v>38114</v>
      </c>
      <c r="Q2373" s="46"/>
      <c r="R2373" s="46"/>
      <c r="S2373" s="46"/>
    </row>
    <row r="2374" spans="1:19" ht="78.75">
      <c r="A2374" s="1053">
        <v>42</v>
      </c>
      <c r="B2374" s="232" t="s">
        <v>423</v>
      </c>
      <c r="C2374" s="1079" t="s">
        <v>2931</v>
      </c>
      <c r="D2374" s="48" t="s">
        <v>37</v>
      </c>
      <c r="E2374" s="1057">
        <v>19470</v>
      </c>
      <c r="F2374" s="1029">
        <v>3</v>
      </c>
      <c r="G2374" s="1052">
        <f t="shared" si="140"/>
        <v>58410</v>
      </c>
      <c r="H2374" s="1052" t="s">
        <v>2871</v>
      </c>
      <c r="I2374" s="1052" t="s">
        <v>2871</v>
      </c>
      <c r="J2374" s="1052" t="s">
        <v>2871</v>
      </c>
      <c r="K2374" s="1052" t="s">
        <v>2871</v>
      </c>
      <c r="L2374" s="1052" t="s">
        <v>2871</v>
      </c>
      <c r="M2374" s="1052" t="s">
        <v>2871</v>
      </c>
      <c r="N2374" s="1052" t="s">
        <v>2871</v>
      </c>
      <c r="O2374" s="1058" t="s">
        <v>2871</v>
      </c>
      <c r="P2374" s="1052">
        <f t="shared" si="141"/>
        <v>58410</v>
      </c>
      <c r="Q2374" s="46"/>
      <c r="R2374" s="46"/>
      <c r="S2374" s="46"/>
    </row>
    <row r="2375" spans="1:19" ht="189">
      <c r="A2375" s="1053">
        <v>43</v>
      </c>
      <c r="B2375" s="1069" t="s">
        <v>423</v>
      </c>
      <c r="C2375" s="1080" t="s">
        <v>2932</v>
      </c>
      <c r="D2375" s="48" t="s">
        <v>37</v>
      </c>
      <c r="E2375" s="1057">
        <v>19883</v>
      </c>
      <c r="F2375" s="1029">
        <v>2</v>
      </c>
      <c r="G2375" s="1052">
        <f t="shared" si="140"/>
        <v>39766</v>
      </c>
      <c r="H2375" s="1052" t="s">
        <v>2871</v>
      </c>
      <c r="I2375" s="1052" t="s">
        <v>2871</v>
      </c>
      <c r="J2375" s="1052" t="s">
        <v>2871</v>
      </c>
      <c r="K2375" s="1052" t="s">
        <v>2871</v>
      </c>
      <c r="L2375" s="1052" t="s">
        <v>2871</v>
      </c>
      <c r="M2375" s="1052" t="s">
        <v>2871</v>
      </c>
      <c r="N2375" s="1052" t="s">
        <v>2871</v>
      </c>
      <c r="O2375" s="1058" t="s">
        <v>2871</v>
      </c>
      <c r="P2375" s="1052">
        <f t="shared" si="141"/>
        <v>39766</v>
      </c>
      <c r="Q2375" s="46"/>
      <c r="R2375" s="46"/>
      <c r="S2375" s="46"/>
    </row>
    <row r="2376" spans="1:19" ht="15.75">
      <c r="A2376" s="1053">
        <v>44</v>
      </c>
      <c r="B2376" s="232" t="s">
        <v>2933</v>
      </c>
      <c r="C2376" s="1073" t="s">
        <v>2934</v>
      </c>
      <c r="D2376" s="1029" t="s">
        <v>40</v>
      </c>
      <c r="E2376" s="1057">
        <v>0</v>
      </c>
      <c r="F2376" s="232">
        <v>3</v>
      </c>
      <c r="G2376" s="1052">
        <f t="shared" si="140"/>
        <v>0</v>
      </c>
      <c r="H2376" s="1052" t="s">
        <v>2871</v>
      </c>
      <c r="I2376" s="1052" t="s">
        <v>2871</v>
      </c>
      <c r="J2376" s="1052" t="s">
        <v>2871</v>
      </c>
      <c r="K2376" s="1052" t="s">
        <v>2871</v>
      </c>
      <c r="L2376" s="1052" t="s">
        <v>2871</v>
      </c>
      <c r="M2376" s="1052" t="s">
        <v>2871</v>
      </c>
      <c r="N2376" s="1052" t="s">
        <v>2871</v>
      </c>
      <c r="O2376" s="1058" t="s">
        <v>2871</v>
      </c>
      <c r="P2376" s="1052">
        <f t="shared" si="141"/>
        <v>0</v>
      </c>
      <c r="Q2376" s="46"/>
      <c r="R2376" s="46"/>
      <c r="S2376" s="46"/>
    </row>
    <row r="2377" spans="1:19" ht="15.75">
      <c r="A2377" s="1053">
        <v>45</v>
      </c>
      <c r="B2377" s="232" t="s">
        <v>1753</v>
      </c>
      <c r="C2377" s="1073" t="s">
        <v>2935</v>
      </c>
      <c r="D2377" s="1034" t="s">
        <v>40</v>
      </c>
      <c r="E2377" s="1057">
        <v>15000</v>
      </c>
      <c r="F2377" s="232">
        <v>3</v>
      </c>
      <c r="G2377" s="1052">
        <f t="shared" si="140"/>
        <v>45000</v>
      </c>
      <c r="H2377" s="1052" t="s">
        <v>2871</v>
      </c>
      <c r="I2377" s="1052" t="s">
        <v>2871</v>
      </c>
      <c r="J2377" s="1052" t="s">
        <v>2871</v>
      </c>
      <c r="K2377" s="1052" t="s">
        <v>2871</v>
      </c>
      <c r="L2377" s="1052" t="s">
        <v>2871</v>
      </c>
      <c r="M2377" s="1052" t="s">
        <v>2871</v>
      </c>
      <c r="N2377" s="1052" t="s">
        <v>2871</v>
      </c>
      <c r="O2377" s="1058" t="s">
        <v>2871</v>
      </c>
      <c r="P2377" s="1052">
        <f t="shared" si="141"/>
        <v>45000</v>
      </c>
      <c r="Q2377" s="46"/>
      <c r="R2377" s="46"/>
      <c r="S2377" s="46"/>
    </row>
    <row r="2378" spans="1:19" ht="94.5">
      <c r="A2378" s="1053">
        <v>46</v>
      </c>
      <c r="B2378" s="232" t="s">
        <v>712</v>
      </c>
      <c r="C2378" s="1014" t="s">
        <v>2936</v>
      </c>
      <c r="D2378" s="1070" t="s">
        <v>37</v>
      </c>
      <c r="E2378" s="1015">
        <v>1174.0999999999999</v>
      </c>
      <c r="F2378" s="1015">
        <v>1</v>
      </c>
      <c r="G2378" s="1052">
        <f t="shared" si="140"/>
        <v>1174.0999999999999</v>
      </c>
      <c r="H2378" s="1052" t="s">
        <v>2871</v>
      </c>
      <c r="I2378" s="1052" t="s">
        <v>2871</v>
      </c>
      <c r="J2378" s="1052" t="s">
        <v>2871</v>
      </c>
      <c r="K2378" s="1052" t="s">
        <v>2871</v>
      </c>
      <c r="L2378" s="1052" t="s">
        <v>2871</v>
      </c>
      <c r="M2378" s="1052" t="s">
        <v>2871</v>
      </c>
      <c r="N2378" s="1052" t="s">
        <v>2871</v>
      </c>
      <c r="O2378" s="1058" t="s">
        <v>2871</v>
      </c>
      <c r="P2378" s="1052">
        <f t="shared" si="141"/>
        <v>1174.0999999999999</v>
      </c>
      <c r="Q2378" s="46"/>
      <c r="R2378" s="46"/>
      <c r="S2378" s="46"/>
    </row>
    <row r="2379" spans="1:19" ht="31.5">
      <c r="A2379" s="1053">
        <v>47</v>
      </c>
      <c r="B2379" s="1071" t="s">
        <v>2285</v>
      </c>
      <c r="C2379" s="1064" t="s">
        <v>2937</v>
      </c>
      <c r="D2379" s="1015" t="s">
        <v>62</v>
      </c>
      <c r="E2379" s="1057">
        <v>2242</v>
      </c>
      <c r="F2379" s="1015">
        <v>4</v>
      </c>
      <c r="G2379" s="1052">
        <f t="shared" si="140"/>
        <v>8968</v>
      </c>
      <c r="H2379" s="1052" t="s">
        <v>2871</v>
      </c>
      <c r="I2379" s="1052" t="s">
        <v>2871</v>
      </c>
      <c r="J2379" s="1052" t="s">
        <v>2871</v>
      </c>
      <c r="K2379" s="1052" t="s">
        <v>2871</v>
      </c>
      <c r="L2379" s="1052" t="s">
        <v>2871</v>
      </c>
      <c r="M2379" s="1052" t="s">
        <v>2871</v>
      </c>
      <c r="N2379" s="1052" t="s">
        <v>2871</v>
      </c>
      <c r="O2379" s="1058" t="s">
        <v>2871</v>
      </c>
      <c r="P2379" s="1052">
        <f t="shared" si="141"/>
        <v>8968</v>
      </c>
      <c r="Q2379" s="46"/>
      <c r="R2379" s="46"/>
      <c r="S2379" s="46"/>
    </row>
    <row r="2380" spans="1:19" ht="47.25">
      <c r="A2380" s="1053">
        <v>48</v>
      </c>
      <c r="B2380" s="232" t="s">
        <v>1405</v>
      </c>
      <c r="C2380" s="1012" t="s">
        <v>2938</v>
      </c>
      <c r="D2380" s="1070" t="s">
        <v>37</v>
      </c>
      <c r="E2380" s="1059">
        <v>180</v>
      </c>
      <c r="F2380" s="1060">
        <v>8</v>
      </c>
      <c r="G2380" s="1061">
        <f t="shared" si="140"/>
        <v>1440</v>
      </c>
      <c r="H2380" s="1052" t="s">
        <v>2871</v>
      </c>
      <c r="I2380" s="1052" t="s">
        <v>2871</v>
      </c>
      <c r="J2380" s="1052" t="s">
        <v>2871</v>
      </c>
      <c r="K2380" s="1052" t="s">
        <v>2871</v>
      </c>
      <c r="L2380" s="1052" t="s">
        <v>2871</v>
      </c>
      <c r="M2380" s="1052" t="s">
        <v>2871</v>
      </c>
      <c r="N2380" s="1052" t="s">
        <v>2871</v>
      </c>
      <c r="O2380" s="1058" t="s">
        <v>2871</v>
      </c>
      <c r="P2380" s="1052">
        <f t="shared" si="141"/>
        <v>1440</v>
      </c>
      <c r="Q2380" s="46"/>
      <c r="R2380" s="46"/>
      <c r="S2380" s="46"/>
    </row>
    <row r="2381" spans="1:19" ht="47.25">
      <c r="A2381" s="1053">
        <v>49</v>
      </c>
      <c r="B2381" s="232" t="s">
        <v>1760</v>
      </c>
      <c r="C2381" s="1014" t="s">
        <v>2939</v>
      </c>
      <c r="D2381" s="1070" t="s">
        <v>37</v>
      </c>
      <c r="E2381" s="1015">
        <v>1286.2</v>
      </c>
      <c r="F2381" s="1015">
        <v>2</v>
      </c>
      <c r="G2381" s="1052">
        <f t="shared" si="140"/>
        <v>2572.4</v>
      </c>
      <c r="H2381" s="1052" t="s">
        <v>2871</v>
      </c>
      <c r="I2381" s="1052" t="s">
        <v>2871</v>
      </c>
      <c r="J2381" s="1052" t="s">
        <v>2871</v>
      </c>
      <c r="K2381" s="1052" t="s">
        <v>2871</v>
      </c>
      <c r="L2381" s="1052" t="s">
        <v>2871</v>
      </c>
      <c r="M2381" s="1052" t="s">
        <v>2871</v>
      </c>
      <c r="N2381" s="1052" t="s">
        <v>2871</v>
      </c>
      <c r="O2381" s="1058" t="s">
        <v>2871</v>
      </c>
      <c r="P2381" s="1052">
        <f t="shared" si="141"/>
        <v>2572.4</v>
      </c>
      <c r="Q2381" s="46"/>
      <c r="R2381" s="46"/>
      <c r="S2381" s="46"/>
    </row>
    <row r="2382" spans="1:19" ht="15.75">
      <c r="A2382" s="1053">
        <v>50</v>
      </c>
      <c r="B2382" s="232" t="s">
        <v>2940</v>
      </c>
      <c r="C2382" s="1073" t="s">
        <v>2941</v>
      </c>
      <c r="D2382" s="48" t="s">
        <v>37</v>
      </c>
      <c r="E2382" s="1057">
        <v>914.92</v>
      </c>
      <c r="F2382" s="1081">
        <v>8</v>
      </c>
      <c r="G2382" s="1052">
        <f t="shared" si="140"/>
        <v>7319.36</v>
      </c>
      <c r="H2382" s="1052" t="s">
        <v>2871</v>
      </c>
      <c r="I2382" s="1052" t="s">
        <v>2871</v>
      </c>
      <c r="J2382" s="1052" t="s">
        <v>2871</v>
      </c>
      <c r="K2382" s="1052" t="s">
        <v>2871</v>
      </c>
      <c r="L2382" s="1052" t="s">
        <v>2871</v>
      </c>
      <c r="M2382" s="1052" t="s">
        <v>2871</v>
      </c>
      <c r="N2382" s="1052" t="s">
        <v>2871</v>
      </c>
      <c r="O2382" s="1058" t="s">
        <v>2871</v>
      </c>
      <c r="P2382" s="1052">
        <f t="shared" si="141"/>
        <v>7319.36</v>
      </c>
      <c r="Q2382" s="46"/>
      <c r="R2382" s="46"/>
      <c r="S2382" s="46"/>
    </row>
    <row r="2383" spans="1:19" ht="47.25">
      <c r="A2383" s="1053">
        <v>51</v>
      </c>
      <c r="B2383" s="232" t="s">
        <v>722</v>
      </c>
      <c r="C2383" s="50" t="s">
        <v>2942</v>
      </c>
      <c r="D2383" s="48" t="s">
        <v>37</v>
      </c>
      <c r="E2383" s="1057">
        <v>1298</v>
      </c>
      <c r="F2383" s="232">
        <v>1</v>
      </c>
      <c r="G2383" s="1052">
        <f t="shared" si="140"/>
        <v>1298</v>
      </c>
      <c r="H2383" s="1052" t="s">
        <v>2871</v>
      </c>
      <c r="I2383" s="1052" t="s">
        <v>2871</v>
      </c>
      <c r="J2383" s="1052" t="s">
        <v>2871</v>
      </c>
      <c r="K2383" s="1052" t="s">
        <v>2871</v>
      </c>
      <c r="L2383" s="1052" t="s">
        <v>2871</v>
      </c>
      <c r="M2383" s="1052" t="s">
        <v>2871</v>
      </c>
      <c r="N2383" s="1052" t="s">
        <v>2871</v>
      </c>
      <c r="O2383" s="1058" t="s">
        <v>2871</v>
      </c>
      <c r="P2383" s="1052">
        <f t="shared" si="141"/>
        <v>1298</v>
      </c>
      <c r="Q2383" s="46"/>
      <c r="R2383" s="46"/>
      <c r="S2383" s="46"/>
    </row>
    <row r="2384" spans="1:19" ht="47.25">
      <c r="A2384" s="1053">
        <v>52</v>
      </c>
      <c r="B2384" s="232" t="s">
        <v>700</v>
      </c>
      <c r="C2384" s="1064" t="s">
        <v>2943</v>
      </c>
      <c r="D2384" s="48" t="s">
        <v>37</v>
      </c>
      <c r="E2384" s="1057">
        <v>1593.73</v>
      </c>
      <c r="F2384" s="232">
        <v>2</v>
      </c>
      <c r="G2384" s="1052">
        <f t="shared" si="140"/>
        <v>3187.46</v>
      </c>
      <c r="H2384" s="1052" t="s">
        <v>2871</v>
      </c>
      <c r="I2384" s="1052" t="s">
        <v>2871</v>
      </c>
      <c r="J2384" s="1052" t="s">
        <v>2871</v>
      </c>
      <c r="K2384" s="1052" t="s">
        <v>2871</v>
      </c>
      <c r="L2384" s="1052" t="s">
        <v>2871</v>
      </c>
      <c r="M2384" s="1052" t="s">
        <v>2871</v>
      </c>
      <c r="N2384" s="1052" t="s">
        <v>2871</v>
      </c>
      <c r="O2384" s="1058" t="s">
        <v>2871</v>
      </c>
      <c r="P2384" s="1052">
        <f t="shared" si="141"/>
        <v>3187.46</v>
      </c>
      <c r="Q2384" s="46"/>
      <c r="R2384" s="46"/>
      <c r="S2384" s="46"/>
    </row>
    <row r="2385" spans="1:19" ht="63">
      <c r="A2385" s="1053">
        <v>53</v>
      </c>
      <c r="B2385" s="232" t="s">
        <v>1332</v>
      </c>
      <c r="C2385" s="1014" t="s">
        <v>2944</v>
      </c>
      <c r="D2385" s="1070" t="s">
        <v>37</v>
      </c>
      <c r="E2385" s="1015">
        <v>1410.1</v>
      </c>
      <c r="F2385" s="1015">
        <v>2</v>
      </c>
      <c r="G2385" s="1052">
        <f t="shared" si="140"/>
        <v>2820.2</v>
      </c>
      <c r="H2385" s="1052" t="s">
        <v>2871</v>
      </c>
      <c r="I2385" s="1052" t="s">
        <v>2871</v>
      </c>
      <c r="J2385" s="1052" t="s">
        <v>2871</v>
      </c>
      <c r="K2385" s="1052" t="s">
        <v>2871</v>
      </c>
      <c r="L2385" s="1052" t="s">
        <v>2871</v>
      </c>
      <c r="M2385" s="1052" t="s">
        <v>2871</v>
      </c>
      <c r="N2385" s="1052" t="s">
        <v>2871</v>
      </c>
      <c r="O2385" s="1058" t="s">
        <v>2871</v>
      </c>
      <c r="P2385" s="1052">
        <f t="shared" si="141"/>
        <v>2820.2</v>
      </c>
      <c r="Q2385" s="46"/>
      <c r="R2385" s="46"/>
      <c r="S2385" s="46"/>
    </row>
    <row r="2386" spans="1:19" ht="63">
      <c r="A2386" s="1053">
        <v>54</v>
      </c>
      <c r="B2386" s="232" t="s">
        <v>2945</v>
      </c>
      <c r="C2386" s="1016" t="s">
        <v>2946</v>
      </c>
      <c r="D2386" s="1070" t="s">
        <v>37</v>
      </c>
      <c r="E2386" s="1015">
        <v>10145.64</v>
      </c>
      <c r="F2386" s="1015">
        <v>1</v>
      </c>
      <c r="G2386" s="1061">
        <f>F2386*E2386</f>
        <v>10145.64</v>
      </c>
      <c r="H2386" s="1052" t="s">
        <v>2871</v>
      </c>
      <c r="I2386" s="1052" t="s">
        <v>2871</v>
      </c>
      <c r="J2386" s="1052" t="s">
        <v>2871</v>
      </c>
      <c r="K2386" s="1052" t="s">
        <v>2871</v>
      </c>
      <c r="L2386" s="1052" t="s">
        <v>2871</v>
      </c>
      <c r="M2386" s="1052" t="s">
        <v>2871</v>
      </c>
      <c r="N2386" s="1052" t="s">
        <v>2871</v>
      </c>
      <c r="O2386" s="1058" t="s">
        <v>2871</v>
      </c>
      <c r="P2386" s="1052">
        <f t="shared" si="141"/>
        <v>10145.64</v>
      </c>
      <c r="Q2386" s="46"/>
      <c r="R2386" s="46"/>
      <c r="S2386" s="46"/>
    </row>
    <row r="2387" spans="1:19" ht="63">
      <c r="A2387" s="1053">
        <v>55</v>
      </c>
      <c r="B2387" s="232" t="s">
        <v>2467</v>
      </c>
      <c r="C2387" s="1016" t="s">
        <v>2947</v>
      </c>
      <c r="D2387" s="1070" t="s">
        <v>37</v>
      </c>
      <c r="E2387" s="1015">
        <v>7430.46</v>
      </c>
      <c r="F2387" s="1015">
        <v>1</v>
      </c>
      <c r="G2387" s="1061">
        <f>F2387*E2387</f>
        <v>7430.46</v>
      </c>
      <c r="H2387" s="1052" t="s">
        <v>2871</v>
      </c>
      <c r="I2387" s="1052" t="s">
        <v>2871</v>
      </c>
      <c r="J2387" s="1052" t="s">
        <v>2871</v>
      </c>
      <c r="K2387" s="1052" t="s">
        <v>2871</v>
      </c>
      <c r="L2387" s="1052" t="s">
        <v>2871</v>
      </c>
      <c r="M2387" s="1052" t="s">
        <v>2871</v>
      </c>
      <c r="N2387" s="1052" t="s">
        <v>2871</v>
      </c>
      <c r="O2387" s="1058" t="s">
        <v>2871</v>
      </c>
      <c r="P2387" s="1052">
        <f t="shared" si="141"/>
        <v>7430.46</v>
      </c>
      <c r="Q2387" s="46"/>
      <c r="R2387" s="46"/>
      <c r="S2387" s="46"/>
    </row>
    <row r="2388" spans="1:19" ht="31.5">
      <c r="A2388" s="1053">
        <v>56</v>
      </c>
      <c r="B2388" s="232" t="s">
        <v>1794</v>
      </c>
      <c r="C2388" s="1064" t="s">
        <v>2948</v>
      </c>
      <c r="D2388" s="1070" t="s">
        <v>7</v>
      </c>
      <c r="E2388" s="1015">
        <v>73.16</v>
      </c>
      <c r="F2388" s="1015">
        <v>404</v>
      </c>
      <c r="G2388" s="1061">
        <f>F2388*E2388</f>
        <v>29556.639999999999</v>
      </c>
      <c r="H2388" s="1052" t="s">
        <v>2871</v>
      </c>
      <c r="I2388" s="1052" t="s">
        <v>2871</v>
      </c>
      <c r="J2388" s="1052" t="s">
        <v>2871</v>
      </c>
      <c r="K2388" s="1052" t="s">
        <v>2871</v>
      </c>
      <c r="L2388" s="1052" t="s">
        <v>2871</v>
      </c>
      <c r="M2388" s="1052" t="s">
        <v>2871</v>
      </c>
      <c r="N2388" s="1052" t="s">
        <v>2871</v>
      </c>
      <c r="O2388" s="1058" t="s">
        <v>2871</v>
      </c>
      <c r="P2388" s="1052">
        <f>F2388*E2388</f>
        <v>29556.639999999999</v>
      </c>
      <c r="Q2388" s="46"/>
      <c r="R2388" s="46"/>
      <c r="S2388" s="46"/>
    </row>
    <row r="2389" spans="1:19" ht="15.75">
      <c r="A2389" s="1053">
        <v>57</v>
      </c>
      <c r="B2389" s="232" t="s">
        <v>1796</v>
      </c>
      <c r="C2389" s="1068" t="s">
        <v>2949</v>
      </c>
      <c r="D2389" s="48" t="s">
        <v>37</v>
      </c>
      <c r="E2389" s="1059">
        <v>250</v>
      </c>
      <c r="F2389" s="232" t="s">
        <v>2874</v>
      </c>
      <c r="G2389" s="232" t="s">
        <v>2871</v>
      </c>
      <c r="H2389" s="232"/>
      <c r="I2389" s="232"/>
      <c r="J2389" s="232"/>
      <c r="K2389" s="232"/>
      <c r="L2389" s="232"/>
      <c r="M2389" s="232"/>
      <c r="N2389" s="1052">
        <v>40</v>
      </c>
      <c r="O2389" s="1058">
        <f t="shared" ref="O2389" si="142">N2389*E2389</f>
        <v>10000</v>
      </c>
      <c r="P2389" s="1052">
        <f>O2389</f>
        <v>10000</v>
      </c>
      <c r="Q2389" s="46"/>
      <c r="R2389" s="46"/>
      <c r="S2389" s="46"/>
    </row>
    <row r="2390" spans="1:19" ht="47.25">
      <c r="A2390" s="1053">
        <v>58</v>
      </c>
      <c r="B2390" s="232" t="s">
        <v>2950</v>
      </c>
      <c r="C2390" s="1016" t="s">
        <v>2951</v>
      </c>
      <c r="D2390" s="48" t="s">
        <v>37</v>
      </c>
      <c r="E2390" s="1057">
        <v>58764</v>
      </c>
      <c r="F2390" s="1029">
        <v>1</v>
      </c>
      <c r="G2390" s="1052">
        <f t="shared" ref="G2390:G2391" si="143">F2390*E2390</f>
        <v>58764</v>
      </c>
      <c r="H2390" s="1052" t="s">
        <v>2871</v>
      </c>
      <c r="I2390" s="1052" t="s">
        <v>2871</v>
      </c>
      <c r="J2390" s="1052" t="s">
        <v>2871</v>
      </c>
      <c r="K2390" s="1052" t="s">
        <v>2871</v>
      </c>
      <c r="L2390" s="1052" t="s">
        <v>2871</v>
      </c>
      <c r="M2390" s="1052" t="s">
        <v>2871</v>
      </c>
      <c r="N2390" s="1052" t="s">
        <v>2871</v>
      </c>
      <c r="O2390" s="1058" t="s">
        <v>2871</v>
      </c>
      <c r="P2390" s="1052">
        <f t="shared" ref="P2390:P2391" si="144">F2390*E2390</f>
        <v>58764</v>
      </c>
      <c r="Q2390" s="46"/>
      <c r="R2390" s="46"/>
      <c r="S2390" s="46"/>
    </row>
    <row r="2391" spans="1:19" ht="15.75">
      <c r="A2391" s="1053">
        <v>59</v>
      </c>
      <c r="B2391" s="232" t="s">
        <v>2498</v>
      </c>
      <c r="C2391" s="1073" t="s">
        <v>2952</v>
      </c>
      <c r="D2391" s="1034" t="s">
        <v>40</v>
      </c>
      <c r="E2391" s="1057">
        <v>22132.5</v>
      </c>
      <c r="F2391" s="232">
        <v>2</v>
      </c>
      <c r="G2391" s="1052">
        <f t="shared" si="143"/>
        <v>44265</v>
      </c>
      <c r="H2391" s="1052" t="s">
        <v>2871</v>
      </c>
      <c r="I2391" s="1052" t="s">
        <v>2871</v>
      </c>
      <c r="J2391" s="1052" t="s">
        <v>2871</v>
      </c>
      <c r="K2391" s="1052" t="s">
        <v>2871</v>
      </c>
      <c r="L2391" s="1052" t="s">
        <v>2871</v>
      </c>
      <c r="M2391" s="1052" t="s">
        <v>2871</v>
      </c>
      <c r="N2391" s="1052" t="s">
        <v>2871</v>
      </c>
      <c r="O2391" s="1058" t="s">
        <v>2871</v>
      </c>
      <c r="P2391" s="1052">
        <f t="shared" si="144"/>
        <v>44265</v>
      </c>
      <c r="Q2391" s="46"/>
      <c r="R2391" s="46"/>
      <c r="S2391" s="46"/>
    </row>
    <row r="2392" spans="1:19" ht="47.25">
      <c r="A2392" s="1053">
        <v>60</v>
      </c>
      <c r="B2392" s="232" t="s">
        <v>2953</v>
      </c>
      <c r="C2392" s="1082" t="s">
        <v>2954</v>
      </c>
      <c r="D2392" s="48" t="s">
        <v>37</v>
      </c>
      <c r="E2392" s="1059">
        <v>2200</v>
      </c>
      <c r="F2392" s="232" t="s">
        <v>2874</v>
      </c>
      <c r="G2392" s="232" t="s">
        <v>2874</v>
      </c>
      <c r="H2392" s="232" t="s">
        <v>2874</v>
      </c>
      <c r="I2392" s="232" t="s">
        <v>2874</v>
      </c>
      <c r="J2392" s="232" t="s">
        <v>2874</v>
      </c>
      <c r="K2392" s="232" t="s">
        <v>2874</v>
      </c>
      <c r="L2392" s="232" t="s">
        <v>2874</v>
      </c>
      <c r="M2392" s="232" t="s">
        <v>2874</v>
      </c>
      <c r="N2392" s="1052">
        <v>1</v>
      </c>
      <c r="O2392" s="1058">
        <f t="shared" ref="O2392" si="145">N2392*E2392</f>
        <v>2200</v>
      </c>
      <c r="P2392" s="1052">
        <f>O2392</f>
        <v>2200</v>
      </c>
      <c r="Q2392" s="46"/>
      <c r="R2392" s="46"/>
      <c r="S2392" s="46"/>
    </row>
    <row r="2393" spans="1:19" ht="15.75">
      <c r="A2393" s="1053">
        <v>61</v>
      </c>
      <c r="B2393" s="232" t="s">
        <v>2955</v>
      </c>
      <c r="C2393" s="1073" t="s">
        <v>2956</v>
      </c>
      <c r="D2393" s="1029" t="s">
        <v>40</v>
      </c>
      <c r="E2393" s="1057">
        <v>50000</v>
      </c>
      <c r="F2393" s="232">
        <v>1</v>
      </c>
      <c r="G2393" s="1052">
        <f t="shared" ref="G2393:G2395" si="146">F2393*E2393</f>
        <v>50000</v>
      </c>
      <c r="H2393" s="1052" t="s">
        <v>2871</v>
      </c>
      <c r="I2393" s="1052" t="s">
        <v>2871</v>
      </c>
      <c r="J2393" s="1052" t="s">
        <v>2871</v>
      </c>
      <c r="K2393" s="1052" t="s">
        <v>2871</v>
      </c>
      <c r="L2393" s="1052" t="s">
        <v>2871</v>
      </c>
      <c r="M2393" s="1052" t="s">
        <v>2871</v>
      </c>
      <c r="N2393" s="1052" t="s">
        <v>2871</v>
      </c>
      <c r="O2393" s="1058" t="s">
        <v>2871</v>
      </c>
      <c r="P2393" s="1052">
        <f t="shared" ref="P2393:P2395" si="147">F2393*E2393</f>
        <v>50000</v>
      </c>
      <c r="Q2393" s="46"/>
      <c r="R2393" s="46"/>
      <c r="S2393" s="46"/>
    </row>
    <row r="2394" spans="1:19" ht="31.5">
      <c r="A2394" s="1053">
        <v>62</v>
      </c>
      <c r="B2394" s="1069" t="s">
        <v>2955</v>
      </c>
      <c r="C2394" s="1067" t="s">
        <v>2957</v>
      </c>
      <c r="D2394" s="48" t="s">
        <v>37</v>
      </c>
      <c r="E2394" s="1057">
        <v>193800</v>
      </c>
      <c r="F2394" s="232">
        <v>1</v>
      </c>
      <c r="G2394" s="1052">
        <f t="shared" si="146"/>
        <v>193800</v>
      </c>
      <c r="H2394" s="1052" t="s">
        <v>2871</v>
      </c>
      <c r="I2394" s="1052" t="s">
        <v>2871</v>
      </c>
      <c r="J2394" s="1052" t="s">
        <v>2871</v>
      </c>
      <c r="K2394" s="1052" t="s">
        <v>2871</v>
      </c>
      <c r="L2394" s="1052" t="s">
        <v>2871</v>
      </c>
      <c r="M2394" s="1052" t="s">
        <v>2871</v>
      </c>
      <c r="N2394" s="1052" t="s">
        <v>2871</v>
      </c>
      <c r="O2394" s="1058" t="s">
        <v>2871</v>
      </c>
      <c r="P2394" s="1052">
        <f t="shared" si="147"/>
        <v>193800</v>
      </c>
      <c r="Q2394" s="46"/>
      <c r="R2394" s="46"/>
      <c r="S2394" s="46"/>
    </row>
    <row r="2395" spans="1:19" ht="15.75">
      <c r="A2395" s="1053">
        <v>63</v>
      </c>
      <c r="B2395" s="232" t="s">
        <v>1382</v>
      </c>
      <c r="C2395" s="1073" t="s">
        <v>2958</v>
      </c>
      <c r="D2395" s="1034" t="s">
        <v>40</v>
      </c>
      <c r="E2395" s="1057">
        <v>55501.5</v>
      </c>
      <c r="F2395" s="232">
        <v>1</v>
      </c>
      <c r="G2395" s="1052">
        <f t="shared" si="146"/>
        <v>55501.5</v>
      </c>
      <c r="H2395" s="1052" t="s">
        <v>2871</v>
      </c>
      <c r="I2395" s="1052" t="s">
        <v>2871</v>
      </c>
      <c r="J2395" s="1052" t="s">
        <v>2871</v>
      </c>
      <c r="K2395" s="1052" t="s">
        <v>2871</v>
      </c>
      <c r="L2395" s="1052" t="s">
        <v>2871</v>
      </c>
      <c r="M2395" s="1052" t="s">
        <v>2871</v>
      </c>
      <c r="N2395" s="1052" t="s">
        <v>2871</v>
      </c>
      <c r="O2395" s="1058" t="s">
        <v>2871</v>
      </c>
      <c r="P2395" s="1052">
        <f t="shared" si="147"/>
        <v>55501.5</v>
      </c>
      <c r="Q2395" s="46"/>
      <c r="R2395" s="46"/>
      <c r="S2395" s="46"/>
    </row>
    <row r="2396" spans="1:19" ht="15.75">
      <c r="A2396" s="1053">
        <v>64</v>
      </c>
      <c r="B2396" s="1069" t="s">
        <v>1382</v>
      </c>
      <c r="C2396" s="1076" t="s">
        <v>2959</v>
      </c>
      <c r="D2396" s="48" t="s">
        <v>37</v>
      </c>
      <c r="E2396" s="1057">
        <v>2000</v>
      </c>
      <c r="F2396" s="1029">
        <v>1</v>
      </c>
      <c r="G2396" s="1052">
        <f>F2396*E2396</f>
        <v>2000</v>
      </c>
      <c r="H2396" s="232" t="s">
        <v>2871</v>
      </c>
      <c r="I2396" s="232" t="s">
        <v>2871</v>
      </c>
      <c r="J2396" s="232" t="s">
        <v>2871</v>
      </c>
      <c r="K2396" s="232" t="s">
        <v>2871</v>
      </c>
      <c r="L2396" s="232" t="s">
        <v>2871</v>
      </c>
      <c r="M2396" s="232" t="s">
        <v>2871</v>
      </c>
      <c r="N2396" s="232" t="s">
        <v>2871</v>
      </c>
      <c r="O2396" s="1077" t="s">
        <v>2871</v>
      </c>
      <c r="P2396" s="1052">
        <f>G2396*F2396</f>
        <v>2000</v>
      </c>
      <c r="Q2396" s="46"/>
      <c r="R2396" s="46"/>
      <c r="S2396" s="46"/>
    </row>
    <row r="2397" spans="1:19" ht="94.5">
      <c r="A2397" s="1053">
        <v>65</v>
      </c>
      <c r="B2397" s="232" t="s">
        <v>2821</v>
      </c>
      <c r="C2397" s="1072" t="s">
        <v>2960</v>
      </c>
      <c r="D2397" s="1015" t="s">
        <v>40</v>
      </c>
      <c r="E2397" s="1059">
        <v>10207</v>
      </c>
      <c r="F2397" s="1015">
        <v>4</v>
      </c>
      <c r="G2397" s="1052">
        <f t="shared" ref="G2397:G2404" si="148">F2397*E2397</f>
        <v>40828</v>
      </c>
      <c r="H2397" s="1052" t="s">
        <v>2871</v>
      </c>
      <c r="I2397" s="1052" t="s">
        <v>2871</v>
      </c>
      <c r="J2397" s="1052" t="s">
        <v>2871</v>
      </c>
      <c r="K2397" s="1052" t="s">
        <v>2871</v>
      </c>
      <c r="L2397" s="1052" t="s">
        <v>2871</v>
      </c>
      <c r="M2397" s="1052" t="s">
        <v>2871</v>
      </c>
      <c r="N2397" s="1052" t="s">
        <v>2871</v>
      </c>
      <c r="O2397" s="1058" t="s">
        <v>2871</v>
      </c>
      <c r="P2397" s="1052">
        <f t="shared" ref="P2397:P2407" si="149">F2397*E2397</f>
        <v>40828</v>
      </c>
      <c r="Q2397" s="46"/>
      <c r="R2397" s="46"/>
      <c r="S2397" s="46"/>
    </row>
    <row r="2398" spans="1:19" ht="31.5">
      <c r="A2398" s="1053">
        <v>66</v>
      </c>
      <c r="B2398" s="232" t="s">
        <v>2961</v>
      </c>
      <c r="C2398" s="1016" t="s">
        <v>2962</v>
      </c>
      <c r="D2398" s="1015" t="s">
        <v>40</v>
      </c>
      <c r="E2398" s="1059">
        <v>146.32</v>
      </c>
      <c r="F2398" s="1060">
        <v>170</v>
      </c>
      <c r="G2398" s="1052">
        <f t="shared" si="148"/>
        <v>24874.399999999998</v>
      </c>
      <c r="H2398" s="1052" t="s">
        <v>2871</v>
      </c>
      <c r="I2398" s="1052" t="s">
        <v>2871</v>
      </c>
      <c r="J2398" s="1052" t="s">
        <v>2871</v>
      </c>
      <c r="K2398" s="1052" t="s">
        <v>2871</v>
      </c>
      <c r="L2398" s="1052" t="s">
        <v>2871</v>
      </c>
      <c r="M2398" s="1052" t="s">
        <v>2871</v>
      </c>
      <c r="N2398" s="1052" t="s">
        <v>2871</v>
      </c>
      <c r="O2398" s="1058" t="s">
        <v>2871</v>
      </c>
      <c r="P2398" s="1052">
        <f t="shared" si="149"/>
        <v>24874.399999999998</v>
      </c>
      <c r="Q2398" s="46"/>
      <c r="R2398" s="46"/>
      <c r="S2398" s="46"/>
    </row>
    <row r="2399" spans="1:19" ht="63">
      <c r="A2399" s="1053">
        <v>67</v>
      </c>
      <c r="B2399" s="232" t="s">
        <v>2963</v>
      </c>
      <c r="C2399" s="1014" t="s">
        <v>2964</v>
      </c>
      <c r="D2399" s="1070" t="s">
        <v>37</v>
      </c>
      <c r="E2399" s="1015">
        <v>1410.1</v>
      </c>
      <c r="F2399" s="1015">
        <v>1</v>
      </c>
      <c r="G2399" s="1052">
        <f t="shared" si="148"/>
        <v>1410.1</v>
      </c>
      <c r="H2399" s="1052" t="s">
        <v>2871</v>
      </c>
      <c r="I2399" s="1052" t="s">
        <v>2871</v>
      </c>
      <c r="J2399" s="1052" t="s">
        <v>2871</v>
      </c>
      <c r="K2399" s="1052" t="s">
        <v>2871</v>
      </c>
      <c r="L2399" s="1052" t="s">
        <v>2871</v>
      </c>
      <c r="M2399" s="1052" t="s">
        <v>2871</v>
      </c>
      <c r="N2399" s="1052" t="s">
        <v>2871</v>
      </c>
      <c r="O2399" s="1058" t="s">
        <v>2871</v>
      </c>
      <c r="P2399" s="1052">
        <f t="shared" si="149"/>
        <v>1410.1</v>
      </c>
      <c r="Q2399" s="46"/>
      <c r="R2399" s="46"/>
      <c r="S2399" s="46"/>
    </row>
    <row r="2400" spans="1:19" ht="63">
      <c r="A2400" s="1053">
        <v>68</v>
      </c>
      <c r="B2400" s="232" t="s">
        <v>381</v>
      </c>
      <c r="C2400" s="1080" t="s">
        <v>2965</v>
      </c>
      <c r="D2400" s="1070" t="s">
        <v>37</v>
      </c>
      <c r="E2400" s="1015">
        <v>1168.2</v>
      </c>
      <c r="F2400" s="1015">
        <v>1</v>
      </c>
      <c r="G2400" s="1083">
        <f t="shared" si="148"/>
        <v>1168.2</v>
      </c>
      <c r="H2400" s="1052" t="s">
        <v>2871</v>
      </c>
      <c r="I2400" s="1052" t="s">
        <v>2871</v>
      </c>
      <c r="J2400" s="1052" t="s">
        <v>2871</v>
      </c>
      <c r="K2400" s="1052" t="s">
        <v>2871</v>
      </c>
      <c r="L2400" s="1052" t="s">
        <v>2871</v>
      </c>
      <c r="M2400" s="1052" t="s">
        <v>2871</v>
      </c>
      <c r="N2400" s="1052" t="s">
        <v>2871</v>
      </c>
      <c r="O2400" s="1058" t="s">
        <v>2871</v>
      </c>
      <c r="P2400" s="1052">
        <f t="shared" si="149"/>
        <v>1168.2</v>
      </c>
      <c r="Q2400" s="46"/>
      <c r="R2400" s="46"/>
      <c r="S2400" s="46"/>
    </row>
    <row r="2401" spans="1:19" ht="63">
      <c r="A2401" s="1053">
        <v>69</v>
      </c>
      <c r="B2401" s="232" t="s">
        <v>2966</v>
      </c>
      <c r="C2401" s="1064" t="s">
        <v>2967</v>
      </c>
      <c r="D2401" s="48" t="s">
        <v>37</v>
      </c>
      <c r="E2401" s="1057">
        <v>1416</v>
      </c>
      <c r="F2401" s="232">
        <v>2</v>
      </c>
      <c r="G2401" s="1052">
        <f t="shared" si="148"/>
        <v>2832</v>
      </c>
      <c r="H2401" s="1052" t="s">
        <v>2871</v>
      </c>
      <c r="I2401" s="1052" t="s">
        <v>2871</v>
      </c>
      <c r="J2401" s="1052" t="s">
        <v>2871</v>
      </c>
      <c r="K2401" s="1052" t="s">
        <v>2871</v>
      </c>
      <c r="L2401" s="1052" t="s">
        <v>2871</v>
      </c>
      <c r="M2401" s="1052" t="s">
        <v>2871</v>
      </c>
      <c r="N2401" s="1052" t="s">
        <v>2871</v>
      </c>
      <c r="O2401" s="1058" t="s">
        <v>2871</v>
      </c>
      <c r="P2401" s="1052">
        <f t="shared" si="149"/>
        <v>2832</v>
      </c>
      <c r="Q2401" s="46"/>
      <c r="R2401" s="46"/>
      <c r="S2401" s="46"/>
    </row>
    <row r="2402" spans="1:19" ht="31.5">
      <c r="A2402" s="1053">
        <v>70</v>
      </c>
      <c r="B2402" s="232" t="s">
        <v>2968</v>
      </c>
      <c r="C2402" s="1075" t="s">
        <v>2969</v>
      </c>
      <c r="D2402" s="17" t="s">
        <v>37</v>
      </c>
      <c r="E2402" s="317">
        <v>800</v>
      </c>
      <c r="F2402" s="232">
        <v>2</v>
      </c>
      <c r="G2402" s="1052">
        <f t="shared" si="148"/>
        <v>1600</v>
      </c>
      <c r="H2402" s="1052" t="s">
        <v>2871</v>
      </c>
      <c r="I2402" s="1052" t="s">
        <v>2871</v>
      </c>
      <c r="J2402" s="1052" t="s">
        <v>2871</v>
      </c>
      <c r="K2402" s="1052" t="s">
        <v>2871</v>
      </c>
      <c r="L2402" s="1052" t="s">
        <v>2871</v>
      </c>
      <c r="M2402" s="1052" t="s">
        <v>2871</v>
      </c>
      <c r="N2402" s="1052" t="s">
        <v>2871</v>
      </c>
      <c r="O2402" s="1058" t="s">
        <v>2871</v>
      </c>
      <c r="P2402" s="1052">
        <f t="shared" si="149"/>
        <v>1600</v>
      </c>
      <c r="Q2402" s="46"/>
      <c r="R2402" s="46"/>
      <c r="S2402" s="46"/>
    </row>
    <row r="2403" spans="1:19" ht="47.25">
      <c r="A2403" s="1053">
        <v>71</v>
      </c>
      <c r="B2403" s="232" t="s">
        <v>744</v>
      </c>
      <c r="C2403" s="1064" t="s">
        <v>2970</v>
      </c>
      <c r="D2403" s="48" t="s">
        <v>37</v>
      </c>
      <c r="E2403" s="1057">
        <v>5000</v>
      </c>
      <c r="F2403" s="232">
        <v>1</v>
      </c>
      <c r="G2403" s="1052">
        <f t="shared" si="148"/>
        <v>5000</v>
      </c>
      <c r="H2403" s="1052" t="s">
        <v>2871</v>
      </c>
      <c r="I2403" s="1052" t="s">
        <v>2871</v>
      </c>
      <c r="J2403" s="1052" t="s">
        <v>2871</v>
      </c>
      <c r="K2403" s="1052" t="s">
        <v>2871</v>
      </c>
      <c r="L2403" s="1052" t="s">
        <v>2871</v>
      </c>
      <c r="M2403" s="1052" t="s">
        <v>2871</v>
      </c>
      <c r="N2403" s="1052" t="s">
        <v>2871</v>
      </c>
      <c r="O2403" s="1058" t="s">
        <v>2871</v>
      </c>
      <c r="P2403" s="1052">
        <f t="shared" si="149"/>
        <v>5000</v>
      </c>
      <c r="Q2403" s="46"/>
      <c r="R2403" s="46"/>
      <c r="S2403" s="46"/>
    </row>
    <row r="2404" spans="1:19" ht="94.5">
      <c r="A2404" s="1053">
        <v>72</v>
      </c>
      <c r="B2404" s="232" t="s">
        <v>472</v>
      </c>
      <c r="C2404" s="1084" t="s">
        <v>2971</v>
      </c>
      <c r="D2404" s="48" t="s">
        <v>37</v>
      </c>
      <c r="E2404" s="1057">
        <v>1500</v>
      </c>
      <c r="F2404" s="232">
        <v>2</v>
      </c>
      <c r="G2404" s="1052">
        <f t="shared" si="148"/>
        <v>3000</v>
      </c>
      <c r="H2404" s="1052" t="s">
        <v>2871</v>
      </c>
      <c r="I2404" s="1052" t="s">
        <v>2871</v>
      </c>
      <c r="J2404" s="1052" t="s">
        <v>2871</v>
      </c>
      <c r="K2404" s="1052" t="s">
        <v>2871</v>
      </c>
      <c r="L2404" s="1052" t="s">
        <v>2871</v>
      </c>
      <c r="M2404" s="1052" t="s">
        <v>2871</v>
      </c>
      <c r="N2404" s="1052" t="s">
        <v>2871</v>
      </c>
      <c r="O2404" s="1058" t="s">
        <v>2871</v>
      </c>
      <c r="P2404" s="1052">
        <f t="shared" si="149"/>
        <v>3000</v>
      </c>
      <c r="Q2404" s="46"/>
      <c r="R2404" s="46"/>
      <c r="S2404" s="46"/>
    </row>
    <row r="2405" spans="1:19" ht="94.5">
      <c r="A2405" s="1053">
        <v>73</v>
      </c>
      <c r="B2405" s="1069" t="s">
        <v>472</v>
      </c>
      <c r="C2405" s="1085" t="s">
        <v>2972</v>
      </c>
      <c r="D2405" s="48" t="s">
        <v>37</v>
      </c>
      <c r="E2405" s="1059">
        <v>1500</v>
      </c>
      <c r="F2405" s="232">
        <v>1</v>
      </c>
      <c r="G2405" s="1052">
        <f>F2405*E2405</f>
        <v>1500</v>
      </c>
      <c r="H2405" s="1052" t="s">
        <v>2871</v>
      </c>
      <c r="I2405" s="1052" t="s">
        <v>2871</v>
      </c>
      <c r="J2405" s="1052" t="s">
        <v>2871</v>
      </c>
      <c r="K2405" s="1052" t="s">
        <v>2871</v>
      </c>
      <c r="L2405" s="1052" t="s">
        <v>2871</v>
      </c>
      <c r="M2405" s="1052" t="s">
        <v>2871</v>
      </c>
      <c r="N2405" s="1052" t="s">
        <v>2871</v>
      </c>
      <c r="O2405" s="1058" t="s">
        <v>2871</v>
      </c>
      <c r="P2405" s="1052">
        <f t="shared" si="149"/>
        <v>1500</v>
      </c>
      <c r="Q2405" s="46"/>
      <c r="R2405" s="46"/>
      <c r="S2405" s="46"/>
    </row>
    <row r="2406" spans="1:19" ht="31.5">
      <c r="A2406" s="1053">
        <v>74</v>
      </c>
      <c r="B2406" s="232" t="s">
        <v>2973</v>
      </c>
      <c r="C2406" s="1016" t="s">
        <v>2974</v>
      </c>
      <c r="D2406" s="1015" t="s">
        <v>40</v>
      </c>
      <c r="E2406" s="1059">
        <v>116.82</v>
      </c>
      <c r="F2406" s="1015">
        <v>150</v>
      </c>
      <c r="G2406" s="1061">
        <f t="shared" ref="G2406:G2407" si="150">F2406*E2406</f>
        <v>17523</v>
      </c>
      <c r="H2406" s="1052" t="s">
        <v>2871</v>
      </c>
      <c r="I2406" s="1052" t="s">
        <v>2871</v>
      </c>
      <c r="J2406" s="1052" t="s">
        <v>2871</v>
      </c>
      <c r="K2406" s="1052" t="s">
        <v>2871</v>
      </c>
      <c r="L2406" s="1052" t="s">
        <v>2871</v>
      </c>
      <c r="M2406" s="1052" t="s">
        <v>2871</v>
      </c>
      <c r="N2406" s="1052" t="s">
        <v>2871</v>
      </c>
      <c r="O2406" s="1058" t="s">
        <v>2871</v>
      </c>
      <c r="P2406" s="1052">
        <f t="shared" si="149"/>
        <v>17523</v>
      </c>
      <c r="Q2406" s="46"/>
      <c r="R2406" s="46"/>
      <c r="S2406" s="46"/>
    </row>
    <row r="2407" spans="1:19" ht="15.75">
      <c r="A2407" s="1053">
        <v>75</v>
      </c>
      <c r="B2407" s="232" t="s">
        <v>717</v>
      </c>
      <c r="C2407" s="1071" t="s">
        <v>2975</v>
      </c>
      <c r="D2407" s="48" t="s">
        <v>37</v>
      </c>
      <c r="E2407" s="1057">
        <v>531</v>
      </c>
      <c r="F2407" s="232">
        <v>4</v>
      </c>
      <c r="G2407" s="1052">
        <f t="shared" si="150"/>
        <v>2124</v>
      </c>
      <c r="H2407" s="1052" t="s">
        <v>2871</v>
      </c>
      <c r="I2407" s="1052" t="s">
        <v>2871</v>
      </c>
      <c r="J2407" s="1052" t="s">
        <v>2871</v>
      </c>
      <c r="K2407" s="1052" t="s">
        <v>2871</v>
      </c>
      <c r="L2407" s="1052" t="s">
        <v>2871</v>
      </c>
      <c r="M2407" s="1052" t="s">
        <v>2871</v>
      </c>
      <c r="N2407" s="1052" t="s">
        <v>2871</v>
      </c>
      <c r="O2407" s="1058" t="s">
        <v>2871</v>
      </c>
      <c r="P2407" s="1052">
        <f t="shared" si="149"/>
        <v>2124</v>
      </c>
      <c r="Q2407" s="46"/>
      <c r="R2407" s="46"/>
      <c r="S2407" s="46"/>
    </row>
    <row r="2408" spans="1:19" ht="31.5">
      <c r="A2408" s="1053">
        <v>76</v>
      </c>
      <c r="B2408" s="232" t="s">
        <v>748</v>
      </c>
      <c r="C2408" s="1016" t="s">
        <v>2976</v>
      </c>
      <c r="D2408" s="48" t="s">
        <v>37</v>
      </c>
      <c r="E2408" s="1059">
        <v>50</v>
      </c>
      <c r="F2408" s="232" t="s">
        <v>2874</v>
      </c>
      <c r="G2408" s="232" t="s">
        <v>2871</v>
      </c>
      <c r="H2408" s="232" t="s">
        <v>2871</v>
      </c>
      <c r="I2408" s="232" t="s">
        <v>2871</v>
      </c>
      <c r="J2408" s="232" t="s">
        <v>2871</v>
      </c>
      <c r="K2408" s="232" t="s">
        <v>2871</v>
      </c>
      <c r="L2408" s="232" t="s">
        <v>2871</v>
      </c>
      <c r="M2408" s="232" t="s">
        <v>2871</v>
      </c>
      <c r="N2408" s="1052">
        <v>55</v>
      </c>
      <c r="O2408" s="1058">
        <f t="shared" ref="O2408:O2409" si="151">N2408*E2408</f>
        <v>2750</v>
      </c>
      <c r="P2408" s="1052">
        <f t="shared" ref="P2408:P2409" si="152">O2408</f>
        <v>2750</v>
      </c>
      <c r="Q2408" s="46"/>
      <c r="R2408" s="46"/>
      <c r="S2408" s="46"/>
    </row>
    <row r="2409" spans="1:19" ht="47.25">
      <c r="A2409" s="1053">
        <v>77</v>
      </c>
      <c r="B2409" s="232" t="s">
        <v>2856</v>
      </c>
      <c r="C2409" s="1016" t="s">
        <v>2977</v>
      </c>
      <c r="D2409" s="48" t="s">
        <v>37</v>
      </c>
      <c r="E2409" s="1059">
        <v>5000</v>
      </c>
      <c r="F2409" s="232" t="s">
        <v>2871</v>
      </c>
      <c r="G2409" s="232" t="s">
        <v>2978</v>
      </c>
      <c r="H2409" s="232" t="s">
        <v>2978</v>
      </c>
      <c r="I2409" s="232" t="s">
        <v>2978</v>
      </c>
      <c r="J2409" s="232" t="s">
        <v>2978</v>
      </c>
      <c r="K2409" s="232" t="s">
        <v>2978</v>
      </c>
      <c r="L2409" s="232" t="s">
        <v>2978</v>
      </c>
      <c r="M2409" s="232" t="s">
        <v>2978</v>
      </c>
      <c r="N2409" s="1052">
        <v>1</v>
      </c>
      <c r="O2409" s="1058">
        <f t="shared" si="151"/>
        <v>5000</v>
      </c>
      <c r="P2409" s="1052">
        <f t="shared" si="152"/>
        <v>5000</v>
      </c>
      <c r="Q2409" s="46"/>
      <c r="R2409" s="46"/>
      <c r="S2409" s="46"/>
    </row>
    <row r="2410" spans="1:19" ht="63">
      <c r="A2410" s="1053">
        <v>78</v>
      </c>
      <c r="B2410" s="232"/>
      <c r="C2410" s="1086" t="s">
        <v>2979</v>
      </c>
      <c r="D2410" s="48" t="s">
        <v>37</v>
      </c>
      <c r="E2410" s="1059">
        <v>5000</v>
      </c>
      <c r="F2410" s="232">
        <v>1</v>
      </c>
      <c r="G2410" s="232">
        <f>E2410*F2410</f>
        <v>5000</v>
      </c>
      <c r="H2410" s="232" t="s">
        <v>2978</v>
      </c>
      <c r="I2410" s="232" t="s">
        <v>2978</v>
      </c>
      <c r="J2410" s="232" t="s">
        <v>2978</v>
      </c>
      <c r="K2410" s="232" t="s">
        <v>2978</v>
      </c>
      <c r="L2410" s="232" t="s">
        <v>2978</v>
      </c>
      <c r="M2410" s="232" t="s">
        <v>2978</v>
      </c>
      <c r="N2410" s="232" t="s">
        <v>2978</v>
      </c>
      <c r="O2410" s="232" t="s">
        <v>2978</v>
      </c>
      <c r="P2410" s="1052">
        <f>G2410</f>
        <v>5000</v>
      </c>
      <c r="Q2410" s="46"/>
      <c r="R2410" s="46"/>
      <c r="S2410" s="46"/>
    </row>
    <row r="2411" spans="1:19" ht="78.75">
      <c r="A2411" s="1053">
        <v>79</v>
      </c>
      <c r="B2411" s="232"/>
      <c r="C2411" s="1086" t="s">
        <v>2980</v>
      </c>
      <c r="D2411" s="48" t="s">
        <v>37</v>
      </c>
      <c r="E2411" s="1059">
        <v>2200</v>
      </c>
      <c r="F2411" s="232" t="s">
        <v>2871</v>
      </c>
      <c r="G2411" s="232" t="s">
        <v>2871</v>
      </c>
      <c r="H2411" s="232" t="s">
        <v>2978</v>
      </c>
      <c r="I2411" s="232" t="s">
        <v>2978</v>
      </c>
      <c r="J2411" s="232" t="s">
        <v>2978</v>
      </c>
      <c r="K2411" s="232" t="s">
        <v>2978</v>
      </c>
      <c r="L2411" s="232" t="s">
        <v>2978</v>
      </c>
      <c r="M2411" s="232" t="s">
        <v>2978</v>
      </c>
      <c r="N2411" s="1052">
        <v>2</v>
      </c>
      <c r="O2411" s="1058">
        <f>N2411*E2411</f>
        <v>4400</v>
      </c>
      <c r="P2411" s="1052">
        <f>O2411</f>
        <v>4400</v>
      </c>
      <c r="Q2411" s="46"/>
      <c r="R2411" s="46"/>
      <c r="S2411" s="46"/>
    </row>
    <row r="2412" spans="1:19" ht="15.75">
      <c r="A2412" s="1053">
        <v>80</v>
      </c>
      <c r="B2412" s="232" t="s">
        <v>2981</v>
      </c>
      <c r="C2412" s="1076" t="s">
        <v>2982</v>
      </c>
      <c r="D2412" s="48" t="s">
        <v>786</v>
      </c>
      <c r="E2412" s="1057">
        <v>20</v>
      </c>
      <c r="F2412" s="1029">
        <v>225</v>
      </c>
      <c r="G2412" s="1052">
        <f>F2412*E2412</f>
        <v>4500</v>
      </c>
      <c r="H2412" s="1052" t="s">
        <v>2871</v>
      </c>
      <c r="I2412" s="1052" t="s">
        <v>2871</v>
      </c>
      <c r="J2412" s="1052" t="s">
        <v>2871</v>
      </c>
      <c r="K2412" s="1052" t="s">
        <v>2871</v>
      </c>
      <c r="L2412" s="1052" t="s">
        <v>2871</v>
      </c>
      <c r="M2412" s="1052" t="s">
        <v>2871</v>
      </c>
      <c r="N2412" s="1052" t="s">
        <v>2871</v>
      </c>
      <c r="O2412" s="1058" t="s">
        <v>2871</v>
      </c>
      <c r="P2412" s="1052">
        <f t="shared" ref="P2412" si="153">F2412*E2412</f>
        <v>4500</v>
      </c>
      <c r="Q2412" s="46"/>
      <c r="R2412" s="46"/>
      <c r="S2412" s="46"/>
    </row>
    <row r="2413" spans="1:19" ht="15.75">
      <c r="A2413" s="1053"/>
      <c r="B2413" s="232"/>
      <c r="C2413" s="1076"/>
      <c r="D2413" s="48"/>
      <c r="E2413" s="1057"/>
      <c r="F2413" s="1029"/>
      <c r="G2413" s="1061">
        <f>SUM(G2333:G2412)</f>
        <v>2084858.4639499998</v>
      </c>
      <c r="H2413" s="1052"/>
      <c r="I2413" s="1052"/>
      <c r="J2413" s="1052"/>
      <c r="K2413" s="1052"/>
      <c r="L2413" s="1052"/>
      <c r="M2413" s="1052"/>
      <c r="N2413" s="1052"/>
      <c r="O2413" s="1058">
        <f>SUM(O2341:O2412)</f>
        <v>27200</v>
      </c>
      <c r="P2413" s="1052">
        <f>SUM(P2333:P2412)</f>
        <v>2112058.4639499998</v>
      </c>
      <c r="Q2413" s="46"/>
      <c r="R2413" s="46"/>
      <c r="S2413" s="46"/>
    </row>
    <row r="2414" spans="1:19" ht="63">
      <c r="A2414" s="1111" t="s">
        <v>2983</v>
      </c>
      <c r="B2414" s="1111"/>
      <c r="C2414" s="1111"/>
      <c r="D2414" s="1111"/>
      <c r="E2414" s="1052"/>
      <c r="F2414" s="1052"/>
      <c r="G2414" s="1052" t="s">
        <v>769</v>
      </c>
      <c r="H2414" s="1061"/>
      <c r="I2414" s="1017" t="s">
        <v>770</v>
      </c>
      <c r="J2414" s="1061"/>
      <c r="K2414" s="1087" t="s">
        <v>771</v>
      </c>
      <c r="L2414" s="1061"/>
      <c r="M2414" s="1017" t="s">
        <v>2984</v>
      </c>
      <c r="N2414" s="1061"/>
      <c r="O2414" s="1088" t="s">
        <v>773</v>
      </c>
      <c r="P2414" s="1017" t="s">
        <v>117</v>
      </c>
      <c r="Q2414" s="46"/>
      <c r="R2414" s="46"/>
      <c r="S2414" s="46"/>
    </row>
    <row r="2415" spans="1:19" ht="15.75">
      <c r="A2415" s="1089"/>
      <c r="B2415" s="1089"/>
      <c r="C2415" s="1089"/>
      <c r="D2415" s="1089"/>
      <c r="E2415" s="1089"/>
      <c r="F2415" s="1089"/>
      <c r="G2415" s="1090">
        <f>G2413</f>
        <v>2084858.4639499998</v>
      </c>
      <c r="H2415" s="1089"/>
      <c r="I2415" s="1089"/>
      <c r="J2415" s="1089"/>
      <c r="K2415" s="1089"/>
      <c r="L2415" s="1089"/>
      <c r="M2415" s="1089"/>
      <c r="N2415" s="1089"/>
      <c r="O2415" s="1091">
        <f>O2413</f>
        <v>27200</v>
      </c>
      <c r="P2415" s="1092">
        <f>O2415+G2415</f>
        <v>2112058.4639499998</v>
      </c>
      <c r="Q2415" s="46"/>
      <c r="R2415" s="46"/>
      <c r="S2415" s="46"/>
    </row>
    <row r="2418" spans="1:16">
      <c r="A2418" s="1098" t="s">
        <v>2985</v>
      </c>
      <c r="B2418" s="1098"/>
      <c r="C2418" s="1098"/>
      <c r="D2418" s="1018"/>
      <c r="E2418" s="1018"/>
      <c r="F2418" s="157"/>
      <c r="G2418" s="157"/>
      <c r="H2418" s="157"/>
      <c r="I2418" s="157"/>
      <c r="J2418" s="157"/>
      <c r="K2418" s="157"/>
      <c r="L2418" s="157"/>
      <c r="M2418" s="1098" t="s">
        <v>2986</v>
      </c>
      <c r="N2418" s="1098"/>
      <c r="O2418" s="1098"/>
      <c r="P2418" s="1098"/>
    </row>
    <row r="2419" spans="1:16">
      <c r="A2419" s="1098" t="s">
        <v>2987</v>
      </c>
      <c r="B2419" s="1098"/>
      <c r="C2419" s="1098"/>
      <c r="D2419" s="1018"/>
      <c r="E2419" s="1018"/>
      <c r="F2419" s="157"/>
      <c r="G2419" s="157"/>
      <c r="H2419" s="157"/>
      <c r="I2419" s="157"/>
      <c r="J2419" s="157"/>
      <c r="K2419" s="157"/>
      <c r="L2419" s="157"/>
      <c r="M2419" s="1019"/>
      <c r="N2419" s="1019"/>
      <c r="O2419" s="1019"/>
      <c r="P2419" s="1020"/>
    </row>
    <row r="2420" spans="1:16">
      <c r="A2420" s="1098" t="s">
        <v>2988</v>
      </c>
      <c r="B2420" s="1098"/>
      <c r="C2420" s="1098"/>
      <c r="D2420" s="1018"/>
      <c r="E2420" s="1018"/>
      <c r="F2420" s="157"/>
      <c r="G2420" s="157"/>
      <c r="H2420" s="157"/>
      <c r="I2420" s="1018"/>
      <c r="J2420" s="1018"/>
      <c r="K2420" s="1018"/>
      <c r="L2420" s="1018"/>
      <c r="M2420" s="1018"/>
      <c r="N2420" s="1018"/>
      <c r="O2420" s="1018"/>
      <c r="P2420" s="1018"/>
    </row>
    <row r="2421" spans="1:16">
      <c r="A2421" s="1099" t="s">
        <v>2989</v>
      </c>
      <c r="B2421" s="1100"/>
      <c r="C2421" s="1101"/>
      <c r="D2421" s="1018"/>
      <c r="E2421" s="1018"/>
      <c r="F2421" s="157"/>
      <c r="G2421" s="157"/>
      <c r="H2421" s="157"/>
      <c r="I2421" s="157"/>
      <c r="J2421" s="157"/>
      <c r="K2421" s="157"/>
      <c r="L2421" s="157"/>
      <c r="M2421" s="157"/>
      <c r="N2421" s="157"/>
      <c r="O2421" s="157"/>
      <c r="P2421" s="157"/>
    </row>
    <row r="2422" spans="1:16">
      <c r="A2422" s="1102" t="s">
        <v>209</v>
      </c>
      <c r="B2422" s="1103" t="s">
        <v>210</v>
      </c>
      <c r="C2422" s="1103" t="s">
        <v>2990</v>
      </c>
      <c r="D2422" s="1104" t="s">
        <v>112</v>
      </c>
      <c r="E2422" s="1106" t="s">
        <v>2991</v>
      </c>
      <c r="F2422" s="1103" t="s">
        <v>114</v>
      </c>
      <c r="G2422" s="1103"/>
      <c r="H2422" s="1093" t="s">
        <v>215</v>
      </c>
      <c r="I2422" s="1094"/>
      <c r="J2422" s="1093" t="s">
        <v>216</v>
      </c>
      <c r="K2422" s="1094"/>
      <c r="L2422" s="1094" t="s">
        <v>1</v>
      </c>
      <c r="M2422" s="1094"/>
      <c r="N2422" s="1093" t="s">
        <v>217</v>
      </c>
      <c r="O2422" s="1095"/>
      <c r="P2422" s="1096" t="s">
        <v>2992</v>
      </c>
    </row>
    <row r="2423" spans="1:16" ht="42.75">
      <c r="A2423" s="1103"/>
      <c r="B2423" s="1103"/>
      <c r="C2423" s="1103"/>
      <c r="D2423" s="1105"/>
      <c r="E2423" s="1107"/>
      <c r="F2423" s="100" t="s">
        <v>118</v>
      </c>
      <c r="G2423" s="153" t="s">
        <v>119</v>
      </c>
      <c r="H2423" s="100" t="s">
        <v>118</v>
      </c>
      <c r="I2423" s="153" t="s">
        <v>119</v>
      </c>
      <c r="J2423" s="100" t="s">
        <v>118</v>
      </c>
      <c r="K2423" s="153" t="s">
        <v>119</v>
      </c>
      <c r="L2423" s="100" t="s">
        <v>118</v>
      </c>
      <c r="M2423" s="153" t="s">
        <v>119</v>
      </c>
      <c r="N2423" s="100" t="s">
        <v>118</v>
      </c>
      <c r="O2423" s="153" t="s">
        <v>119</v>
      </c>
      <c r="P2423" s="1097"/>
    </row>
    <row r="2424" spans="1:16" ht="31.5">
      <c r="A2424" s="100">
        <v>1</v>
      </c>
      <c r="B2424" s="1021" t="s">
        <v>1371</v>
      </c>
      <c r="C2424" s="1022" t="s">
        <v>2993</v>
      </c>
      <c r="D2424" s="1023" t="s">
        <v>37</v>
      </c>
      <c r="E2424" s="1024">
        <v>4867.5</v>
      </c>
      <c r="F2424" s="100">
        <v>2</v>
      </c>
      <c r="G2424" s="140">
        <f>E2424*F2424</f>
        <v>9735</v>
      </c>
      <c r="H2424" s="100">
        <v>0</v>
      </c>
      <c r="I2424" s="140">
        <v>0</v>
      </c>
      <c r="J2424" s="100">
        <v>0</v>
      </c>
      <c r="K2424" s="140">
        <v>0</v>
      </c>
      <c r="L2424" s="100">
        <v>0</v>
      </c>
      <c r="M2424" s="140">
        <v>0</v>
      </c>
      <c r="N2424" s="100">
        <v>0</v>
      </c>
      <c r="O2424" s="140">
        <v>0</v>
      </c>
      <c r="P2424" s="140">
        <f>O2424+M2424+K2424+I2424+G2424</f>
        <v>9735</v>
      </c>
    </row>
    <row r="2425" spans="1:16" ht="47.25">
      <c r="A2425" s="100">
        <v>2</v>
      </c>
      <c r="B2425" s="1021" t="s">
        <v>475</v>
      </c>
      <c r="C2425" s="1022" t="s">
        <v>2994</v>
      </c>
      <c r="D2425" s="1023" t="s">
        <v>2779</v>
      </c>
      <c r="E2425" s="1024">
        <v>5605</v>
      </c>
      <c r="F2425" s="1025">
        <v>4</v>
      </c>
      <c r="G2425" s="140">
        <f t="shared" ref="G2425:G2467" si="154">E2425*F2425</f>
        <v>22420</v>
      </c>
      <c r="H2425" s="100">
        <v>0</v>
      </c>
      <c r="I2425" s="140">
        <v>0</v>
      </c>
      <c r="J2425" s="100">
        <v>0</v>
      </c>
      <c r="K2425" s="140">
        <v>0</v>
      </c>
      <c r="L2425" s="100">
        <v>0</v>
      </c>
      <c r="M2425" s="140">
        <v>0</v>
      </c>
      <c r="N2425" s="100">
        <v>0</v>
      </c>
      <c r="O2425" s="140">
        <v>0</v>
      </c>
      <c r="P2425" s="140">
        <f t="shared" ref="P2425:P2454" si="155">O2425+M2425+K2425+I2425+G2425</f>
        <v>22420</v>
      </c>
    </row>
    <row r="2426" spans="1:16" ht="31.5">
      <c r="A2426" s="100">
        <v>3</v>
      </c>
      <c r="B2426" s="1021" t="s">
        <v>475</v>
      </c>
      <c r="C2426" s="1026" t="s">
        <v>2995</v>
      </c>
      <c r="D2426" s="1023" t="s">
        <v>2779</v>
      </c>
      <c r="E2426" s="1024">
        <v>500</v>
      </c>
      <c r="F2426" s="1025">
        <v>6</v>
      </c>
      <c r="G2426" s="140">
        <f t="shared" si="154"/>
        <v>3000</v>
      </c>
      <c r="H2426" s="100">
        <v>0</v>
      </c>
      <c r="I2426" s="140">
        <v>0</v>
      </c>
      <c r="J2426" s="100">
        <v>0</v>
      </c>
      <c r="K2426" s="140">
        <v>0</v>
      </c>
      <c r="L2426" s="100">
        <v>0</v>
      </c>
      <c r="M2426" s="140">
        <v>0</v>
      </c>
      <c r="N2426" s="100">
        <v>0</v>
      </c>
      <c r="O2426" s="140">
        <v>0</v>
      </c>
      <c r="P2426" s="140">
        <f t="shared" si="155"/>
        <v>3000</v>
      </c>
    </row>
    <row r="2427" spans="1:16" ht="31.5">
      <c r="A2427" s="100">
        <v>6</v>
      </c>
      <c r="B2427" s="1021" t="s">
        <v>1405</v>
      </c>
      <c r="C2427" s="1022" t="s">
        <v>2996</v>
      </c>
      <c r="D2427" s="1023" t="s">
        <v>2888</v>
      </c>
      <c r="E2427" s="1024">
        <v>1298</v>
      </c>
      <c r="F2427" s="100">
        <v>1</v>
      </c>
      <c r="G2427" s="140">
        <f t="shared" si="154"/>
        <v>1298</v>
      </c>
      <c r="H2427" s="100">
        <v>0</v>
      </c>
      <c r="I2427" s="140">
        <v>0</v>
      </c>
      <c r="J2427" s="100">
        <v>0</v>
      </c>
      <c r="K2427" s="140">
        <v>0</v>
      </c>
      <c r="L2427" s="100">
        <v>0</v>
      </c>
      <c r="M2427" s="140">
        <v>0</v>
      </c>
      <c r="N2427" s="100">
        <v>0</v>
      </c>
      <c r="O2427" s="140">
        <v>0</v>
      </c>
      <c r="P2427" s="140">
        <f t="shared" si="155"/>
        <v>1298</v>
      </c>
    </row>
    <row r="2428" spans="1:16" ht="31.5">
      <c r="A2428" s="100">
        <v>7</v>
      </c>
      <c r="B2428" s="1021" t="s">
        <v>1760</v>
      </c>
      <c r="C2428" s="1022" t="s">
        <v>2997</v>
      </c>
      <c r="D2428" s="1023" t="s">
        <v>2779</v>
      </c>
      <c r="E2428" s="1024">
        <v>531</v>
      </c>
      <c r="F2428" s="100">
        <v>2</v>
      </c>
      <c r="G2428" s="140">
        <f t="shared" si="154"/>
        <v>1062</v>
      </c>
      <c r="H2428" s="100">
        <v>0</v>
      </c>
      <c r="I2428" s="140">
        <v>0</v>
      </c>
      <c r="J2428" s="100">
        <v>0</v>
      </c>
      <c r="K2428" s="140">
        <v>0</v>
      </c>
      <c r="L2428" s="100">
        <v>0</v>
      </c>
      <c r="M2428" s="140">
        <v>0</v>
      </c>
      <c r="N2428" s="100">
        <v>0</v>
      </c>
      <c r="O2428" s="140">
        <v>0</v>
      </c>
      <c r="P2428" s="140">
        <f t="shared" si="155"/>
        <v>1062</v>
      </c>
    </row>
    <row r="2429" spans="1:16" ht="31.5">
      <c r="A2429" s="100">
        <v>8</v>
      </c>
      <c r="B2429" s="1021" t="s">
        <v>2998</v>
      </c>
      <c r="C2429" s="1022" t="s">
        <v>2999</v>
      </c>
      <c r="D2429" s="1027" t="s">
        <v>37</v>
      </c>
      <c r="E2429" s="1028">
        <v>743.4</v>
      </c>
      <c r="F2429" s="100">
        <v>60</v>
      </c>
      <c r="G2429" s="140">
        <f t="shared" si="154"/>
        <v>44604</v>
      </c>
      <c r="H2429" s="100">
        <v>0</v>
      </c>
      <c r="I2429" s="140">
        <v>0</v>
      </c>
      <c r="J2429" s="100">
        <v>0</v>
      </c>
      <c r="K2429" s="140">
        <v>0</v>
      </c>
      <c r="L2429" s="100">
        <v>0</v>
      </c>
      <c r="M2429" s="140">
        <v>0</v>
      </c>
      <c r="N2429" s="100">
        <v>0</v>
      </c>
      <c r="O2429" s="140">
        <v>0</v>
      </c>
      <c r="P2429" s="140">
        <f t="shared" si="155"/>
        <v>44604</v>
      </c>
    </row>
    <row r="2430" spans="1:16" ht="31.5">
      <c r="A2430" s="100">
        <v>9</v>
      </c>
      <c r="B2430" s="1021" t="s">
        <v>3000</v>
      </c>
      <c r="C2430" s="1022" t="s">
        <v>3001</v>
      </c>
      <c r="D2430" s="1029" t="s">
        <v>40</v>
      </c>
      <c r="E2430" s="1030">
        <v>737.5</v>
      </c>
      <c r="F2430" s="100">
        <v>45</v>
      </c>
      <c r="G2430" s="140">
        <f t="shared" si="154"/>
        <v>33187.5</v>
      </c>
      <c r="H2430" s="100">
        <v>0</v>
      </c>
      <c r="I2430" s="140">
        <v>0</v>
      </c>
      <c r="J2430" s="100">
        <v>0</v>
      </c>
      <c r="K2430" s="140">
        <v>0</v>
      </c>
      <c r="L2430" s="100">
        <v>0</v>
      </c>
      <c r="M2430" s="140">
        <v>0</v>
      </c>
      <c r="N2430" s="100">
        <v>0</v>
      </c>
      <c r="O2430" s="140">
        <v>0</v>
      </c>
      <c r="P2430" s="140">
        <f t="shared" si="155"/>
        <v>33187.5</v>
      </c>
    </row>
    <row r="2431" spans="1:16" ht="47.25">
      <c r="A2431" s="100">
        <v>10</v>
      </c>
      <c r="B2431" s="1021" t="s">
        <v>2920</v>
      </c>
      <c r="C2431" s="1022" t="s">
        <v>3002</v>
      </c>
      <c r="D2431" s="1029" t="s">
        <v>40</v>
      </c>
      <c r="E2431" s="1030">
        <v>1416</v>
      </c>
      <c r="F2431" s="100">
        <v>3</v>
      </c>
      <c r="G2431" s="140">
        <f t="shared" si="154"/>
        <v>4248</v>
      </c>
      <c r="H2431" s="100">
        <v>0</v>
      </c>
      <c r="I2431" s="140">
        <v>0</v>
      </c>
      <c r="J2431" s="100">
        <v>0</v>
      </c>
      <c r="K2431" s="140">
        <v>0</v>
      </c>
      <c r="L2431" s="100">
        <v>0</v>
      </c>
      <c r="M2431" s="140">
        <v>0</v>
      </c>
      <c r="N2431" s="100">
        <v>0</v>
      </c>
      <c r="O2431" s="140">
        <v>0</v>
      </c>
      <c r="P2431" s="140">
        <f t="shared" si="155"/>
        <v>4248</v>
      </c>
    </row>
    <row r="2432" spans="1:16" ht="47.25">
      <c r="A2432" s="100">
        <v>11</v>
      </c>
      <c r="B2432" s="1021" t="s">
        <v>3003</v>
      </c>
      <c r="C2432" s="1031" t="s">
        <v>3004</v>
      </c>
      <c r="D2432" s="1029" t="s">
        <v>40</v>
      </c>
      <c r="E2432" s="1030">
        <v>826</v>
      </c>
      <c r="F2432" s="100">
        <v>2</v>
      </c>
      <c r="G2432" s="140">
        <f t="shared" si="154"/>
        <v>1652</v>
      </c>
      <c r="H2432" s="100">
        <v>0</v>
      </c>
      <c r="I2432" s="140">
        <v>0</v>
      </c>
      <c r="J2432" s="100">
        <v>0</v>
      </c>
      <c r="K2432" s="140">
        <v>0</v>
      </c>
      <c r="L2432" s="100">
        <v>0</v>
      </c>
      <c r="M2432" s="140">
        <v>0</v>
      </c>
      <c r="N2432" s="100">
        <v>0</v>
      </c>
      <c r="O2432" s="140">
        <v>0</v>
      </c>
      <c r="P2432" s="140">
        <f t="shared" si="155"/>
        <v>1652</v>
      </c>
    </row>
    <row r="2433" spans="1:16" ht="15.75">
      <c r="A2433" s="100">
        <v>12</v>
      </c>
      <c r="B2433" s="1032" t="s">
        <v>1394</v>
      </c>
      <c r="C2433" s="119" t="s">
        <v>3005</v>
      </c>
      <c r="D2433" s="1029" t="s">
        <v>40</v>
      </c>
      <c r="E2433" s="1030">
        <v>0</v>
      </c>
      <c r="F2433" s="100">
        <v>1</v>
      </c>
      <c r="G2433" s="140">
        <f t="shared" si="154"/>
        <v>0</v>
      </c>
      <c r="H2433" s="100">
        <v>0</v>
      </c>
      <c r="I2433" s="140">
        <v>0</v>
      </c>
      <c r="J2433" s="100">
        <v>0</v>
      </c>
      <c r="K2433" s="140">
        <v>0</v>
      </c>
      <c r="L2433" s="100">
        <v>0</v>
      </c>
      <c r="M2433" s="140">
        <v>0</v>
      </c>
      <c r="N2433" s="100">
        <v>0</v>
      </c>
      <c r="O2433" s="140">
        <v>0</v>
      </c>
      <c r="P2433" s="140">
        <f t="shared" si="155"/>
        <v>0</v>
      </c>
    </row>
    <row r="2434" spans="1:16" ht="31.5">
      <c r="A2434" s="100">
        <v>13</v>
      </c>
      <c r="B2434" s="1021" t="s">
        <v>1794</v>
      </c>
      <c r="C2434" s="1033" t="s">
        <v>3006</v>
      </c>
      <c r="D2434" s="1034" t="s">
        <v>449</v>
      </c>
      <c r="E2434" s="1035">
        <v>73.16</v>
      </c>
      <c r="F2434" s="100">
        <v>571</v>
      </c>
      <c r="G2434" s="140">
        <f t="shared" si="154"/>
        <v>41774.36</v>
      </c>
      <c r="H2434" s="100">
        <v>0</v>
      </c>
      <c r="I2434" s="140">
        <v>0</v>
      </c>
      <c r="J2434" s="100">
        <v>0</v>
      </c>
      <c r="K2434" s="140">
        <v>0</v>
      </c>
      <c r="L2434" s="100">
        <v>0</v>
      </c>
      <c r="M2434" s="140">
        <v>0</v>
      </c>
      <c r="N2434" s="100">
        <v>0</v>
      </c>
      <c r="O2434" s="140">
        <v>0</v>
      </c>
      <c r="P2434" s="140">
        <f t="shared" si="155"/>
        <v>41774.36</v>
      </c>
    </row>
    <row r="2435" spans="1:16" ht="47.25">
      <c r="A2435" s="100">
        <v>14</v>
      </c>
      <c r="B2435" s="1021" t="s">
        <v>482</v>
      </c>
      <c r="C2435" s="1036" t="s">
        <v>3007</v>
      </c>
      <c r="D2435" s="1034" t="s">
        <v>40</v>
      </c>
      <c r="E2435" s="1035">
        <v>56522</v>
      </c>
      <c r="F2435" s="100">
        <v>2</v>
      </c>
      <c r="G2435" s="140">
        <f t="shared" si="154"/>
        <v>113044</v>
      </c>
      <c r="H2435" s="100">
        <v>0</v>
      </c>
      <c r="I2435" s="140">
        <v>0</v>
      </c>
      <c r="J2435" s="100">
        <v>0</v>
      </c>
      <c r="K2435" s="140">
        <v>0</v>
      </c>
      <c r="L2435" s="100">
        <v>0</v>
      </c>
      <c r="M2435" s="140">
        <v>0</v>
      </c>
      <c r="N2435" s="100">
        <v>0</v>
      </c>
      <c r="O2435" s="140">
        <v>0</v>
      </c>
      <c r="P2435" s="140">
        <f t="shared" si="155"/>
        <v>113044</v>
      </c>
    </row>
    <row r="2436" spans="1:16" ht="47.25">
      <c r="A2436" s="100">
        <v>15</v>
      </c>
      <c r="B2436" s="1021" t="s">
        <v>2963</v>
      </c>
      <c r="C2436" s="1036" t="s">
        <v>3008</v>
      </c>
      <c r="D2436" s="1029" t="s">
        <v>40</v>
      </c>
      <c r="E2436" s="1030">
        <v>1416</v>
      </c>
      <c r="F2436" s="100">
        <v>2</v>
      </c>
      <c r="G2436" s="140">
        <f t="shared" si="154"/>
        <v>2832</v>
      </c>
      <c r="H2436" s="100">
        <v>0</v>
      </c>
      <c r="I2436" s="140">
        <v>0</v>
      </c>
      <c r="J2436" s="100">
        <v>0</v>
      </c>
      <c r="K2436" s="140">
        <v>0</v>
      </c>
      <c r="L2436" s="100">
        <v>0</v>
      </c>
      <c r="M2436" s="140">
        <v>0</v>
      </c>
      <c r="N2436" s="100">
        <v>0</v>
      </c>
      <c r="O2436" s="140">
        <v>0</v>
      </c>
      <c r="P2436" s="140">
        <f t="shared" si="155"/>
        <v>2832</v>
      </c>
    </row>
    <row r="2437" spans="1:16" ht="47.25">
      <c r="A2437" s="100">
        <v>16</v>
      </c>
      <c r="B2437" s="1021" t="s">
        <v>381</v>
      </c>
      <c r="C2437" s="1036" t="s">
        <v>3009</v>
      </c>
      <c r="D2437" s="1029" t="s">
        <v>40</v>
      </c>
      <c r="E2437" s="1030">
        <v>944</v>
      </c>
      <c r="F2437" s="100">
        <v>2</v>
      </c>
      <c r="G2437" s="140">
        <f t="shared" si="154"/>
        <v>1888</v>
      </c>
      <c r="H2437" s="100">
        <v>0</v>
      </c>
      <c r="I2437" s="140">
        <v>0</v>
      </c>
      <c r="J2437" s="100">
        <v>0</v>
      </c>
      <c r="K2437" s="140">
        <v>0</v>
      </c>
      <c r="L2437" s="100">
        <v>0</v>
      </c>
      <c r="M2437" s="140">
        <v>0</v>
      </c>
      <c r="N2437" s="100">
        <v>0</v>
      </c>
      <c r="O2437" s="140">
        <v>0</v>
      </c>
      <c r="P2437" s="140">
        <f t="shared" si="155"/>
        <v>1888</v>
      </c>
    </row>
    <row r="2438" spans="1:16" ht="47.25">
      <c r="A2438" s="100">
        <v>17</v>
      </c>
      <c r="B2438" s="1021" t="s">
        <v>742</v>
      </c>
      <c r="C2438" s="1036" t="s">
        <v>3010</v>
      </c>
      <c r="D2438" s="1029" t="s">
        <v>40</v>
      </c>
      <c r="E2438" s="1030">
        <v>944</v>
      </c>
      <c r="F2438" s="100">
        <v>1</v>
      </c>
      <c r="G2438" s="140">
        <f t="shared" si="154"/>
        <v>944</v>
      </c>
      <c r="H2438" s="100">
        <v>0</v>
      </c>
      <c r="I2438" s="140">
        <v>0</v>
      </c>
      <c r="J2438" s="100">
        <v>0</v>
      </c>
      <c r="K2438" s="140">
        <v>0</v>
      </c>
      <c r="L2438" s="100">
        <v>0</v>
      </c>
      <c r="M2438" s="140">
        <v>0</v>
      </c>
      <c r="N2438" s="100">
        <v>0</v>
      </c>
      <c r="O2438" s="140">
        <v>0</v>
      </c>
      <c r="P2438" s="140">
        <f t="shared" si="155"/>
        <v>944</v>
      </c>
    </row>
    <row r="2439" spans="1:16" ht="45">
      <c r="A2439" s="100">
        <v>18</v>
      </c>
      <c r="B2439" s="1021" t="s">
        <v>744</v>
      </c>
      <c r="C2439" s="1037" t="s">
        <v>3011</v>
      </c>
      <c r="D2439" s="1029" t="s">
        <v>40</v>
      </c>
      <c r="E2439" s="1030">
        <v>2000</v>
      </c>
      <c r="F2439" s="100">
        <v>1</v>
      </c>
      <c r="G2439" s="140">
        <f t="shared" si="154"/>
        <v>2000</v>
      </c>
      <c r="H2439" s="100">
        <v>0</v>
      </c>
      <c r="I2439" s="140">
        <v>0</v>
      </c>
      <c r="J2439" s="100">
        <v>0</v>
      </c>
      <c r="K2439" s="140">
        <v>0</v>
      </c>
      <c r="L2439" s="100">
        <v>0</v>
      </c>
      <c r="M2439" s="140">
        <v>0</v>
      </c>
      <c r="N2439" s="100">
        <v>0</v>
      </c>
      <c r="O2439" s="140">
        <v>0</v>
      </c>
      <c r="P2439" s="140">
        <f t="shared" si="155"/>
        <v>2000</v>
      </c>
    </row>
    <row r="2440" spans="1:16" ht="31.5">
      <c r="A2440" s="100">
        <v>19</v>
      </c>
      <c r="B2440" s="1021" t="s">
        <v>712</v>
      </c>
      <c r="C2440" s="1038" t="s">
        <v>3012</v>
      </c>
      <c r="D2440" s="1034" t="s">
        <v>40</v>
      </c>
      <c r="E2440" s="1035">
        <v>1180</v>
      </c>
      <c r="F2440" s="1039">
        <v>2</v>
      </c>
      <c r="G2440" s="140">
        <f t="shared" si="154"/>
        <v>2360</v>
      </c>
      <c r="H2440" s="100">
        <v>0</v>
      </c>
      <c r="I2440" s="140">
        <v>0</v>
      </c>
      <c r="J2440" s="100">
        <v>0</v>
      </c>
      <c r="K2440" s="140">
        <v>0</v>
      </c>
      <c r="L2440" s="100">
        <v>0</v>
      </c>
      <c r="M2440" s="140">
        <v>0</v>
      </c>
      <c r="N2440" s="100">
        <v>0</v>
      </c>
      <c r="O2440" s="140">
        <v>0</v>
      </c>
      <c r="P2440" s="140">
        <f t="shared" si="155"/>
        <v>2360</v>
      </c>
    </row>
    <row r="2441" spans="1:16" ht="31.5">
      <c r="A2441" s="100">
        <v>20</v>
      </c>
      <c r="B2441" s="1021" t="s">
        <v>3013</v>
      </c>
      <c r="C2441" s="1038" t="s">
        <v>3014</v>
      </c>
      <c r="D2441" s="1034" t="s">
        <v>40</v>
      </c>
      <c r="E2441" s="1035">
        <v>8460.6</v>
      </c>
      <c r="F2441" s="1039">
        <v>3</v>
      </c>
      <c r="G2441" s="140">
        <f t="shared" si="154"/>
        <v>25381.800000000003</v>
      </c>
      <c r="H2441" s="100">
        <v>0</v>
      </c>
      <c r="I2441" s="140">
        <v>0</v>
      </c>
      <c r="J2441" s="100">
        <v>0</v>
      </c>
      <c r="K2441" s="140">
        <v>0</v>
      </c>
      <c r="L2441" s="100">
        <v>0</v>
      </c>
      <c r="M2441" s="140">
        <v>0</v>
      </c>
      <c r="N2441" s="100">
        <v>0</v>
      </c>
      <c r="O2441" s="140">
        <v>0</v>
      </c>
      <c r="P2441" s="140">
        <f t="shared" si="155"/>
        <v>25381.800000000003</v>
      </c>
    </row>
    <row r="2442" spans="1:16" ht="31.5">
      <c r="A2442" s="100">
        <v>21</v>
      </c>
      <c r="B2442" s="1021" t="s">
        <v>376</v>
      </c>
      <c r="C2442" s="1022" t="s">
        <v>3015</v>
      </c>
      <c r="D2442" s="1034" t="s">
        <v>40</v>
      </c>
      <c r="E2442" s="1035">
        <v>3481</v>
      </c>
      <c r="F2442" s="100">
        <v>14</v>
      </c>
      <c r="G2442" s="140">
        <f t="shared" si="154"/>
        <v>48734</v>
      </c>
      <c r="H2442" s="100">
        <v>0</v>
      </c>
      <c r="I2442" s="140">
        <v>0</v>
      </c>
      <c r="J2442" s="100">
        <v>0</v>
      </c>
      <c r="K2442" s="140">
        <v>0</v>
      </c>
      <c r="L2442" s="100">
        <v>0</v>
      </c>
      <c r="M2442" s="140">
        <v>0</v>
      </c>
      <c r="N2442" s="100">
        <v>0</v>
      </c>
      <c r="O2442" s="140">
        <v>0</v>
      </c>
      <c r="P2442" s="140">
        <f t="shared" si="155"/>
        <v>48734</v>
      </c>
    </row>
    <row r="2443" spans="1:16" ht="31.5">
      <c r="A2443" s="100">
        <v>22</v>
      </c>
      <c r="B2443" s="1021" t="s">
        <v>3016</v>
      </c>
      <c r="C2443" s="1022" t="s">
        <v>3017</v>
      </c>
      <c r="D2443" s="1029" t="s">
        <v>40</v>
      </c>
      <c r="E2443" s="1030">
        <v>3858.62</v>
      </c>
      <c r="F2443" s="100">
        <v>10</v>
      </c>
      <c r="G2443" s="140">
        <f t="shared" si="154"/>
        <v>38586.199999999997</v>
      </c>
      <c r="H2443" s="100">
        <v>0</v>
      </c>
      <c r="I2443" s="140">
        <v>0</v>
      </c>
      <c r="J2443" s="100">
        <v>0</v>
      </c>
      <c r="K2443" s="140">
        <v>0</v>
      </c>
      <c r="L2443" s="100">
        <v>0</v>
      </c>
      <c r="M2443" s="140">
        <v>0</v>
      </c>
      <c r="N2443" s="100">
        <v>0</v>
      </c>
      <c r="O2443" s="140">
        <v>0</v>
      </c>
      <c r="P2443" s="140">
        <f t="shared" si="155"/>
        <v>38586.199999999997</v>
      </c>
    </row>
    <row r="2444" spans="1:16" ht="15.75">
      <c r="A2444" s="100">
        <v>23</v>
      </c>
      <c r="B2444" s="1021" t="s">
        <v>2940</v>
      </c>
      <c r="C2444" s="1026" t="s">
        <v>3018</v>
      </c>
      <c r="D2444" s="1029" t="s">
        <v>40</v>
      </c>
      <c r="E2444" s="1030">
        <v>972.33</v>
      </c>
      <c r="F2444" s="100">
        <v>23</v>
      </c>
      <c r="G2444" s="140">
        <f t="shared" si="154"/>
        <v>22363.59</v>
      </c>
      <c r="H2444" s="100">
        <v>0</v>
      </c>
      <c r="I2444" s="140">
        <v>0</v>
      </c>
      <c r="J2444" s="100">
        <v>0</v>
      </c>
      <c r="K2444" s="140">
        <v>0</v>
      </c>
      <c r="L2444" s="100">
        <v>0</v>
      </c>
      <c r="M2444" s="140">
        <v>0</v>
      </c>
      <c r="N2444" s="100">
        <v>0</v>
      </c>
      <c r="O2444" s="140">
        <v>0</v>
      </c>
      <c r="P2444" s="140">
        <f t="shared" si="155"/>
        <v>22363.59</v>
      </c>
    </row>
    <row r="2445" spans="1:16" ht="47.25">
      <c r="A2445" s="100">
        <v>24</v>
      </c>
      <c r="B2445" s="693" t="s">
        <v>3019</v>
      </c>
      <c r="C2445" s="1040" t="s">
        <v>3020</v>
      </c>
      <c r="D2445" s="1029" t="s">
        <v>40</v>
      </c>
      <c r="E2445" s="1030">
        <v>1000</v>
      </c>
      <c r="F2445" s="100">
        <v>6</v>
      </c>
      <c r="G2445" s="140">
        <f t="shared" si="154"/>
        <v>6000</v>
      </c>
      <c r="H2445" s="100">
        <v>0</v>
      </c>
      <c r="I2445" s="140">
        <v>0</v>
      </c>
      <c r="J2445" s="100">
        <v>0</v>
      </c>
      <c r="K2445" s="140">
        <v>0</v>
      </c>
      <c r="L2445" s="100">
        <v>0</v>
      </c>
      <c r="M2445" s="140">
        <v>0</v>
      </c>
      <c r="N2445" s="100">
        <v>0</v>
      </c>
      <c r="O2445" s="140">
        <v>0</v>
      </c>
      <c r="P2445" s="140">
        <f t="shared" si="155"/>
        <v>6000</v>
      </c>
    </row>
    <row r="2446" spans="1:16" ht="47.25">
      <c r="A2446" s="100">
        <v>25</v>
      </c>
      <c r="B2446" s="1021" t="s">
        <v>417</v>
      </c>
      <c r="C2446" s="1040" t="s">
        <v>3021</v>
      </c>
      <c r="D2446" s="1029" t="s">
        <v>40</v>
      </c>
      <c r="E2446" s="1030">
        <v>3339.3999999999996</v>
      </c>
      <c r="F2446" s="100">
        <v>4</v>
      </c>
      <c r="G2446" s="140">
        <f t="shared" si="154"/>
        <v>13357.599999999999</v>
      </c>
      <c r="H2446" s="100">
        <v>0</v>
      </c>
      <c r="I2446" s="140">
        <v>0</v>
      </c>
      <c r="J2446" s="100">
        <v>0</v>
      </c>
      <c r="K2446" s="140">
        <v>0</v>
      </c>
      <c r="L2446" s="100">
        <v>0</v>
      </c>
      <c r="M2446" s="140">
        <v>0</v>
      </c>
      <c r="N2446" s="100">
        <v>0</v>
      </c>
      <c r="O2446" s="140">
        <v>0</v>
      </c>
      <c r="P2446" s="140">
        <f t="shared" si="155"/>
        <v>13357.599999999999</v>
      </c>
    </row>
    <row r="2447" spans="1:16" ht="30">
      <c r="A2447" s="100">
        <v>26</v>
      </c>
      <c r="B2447" s="1021" t="s">
        <v>235</v>
      </c>
      <c r="C2447" s="61" t="s">
        <v>3022</v>
      </c>
      <c r="D2447" s="1029" t="s">
        <v>40</v>
      </c>
      <c r="E2447" s="1030">
        <v>1180</v>
      </c>
      <c r="F2447" s="100">
        <v>8</v>
      </c>
      <c r="G2447" s="140">
        <f t="shared" si="154"/>
        <v>9440</v>
      </c>
      <c r="H2447" s="100">
        <v>0</v>
      </c>
      <c r="I2447" s="140">
        <v>0</v>
      </c>
      <c r="J2447" s="100">
        <v>0</v>
      </c>
      <c r="K2447" s="140">
        <v>0</v>
      </c>
      <c r="L2447" s="100">
        <v>0</v>
      </c>
      <c r="M2447" s="140">
        <v>0</v>
      </c>
      <c r="N2447" s="100">
        <v>0</v>
      </c>
      <c r="O2447" s="140">
        <v>0</v>
      </c>
      <c r="P2447" s="140">
        <f t="shared" si="155"/>
        <v>9440</v>
      </c>
    </row>
    <row r="2448" spans="1:16" ht="30">
      <c r="A2448" s="100">
        <v>27</v>
      </c>
      <c r="B2448" s="1021" t="s">
        <v>233</v>
      </c>
      <c r="C2448" s="61" t="s">
        <v>3023</v>
      </c>
      <c r="D2448" s="1029" t="s">
        <v>40</v>
      </c>
      <c r="E2448" s="1030">
        <v>534.54</v>
      </c>
      <c r="F2448" s="100">
        <v>8</v>
      </c>
      <c r="G2448" s="140">
        <f t="shared" si="154"/>
        <v>4276.32</v>
      </c>
      <c r="H2448" s="100">
        <v>0</v>
      </c>
      <c r="I2448" s="140">
        <v>0</v>
      </c>
      <c r="J2448" s="100">
        <v>0</v>
      </c>
      <c r="K2448" s="140">
        <v>0</v>
      </c>
      <c r="L2448" s="100">
        <v>0</v>
      </c>
      <c r="M2448" s="140">
        <v>0</v>
      </c>
      <c r="N2448" s="100">
        <v>0</v>
      </c>
      <c r="O2448" s="140">
        <v>0</v>
      </c>
      <c r="P2448" s="140">
        <f t="shared" si="155"/>
        <v>4276.32</v>
      </c>
    </row>
    <row r="2449" spans="1:16" ht="30">
      <c r="A2449" s="100">
        <v>28</v>
      </c>
      <c r="B2449" s="1021" t="s">
        <v>593</v>
      </c>
      <c r="C2449" s="61" t="s">
        <v>3024</v>
      </c>
      <c r="D2449" s="1029" t="s">
        <v>40</v>
      </c>
      <c r="E2449" s="1030">
        <v>1180</v>
      </c>
      <c r="F2449" s="100">
        <v>10</v>
      </c>
      <c r="G2449" s="140">
        <f t="shared" si="154"/>
        <v>11800</v>
      </c>
      <c r="H2449" s="100">
        <v>0</v>
      </c>
      <c r="I2449" s="140">
        <v>0</v>
      </c>
      <c r="J2449" s="100">
        <v>0</v>
      </c>
      <c r="K2449" s="140">
        <v>0</v>
      </c>
      <c r="L2449" s="100">
        <v>0</v>
      </c>
      <c r="M2449" s="140">
        <v>0</v>
      </c>
      <c r="N2449" s="100">
        <v>0</v>
      </c>
      <c r="O2449" s="140">
        <v>0</v>
      </c>
      <c r="P2449" s="140">
        <f t="shared" si="155"/>
        <v>11800</v>
      </c>
    </row>
    <row r="2450" spans="1:16" ht="30">
      <c r="A2450" s="100">
        <v>29</v>
      </c>
      <c r="B2450" s="1021" t="s">
        <v>237</v>
      </c>
      <c r="C2450" s="61" t="s">
        <v>3025</v>
      </c>
      <c r="D2450" s="1029" t="s">
        <v>40</v>
      </c>
      <c r="E2450" s="1030">
        <v>5345.4</v>
      </c>
      <c r="F2450" s="100">
        <v>8</v>
      </c>
      <c r="G2450" s="140">
        <f t="shared" si="154"/>
        <v>42763.199999999997</v>
      </c>
      <c r="H2450" s="100">
        <v>0</v>
      </c>
      <c r="I2450" s="140">
        <v>0</v>
      </c>
      <c r="J2450" s="100">
        <v>0</v>
      </c>
      <c r="K2450" s="140">
        <v>0</v>
      </c>
      <c r="L2450" s="100">
        <v>0</v>
      </c>
      <c r="M2450" s="140">
        <v>0</v>
      </c>
      <c r="N2450" s="100">
        <v>0</v>
      </c>
      <c r="O2450" s="140">
        <v>0</v>
      </c>
      <c r="P2450" s="140">
        <f t="shared" si="155"/>
        <v>42763.199999999997</v>
      </c>
    </row>
    <row r="2451" spans="1:16" ht="30">
      <c r="A2451" s="100">
        <v>30</v>
      </c>
      <c r="B2451" s="1021" t="s">
        <v>606</v>
      </c>
      <c r="C2451" s="61" t="s">
        <v>3026</v>
      </c>
      <c r="D2451" s="1029" t="s">
        <v>40</v>
      </c>
      <c r="E2451" s="1030">
        <v>1888</v>
      </c>
      <c r="F2451" s="100">
        <v>6</v>
      </c>
      <c r="G2451" s="140">
        <f t="shared" si="154"/>
        <v>11328</v>
      </c>
      <c r="H2451" s="100">
        <v>0</v>
      </c>
      <c r="I2451" s="140">
        <v>0</v>
      </c>
      <c r="J2451" s="100">
        <v>0</v>
      </c>
      <c r="K2451" s="140">
        <v>0</v>
      </c>
      <c r="L2451" s="100">
        <v>0</v>
      </c>
      <c r="M2451" s="140">
        <v>0</v>
      </c>
      <c r="N2451" s="100">
        <v>0</v>
      </c>
      <c r="O2451" s="140">
        <v>0</v>
      </c>
      <c r="P2451" s="140">
        <f t="shared" si="155"/>
        <v>11328</v>
      </c>
    </row>
    <row r="2452" spans="1:16" ht="30">
      <c r="A2452" s="100">
        <v>31</v>
      </c>
      <c r="B2452" s="1021" t="s">
        <v>244</v>
      </c>
      <c r="C2452" s="61" t="s">
        <v>2181</v>
      </c>
      <c r="D2452" s="1029" t="s">
        <v>266</v>
      </c>
      <c r="E2452" s="1030">
        <v>1014.8</v>
      </c>
      <c r="F2452" s="100">
        <v>6</v>
      </c>
      <c r="G2452" s="140">
        <f t="shared" si="154"/>
        <v>6088.7999999999993</v>
      </c>
      <c r="H2452" s="100">
        <v>0</v>
      </c>
      <c r="I2452" s="140">
        <v>0</v>
      </c>
      <c r="J2452" s="100">
        <v>0</v>
      </c>
      <c r="K2452" s="140">
        <v>0</v>
      </c>
      <c r="L2452" s="100">
        <v>0</v>
      </c>
      <c r="M2452" s="140">
        <v>0</v>
      </c>
      <c r="N2452" s="100">
        <v>0</v>
      </c>
      <c r="O2452" s="140">
        <v>0</v>
      </c>
      <c r="P2452" s="140">
        <f t="shared" si="155"/>
        <v>6088.7999999999993</v>
      </c>
    </row>
    <row r="2453" spans="1:16" ht="30">
      <c r="A2453" s="100">
        <v>32</v>
      </c>
      <c r="B2453" s="1021" t="s">
        <v>248</v>
      </c>
      <c r="C2453" s="1041" t="s">
        <v>3027</v>
      </c>
      <c r="D2453" s="1029" t="s">
        <v>246</v>
      </c>
      <c r="E2453" s="1030">
        <v>1416</v>
      </c>
      <c r="F2453" s="100">
        <v>6</v>
      </c>
      <c r="G2453" s="140">
        <f t="shared" si="154"/>
        <v>8496</v>
      </c>
      <c r="H2453" s="100">
        <v>0</v>
      </c>
      <c r="I2453" s="140">
        <v>0</v>
      </c>
      <c r="J2453" s="100">
        <v>0</v>
      </c>
      <c r="K2453" s="140">
        <v>0</v>
      </c>
      <c r="L2453" s="100">
        <v>0</v>
      </c>
      <c r="M2453" s="140">
        <v>0</v>
      </c>
      <c r="N2453" s="100">
        <v>0</v>
      </c>
      <c r="O2453" s="140">
        <v>0</v>
      </c>
      <c r="P2453" s="140">
        <f t="shared" si="155"/>
        <v>8496</v>
      </c>
    </row>
    <row r="2454" spans="1:16" ht="30">
      <c r="A2454" s="100">
        <v>33</v>
      </c>
      <c r="B2454" s="1021" t="s">
        <v>240</v>
      </c>
      <c r="C2454" s="1042" t="s">
        <v>3028</v>
      </c>
      <c r="D2454" s="1023" t="s">
        <v>695</v>
      </c>
      <c r="E2454" s="1024">
        <v>1577.662</v>
      </c>
      <c r="F2454" s="1023">
        <v>7</v>
      </c>
      <c r="G2454" s="140">
        <f t="shared" si="154"/>
        <v>11043.634</v>
      </c>
      <c r="H2454" s="100">
        <v>0</v>
      </c>
      <c r="I2454" s="140">
        <v>0</v>
      </c>
      <c r="J2454" s="100">
        <v>0</v>
      </c>
      <c r="K2454" s="140">
        <v>0</v>
      </c>
      <c r="L2454" s="100">
        <v>0</v>
      </c>
      <c r="M2454" s="140">
        <v>0</v>
      </c>
      <c r="N2454" s="100">
        <v>0</v>
      </c>
      <c r="O2454" s="140">
        <v>0</v>
      </c>
      <c r="P2454" s="140">
        <f t="shared" si="155"/>
        <v>11043.634</v>
      </c>
    </row>
    <row r="2455" spans="1:16">
      <c r="A2455" s="100">
        <v>34</v>
      </c>
      <c r="B2455" s="1021" t="s">
        <v>2492</v>
      </c>
      <c r="C2455" s="419" t="s">
        <v>3029</v>
      </c>
      <c r="D2455" s="1021" t="s">
        <v>2779</v>
      </c>
      <c r="E2455" s="1043">
        <v>58528</v>
      </c>
      <c r="F2455" s="1013">
        <v>2</v>
      </c>
      <c r="G2455" s="140">
        <f t="shared" si="154"/>
        <v>117056</v>
      </c>
      <c r="H2455" s="100">
        <v>0</v>
      </c>
      <c r="I2455" s="100">
        <v>0</v>
      </c>
      <c r="J2455" s="100">
        <v>0</v>
      </c>
      <c r="K2455" s="100">
        <v>0</v>
      </c>
      <c r="L2455" s="100">
        <v>0</v>
      </c>
      <c r="M2455" s="100">
        <v>0</v>
      </c>
      <c r="N2455" s="1044">
        <v>0</v>
      </c>
      <c r="O2455" s="1044">
        <v>0</v>
      </c>
      <c r="P2455" s="140">
        <f t="shared" ref="P2455:P2459" si="156">E2455*F2455</f>
        <v>117056</v>
      </c>
    </row>
    <row r="2456" spans="1:16" ht="78.75">
      <c r="A2456" s="100">
        <v>35</v>
      </c>
      <c r="B2456" s="1021" t="s">
        <v>740</v>
      </c>
      <c r="C2456" s="1045" t="s">
        <v>3030</v>
      </c>
      <c r="D2456" s="1027" t="s">
        <v>62</v>
      </c>
      <c r="E2456" s="1028">
        <v>166380</v>
      </c>
      <c r="F2456" s="1027">
        <v>3</v>
      </c>
      <c r="G2456" s="140">
        <f t="shared" si="154"/>
        <v>499140</v>
      </c>
      <c r="H2456" s="100">
        <v>0</v>
      </c>
      <c r="I2456" s="100">
        <v>0</v>
      </c>
      <c r="J2456" s="100">
        <v>0</v>
      </c>
      <c r="K2456" s="100">
        <v>0</v>
      </c>
      <c r="L2456" s="100">
        <v>0</v>
      </c>
      <c r="M2456" s="95">
        <v>0</v>
      </c>
      <c r="N2456" s="1044">
        <v>0</v>
      </c>
      <c r="O2456" s="100">
        <v>0</v>
      </c>
      <c r="P2456" s="140">
        <f t="shared" si="156"/>
        <v>499140</v>
      </c>
    </row>
    <row r="2457" spans="1:16" ht="15.75">
      <c r="A2457" s="100">
        <v>36</v>
      </c>
      <c r="B2457" s="1021" t="s">
        <v>698</v>
      </c>
      <c r="C2457" s="1046" t="s">
        <v>1139</v>
      </c>
      <c r="D2457" s="1023" t="s">
        <v>195</v>
      </c>
      <c r="E2457" s="1024">
        <v>5829.2</v>
      </c>
      <c r="F2457" s="1023">
        <v>35</v>
      </c>
      <c r="G2457" s="140">
        <f t="shared" si="154"/>
        <v>204022</v>
      </c>
      <c r="H2457" s="100">
        <v>0</v>
      </c>
      <c r="I2457" s="140">
        <v>0</v>
      </c>
      <c r="J2457" s="100">
        <v>0</v>
      </c>
      <c r="K2457" s="140">
        <v>0</v>
      </c>
      <c r="L2457" s="100">
        <v>0</v>
      </c>
      <c r="M2457" s="140">
        <v>0</v>
      </c>
      <c r="N2457" s="140">
        <v>0</v>
      </c>
      <c r="O2457" s="140">
        <v>0</v>
      </c>
      <c r="P2457" s="140">
        <f t="shared" si="156"/>
        <v>204022</v>
      </c>
    </row>
    <row r="2458" spans="1:16" ht="15.75">
      <c r="A2458" s="100">
        <v>37</v>
      </c>
      <c r="B2458" s="1021" t="s">
        <v>1755</v>
      </c>
      <c r="C2458" s="1046" t="s">
        <v>3031</v>
      </c>
      <c r="D2458" s="1023" t="s">
        <v>3032</v>
      </c>
      <c r="E2458" s="1024">
        <v>250</v>
      </c>
      <c r="F2458" s="1023">
        <v>10</v>
      </c>
      <c r="G2458" s="140">
        <f t="shared" si="154"/>
        <v>2500</v>
      </c>
      <c r="H2458" s="100">
        <v>0</v>
      </c>
      <c r="I2458" s="140">
        <v>0</v>
      </c>
      <c r="J2458" s="100">
        <v>0</v>
      </c>
      <c r="K2458" s="140">
        <v>0</v>
      </c>
      <c r="L2458" s="100">
        <v>0</v>
      </c>
      <c r="M2458" s="140">
        <v>0</v>
      </c>
      <c r="N2458" s="140">
        <v>0</v>
      </c>
      <c r="O2458" s="140">
        <v>0</v>
      </c>
      <c r="P2458" s="140">
        <f t="shared" si="156"/>
        <v>2500</v>
      </c>
    </row>
    <row r="2459" spans="1:16" ht="15.75">
      <c r="A2459" s="100">
        <v>38</v>
      </c>
      <c r="B2459" s="1021" t="s">
        <v>1323</v>
      </c>
      <c r="C2459" s="1046" t="s">
        <v>3033</v>
      </c>
      <c r="D2459" s="1023" t="s">
        <v>3032</v>
      </c>
      <c r="E2459" s="1024">
        <v>150</v>
      </c>
      <c r="F2459" s="1023">
        <v>24</v>
      </c>
      <c r="G2459" s="140">
        <f t="shared" si="154"/>
        <v>3600</v>
      </c>
      <c r="H2459" s="100">
        <v>0</v>
      </c>
      <c r="I2459" s="140">
        <v>0</v>
      </c>
      <c r="J2459" s="100">
        <v>0</v>
      </c>
      <c r="K2459" s="140">
        <v>0</v>
      </c>
      <c r="L2459" s="100">
        <v>0</v>
      </c>
      <c r="M2459" s="140">
        <v>0</v>
      </c>
      <c r="N2459" s="140">
        <v>0</v>
      </c>
      <c r="O2459" s="140">
        <v>0</v>
      </c>
      <c r="P2459" s="140">
        <f t="shared" si="156"/>
        <v>3600</v>
      </c>
    </row>
    <row r="2460" spans="1:16">
      <c r="A2460" s="100">
        <v>39</v>
      </c>
      <c r="B2460" s="1021" t="s">
        <v>3034</v>
      </c>
      <c r="C2460" s="34" t="s">
        <v>3035</v>
      </c>
      <c r="D2460" s="1027" t="s">
        <v>37</v>
      </c>
      <c r="E2460" s="1028">
        <v>200</v>
      </c>
      <c r="F2460" s="100">
        <v>0</v>
      </c>
      <c r="G2460" s="140">
        <v>0</v>
      </c>
      <c r="H2460" s="100">
        <v>0</v>
      </c>
      <c r="I2460" s="140">
        <v>0</v>
      </c>
      <c r="J2460" s="100">
        <v>0</v>
      </c>
      <c r="K2460" s="140">
        <v>0</v>
      </c>
      <c r="L2460" s="100">
        <v>0</v>
      </c>
      <c r="M2460" s="140">
        <v>0</v>
      </c>
      <c r="N2460" s="100">
        <v>1</v>
      </c>
      <c r="O2460" s="140">
        <v>200</v>
      </c>
      <c r="P2460" s="140">
        <f>N2460*E2460</f>
        <v>200</v>
      </c>
    </row>
    <row r="2461" spans="1:16">
      <c r="A2461" s="100">
        <v>40</v>
      </c>
      <c r="B2461" s="1021" t="s">
        <v>421</v>
      </c>
      <c r="C2461" s="35" t="s">
        <v>3036</v>
      </c>
      <c r="D2461" s="1027" t="s">
        <v>37</v>
      </c>
      <c r="E2461" s="1028">
        <v>1500</v>
      </c>
      <c r="F2461" s="100">
        <v>0</v>
      </c>
      <c r="G2461" s="140">
        <v>0</v>
      </c>
      <c r="H2461" s="100">
        <v>0</v>
      </c>
      <c r="I2461" s="140">
        <v>0</v>
      </c>
      <c r="J2461" s="100">
        <v>0</v>
      </c>
      <c r="K2461" s="140">
        <v>0</v>
      </c>
      <c r="L2461" s="100">
        <v>0</v>
      </c>
      <c r="M2461" s="140">
        <v>0</v>
      </c>
      <c r="N2461" s="100">
        <v>1</v>
      </c>
      <c r="O2461" s="140">
        <v>1500</v>
      </c>
      <c r="P2461" s="140">
        <f t="shared" ref="P2461:P2462" si="157">N2461*E2461</f>
        <v>1500</v>
      </c>
    </row>
    <row r="2462" spans="1:16">
      <c r="A2462" s="100">
        <v>41</v>
      </c>
      <c r="B2462" s="1021" t="s">
        <v>257</v>
      </c>
      <c r="C2462" s="1047" t="s">
        <v>3037</v>
      </c>
      <c r="D2462" s="1027" t="s">
        <v>786</v>
      </c>
      <c r="E2462" s="1028">
        <v>10</v>
      </c>
      <c r="F2462" s="100">
        <v>0</v>
      </c>
      <c r="G2462" s="140">
        <v>0</v>
      </c>
      <c r="H2462" s="100">
        <v>0</v>
      </c>
      <c r="I2462" s="140">
        <v>0</v>
      </c>
      <c r="J2462" s="100">
        <v>0</v>
      </c>
      <c r="K2462" s="140">
        <v>0</v>
      </c>
      <c r="L2462" s="100">
        <v>0</v>
      </c>
      <c r="M2462" s="140">
        <v>0</v>
      </c>
      <c r="N2462" s="100">
        <v>13515</v>
      </c>
      <c r="O2462" s="140">
        <v>135150</v>
      </c>
      <c r="P2462" s="140">
        <f t="shared" si="157"/>
        <v>135150</v>
      </c>
    </row>
    <row r="2463" spans="1:16" ht="15.75">
      <c r="A2463" s="100">
        <v>42</v>
      </c>
      <c r="B2463" s="1021" t="s">
        <v>480</v>
      </c>
      <c r="C2463" s="1046" t="s">
        <v>3038</v>
      </c>
      <c r="D2463" s="1023" t="s">
        <v>40</v>
      </c>
      <c r="E2463" s="1024">
        <v>5000</v>
      </c>
      <c r="F2463" s="1023">
        <v>0</v>
      </c>
      <c r="G2463" s="140">
        <f t="shared" si="154"/>
        <v>0</v>
      </c>
      <c r="H2463" s="100">
        <v>0</v>
      </c>
      <c r="I2463" s="140">
        <v>0</v>
      </c>
      <c r="J2463" s="100">
        <v>0</v>
      </c>
      <c r="K2463" s="140">
        <v>0</v>
      </c>
      <c r="L2463" s="100">
        <v>0</v>
      </c>
      <c r="M2463" s="140">
        <v>0</v>
      </c>
      <c r="N2463" s="1023">
        <v>1</v>
      </c>
      <c r="O2463" s="140">
        <f>E2463*N2463</f>
        <v>5000</v>
      </c>
      <c r="P2463" s="140">
        <f>O2463</f>
        <v>5000</v>
      </c>
    </row>
    <row r="2464" spans="1:16" ht="15.75">
      <c r="A2464" s="100">
        <v>43</v>
      </c>
      <c r="B2464" s="1021" t="s">
        <v>3039</v>
      </c>
      <c r="C2464" s="1046" t="s">
        <v>3040</v>
      </c>
      <c r="D2464" s="1023" t="s">
        <v>40</v>
      </c>
      <c r="E2464" s="1024">
        <v>5000</v>
      </c>
      <c r="F2464" s="1023">
        <v>0</v>
      </c>
      <c r="G2464" s="140">
        <f t="shared" si="154"/>
        <v>0</v>
      </c>
      <c r="H2464" s="100">
        <v>0</v>
      </c>
      <c r="I2464" s="140">
        <v>0</v>
      </c>
      <c r="J2464" s="100">
        <v>0</v>
      </c>
      <c r="K2464" s="140">
        <v>0</v>
      </c>
      <c r="L2464" s="100">
        <v>0</v>
      </c>
      <c r="M2464" s="140">
        <v>0</v>
      </c>
      <c r="N2464" s="1023">
        <v>2</v>
      </c>
      <c r="O2464" s="140">
        <f t="shared" ref="O2464:O2467" si="158">E2464*N2464</f>
        <v>10000</v>
      </c>
      <c r="P2464" s="140">
        <f t="shared" ref="P2464:P2467" si="159">O2464</f>
        <v>10000</v>
      </c>
    </row>
    <row r="2465" spans="1:16" ht="63">
      <c r="A2465" s="100">
        <v>44</v>
      </c>
      <c r="B2465" s="1021" t="s">
        <v>56</v>
      </c>
      <c r="C2465" s="1045" t="s">
        <v>3041</v>
      </c>
      <c r="D2465" s="1027" t="s">
        <v>40</v>
      </c>
      <c r="E2465" s="1028">
        <v>50</v>
      </c>
      <c r="F2465" s="1027">
        <v>0</v>
      </c>
      <c r="G2465" s="140">
        <f t="shared" si="154"/>
        <v>0</v>
      </c>
      <c r="H2465" s="100">
        <v>0</v>
      </c>
      <c r="I2465" s="140">
        <v>0</v>
      </c>
      <c r="J2465" s="100">
        <v>0</v>
      </c>
      <c r="K2465" s="140">
        <v>0</v>
      </c>
      <c r="L2465" s="100">
        <v>0</v>
      </c>
      <c r="M2465" s="140">
        <v>0</v>
      </c>
      <c r="N2465" s="1027">
        <v>110</v>
      </c>
      <c r="O2465" s="140">
        <f t="shared" si="158"/>
        <v>5500</v>
      </c>
      <c r="P2465" s="140">
        <f t="shared" si="159"/>
        <v>5500</v>
      </c>
    </row>
    <row r="2466" spans="1:16" ht="31.5">
      <c r="A2466" s="100">
        <v>45</v>
      </c>
      <c r="B2466" s="1021" t="s">
        <v>1796</v>
      </c>
      <c r="C2466" s="1033" t="s">
        <v>3042</v>
      </c>
      <c r="D2466" s="1034" t="s">
        <v>40</v>
      </c>
      <c r="E2466" s="1035">
        <v>50</v>
      </c>
      <c r="F2466" s="1027">
        <v>0</v>
      </c>
      <c r="G2466" s="140">
        <f t="shared" si="154"/>
        <v>0</v>
      </c>
      <c r="H2466" s="100">
        <v>0</v>
      </c>
      <c r="I2466" s="140">
        <v>0</v>
      </c>
      <c r="J2466" s="100">
        <v>0</v>
      </c>
      <c r="K2466" s="140">
        <v>0</v>
      </c>
      <c r="L2466" s="100">
        <v>0</v>
      </c>
      <c r="M2466" s="140">
        <v>0</v>
      </c>
      <c r="N2466" s="1027">
        <v>14</v>
      </c>
      <c r="O2466" s="140">
        <f t="shared" si="158"/>
        <v>700</v>
      </c>
      <c r="P2466" s="140">
        <f t="shared" si="159"/>
        <v>700</v>
      </c>
    </row>
    <row r="2467" spans="1:16" ht="47.25">
      <c r="A2467" s="100">
        <v>46</v>
      </c>
      <c r="B2467" s="1021" t="s">
        <v>484</v>
      </c>
      <c r="C2467" s="215" t="s">
        <v>3043</v>
      </c>
      <c r="D2467" s="1029" t="s">
        <v>40</v>
      </c>
      <c r="E2467" s="1030">
        <v>2000</v>
      </c>
      <c r="F2467" s="1027">
        <v>0</v>
      </c>
      <c r="G2467" s="140">
        <f t="shared" si="154"/>
        <v>0</v>
      </c>
      <c r="H2467" s="100">
        <v>0</v>
      </c>
      <c r="I2467" s="140">
        <v>0</v>
      </c>
      <c r="J2467" s="100">
        <v>0</v>
      </c>
      <c r="K2467" s="140">
        <v>0</v>
      </c>
      <c r="L2467" s="100">
        <v>0</v>
      </c>
      <c r="M2467" s="140">
        <v>0</v>
      </c>
      <c r="N2467" s="1027">
        <v>3</v>
      </c>
      <c r="O2467" s="140">
        <f t="shared" si="158"/>
        <v>6000</v>
      </c>
      <c r="P2467" s="140">
        <f t="shared" si="159"/>
        <v>6000</v>
      </c>
    </row>
    <row r="2468" spans="1:16" ht="15.75">
      <c r="A2468" s="157"/>
      <c r="B2468" s="157"/>
      <c r="C2468" s="1048" t="s">
        <v>80</v>
      </c>
      <c r="D2468" s="157"/>
      <c r="E2468" s="201"/>
      <c r="F2468" s="157"/>
      <c r="G2468" s="218">
        <f>SUM(G2424:G2465)</f>
        <v>1372026.004</v>
      </c>
      <c r="H2468" s="1049">
        <f>SUM(H2424:H2454)</f>
        <v>0</v>
      </c>
      <c r="I2468" s="140">
        <v>0</v>
      </c>
      <c r="J2468" s="100">
        <v>0</v>
      </c>
      <c r="K2468" s="140">
        <v>0</v>
      </c>
      <c r="L2468" s="100">
        <v>0</v>
      </c>
      <c r="M2468" s="140">
        <v>0</v>
      </c>
      <c r="N2468" s="1023"/>
      <c r="O2468" s="1050">
        <f>SUM(O2460:O2467)</f>
        <v>164050</v>
      </c>
      <c r="P2468" s="1051">
        <f>SUM(P2424:P2467)</f>
        <v>1536076.004</v>
      </c>
    </row>
  </sheetData>
  <mergeCells count="333">
    <mergeCell ref="A1317:B1317"/>
    <mergeCell ref="D1317:O1318"/>
    <mergeCell ref="A1318:B1318"/>
    <mergeCell ref="A1319:A1320"/>
    <mergeCell ref="B1319:B1320"/>
    <mergeCell ref="C1319:C1320"/>
    <mergeCell ref="D1319:D1320"/>
    <mergeCell ref="E1319:E1320"/>
    <mergeCell ref="F1319:G1319"/>
    <mergeCell ref="H1319:I1319"/>
    <mergeCell ref="J1319:K1319"/>
    <mergeCell ref="L1319:M1319"/>
    <mergeCell ref="N1319:O1319"/>
    <mergeCell ref="F1213:G1213"/>
    <mergeCell ref="H1213:I1213"/>
    <mergeCell ref="J1213:K1213"/>
    <mergeCell ref="L1213:M1213"/>
    <mergeCell ref="N1213:O1213"/>
    <mergeCell ref="A1213:A1214"/>
    <mergeCell ref="B1213:B1214"/>
    <mergeCell ref="C1213:C1214"/>
    <mergeCell ref="D1213:D1214"/>
    <mergeCell ref="E1213:E1214"/>
    <mergeCell ref="A1118:I1118"/>
    <mergeCell ref="A1121:I1121"/>
    <mergeCell ref="A1210:O1210"/>
    <mergeCell ref="A1211:B1211"/>
    <mergeCell ref="D1211:O1212"/>
    <mergeCell ref="A1212:B1212"/>
    <mergeCell ref="F1021:G1021"/>
    <mergeCell ref="H1021:I1021"/>
    <mergeCell ref="J1021:K1021"/>
    <mergeCell ref="L1021:M1021"/>
    <mergeCell ref="N1021:O1021"/>
    <mergeCell ref="A1021:A1022"/>
    <mergeCell ref="B1021:B1022"/>
    <mergeCell ref="C1021:C1022"/>
    <mergeCell ref="D1021:D1022"/>
    <mergeCell ref="E1021:E1022"/>
    <mergeCell ref="F560:G560"/>
    <mergeCell ref="H560:I560"/>
    <mergeCell ref="J560:K560"/>
    <mergeCell ref="L560:M560"/>
    <mergeCell ref="N560:O560"/>
    <mergeCell ref="A560:A561"/>
    <mergeCell ref="B560:B561"/>
    <mergeCell ref="C560:C561"/>
    <mergeCell ref="D560:D561"/>
    <mergeCell ref="E560:E561"/>
    <mergeCell ref="J462:K462"/>
    <mergeCell ref="L462:M462"/>
    <mergeCell ref="N462:O462"/>
    <mergeCell ref="P462:P463"/>
    <mergeCell ref="A553:F553"/>
    <mergeCell ref="A459:E459"/>
    <mergeCell ref="A460:E460"/>
    <mergeCell ref="A461:E461"/>
    <mergeCell ref="F462:G462"/>
    <mergeCell ref="H462:I462"/>
    <mergeCell ref="H451:I451"/>
    <mergeCell ref="L457:P457"/>
    <mergeCell ref="A458:D458"/>
    <mergeCell ref="H458:J458"/>
    <mergeCell ref="M458:P458"/>
    <mergeCell ref="H446:I446"/>
    <mergeCell ref="B447:K447"/>
    <mergeCell ref="A448:A449"/>
    <mergeCell ref="B448:B449"/>
    <mergeCell ref="C448:C449"/>
    <mergeCell ref="D448:D449"/>
    <mergeCell ref="E448:I448"/>
    <mergeCell ref="K448:K449"/>
    <mergeCell ref="H440:I440"/>
    <mergeCell ref="B441:K441"/>
    <mergeCell ref="A442:A443"/>
    <mergeCell ref="B442:B443"/>
    <mergeCell ref="C442:C443"/>
    <mergeCell ref="D442:D443"/>
    <mergeCell ref="E442:I442"/>
    <mergeCell ref="K442:K443"/>
    <mergeCell ref="A414:K415"/>
    <mergeCell ref="A417:C417"/>
    <mergeCell ref="A418:C418"/>
    <mergeCell ref="H418:K418"/>
    <mergeCell ref="A419:A420"/>
    <mergeCell ref="B419:B420"/>
    <mergeCell ref="C419:C420"/>
    <mergeCell ref="D419:D420"/>
    <mergeCell ref="E419:I419"/>
    <mergeCell ref="K419:K420"/>
    <mergeCell ref="A362:K362"/>
    <mergeCell ref="A364:J364"/>
    <mergeCell ref="A366:K366"/>
    <mergeCell ref="B397:J397"/>
    <mergeCell ref="A409:J409"/>
    <mergeCell ref="A302:J302"/>
    <mergeCell ref="B308:J308"/>
    <mergeCell ref="B341:J341"/>
    <mergeCell ref="A342:K342"/>
    <mergeCell ref="B361:J361"/>
    <mergeCell ref="A197:C197"/>
    <mergeCell ref="I197:J197"/>
    <mergeCell ref="A199:K199"/>
    <mergeCell ref="A200:A201"/>
    <mergeCell ref="B200:B201"/>
    <mergeCell ref="C200:C201"/>
    <mergeCell ref="D200:D201"/>
    <mergeCell ref="E200:I200"/>
    <mergeCell ref="J200:J201"/>
    <mergeCell ref="K200:K201"/>
    <mergeCell ref="E189:F189"/>
    <mergeCell ref="D192:F192"/>
    <mergeCell ref="H192:J192"/>
    <mergeCell ref="A193:J194"/>
    <mergeCell ref="A196:C196"/>
    <mergeCell ref="H196:I196"/>
    <mergeCell ref="J134:J135"/>
    <mergeCell ref="K134:K135"/>
    <mergeCell ref="D148:D149"/>
    <mergeCell ref="H160:J160"/>
    <mergeCell ref="A164:A165"/>
    <mergeCell ref="B164:B165"/>
    <mergeCell ref="C164:C165"/>
    <mergeCell ref="D164:D165"/>
    <mergeCell ref="F164:I164"/>
    <mergeCell ref="J164:J165"/>
    <mergeCell ref="K164:K165"/>
    <mergeCell ref="A134:A135"/>
    <mergeCell ref="B134:B135"/>
    <mergeCell ref="C134:C135"/>
    <mergeCell ref="D134:D135"/>
    <mergeCell ref="F134:I134"/>
    <mergeCell ref="A131:H131"/>
    <mergeCell ref="A132:C132"/>
    <mergeCell ref="D132:E132"/>
    <mergeCell ref="A133:C133"/>
    <mergeCell ref="D133:F133"/>
    <mergeCell ref="A1:B1"/>
    <mergeCell ref="O1:P1"/>
    <mergeCell ref="A2:B2"/>
    <mergeCell ref="A3:B3"/>
    <mergeCell ref="A4:B4"/>
    <mergeCell ref="P6:P7"/>
    <mergeCell ref="F6:G6"/>
    <mergeCell ref="H6:I6"/>
    <mergeCell ref="J6:K6"/>
    <mergeCell ref="L6:M6"/>
    <mergeCell ref="N6:O6"/>
    <mergeCell ref="A128:K129"/>
    <mergeCell ref="A1382:K1383"/>
    <mergeCell ref="A1385:C1385"/>
    <mergeCell ref="G1385:J1385"/>
    <mergeCell ref="A1386:C1386"/>
    <mergeCell ref="H1386:J1386"/>
    <mergeCell ref="A1387:A1388"/>
    <mergeCell ref="B1387:B1388"/>
    <mergeCell ref="C1387:C1388"/>
    <mergeCell ref="D1387:D1388"/>
    <mergeCell ref="E1387:I1387"/>
    <mergeCell ref="J1387:J1388"/>
    <mergeCell ref="K1387:K1388"/>
    <mergeCell ref="A1389:B1389"/>
    <mergeCell ref="A1409:B1409"/>
    <mergeCell ref="B1450:B1451"/>
    <mergeCell ref="B1473:B1474"/>
    <mergeCell ref="B1482:B1483"/>
    <mergeCell ref="B1487:B1488"/>
    <mergeCell ref="B1495:B1496"/>
    <mergeCell ref="B1499:B1503"/>
    <mergeCell ref="A1504:B1504"/>
    <mergeCell ref="B1505:B1518"/>
    <mergeCell ref="A1526:K1526"/>
    <mergeCell ref="A1527:K1527"/>
    <mergeCell ref="A1528:K1528"/>
    <mergeCell ref="A1529:A1530"/>
    <mergeCell ref="B1529:B1530"/>
    <mergeCell ref="C1529:C1530"/>
    <mergeCell ref="E1529:I1529"/>
    <mergeCell ref="J1529:J1530"/>
    <mergeCell ref="K1529:K1530"/>
    <mergeCell ref="A1606:C1606"/>
    <mergeCell ref="A1628:K1628"/>
    <mergeCell ref="A1630:A1631"/>
    <mergeCell ref="B1630:B1631"/>
    <mergeCell ref="C1630:C1631"/>
    <mergeCell ref="E1630:I1630"/>
    <mergeCell ref="J1630:J1631"/>
    <mergeCell ref="K1630:K1631"/>
    <mergeCell ref="A1687:K1689"/>
    <mergeCell ref="A1701:K1702"/>
    <mergeCell ref="A1703:A1704"/>
    <mergeCell ref="B1703:B1704"/>
    <mergeCell ref="C1703:C1704"/>
    <mergeCell ref="E1703:I1703"/>
    <mergeCell ref="J1703:J1704"/>
    <mergeCell ref="K1703:K1704"/>
    <mergeCell ref="A1756:C1756"/>
    <mergeCell ref="A1760:K1760"/>
    <mergeCell ref="A1761:A1762"/>
    <mergeCell ref="B1761:B1762"/>
    <mergeCell ref="C1761:C1762"/>
    <mergeCell ref="E1761:I1761"/>
    <mergeCell ref="J1761:J1762"/>
    <mergeCell ref="K1761:K1762"/>
    <mergeCell ref="A1774:O1774"/>
    <mergeCell ref="A1776:C1776"/>
    <mergeCell ref="A1777:C1777"/>
    <mergeCell ref="N1779:O1779"/>
    <mergeCell ref="B1798:B1801"/>
    <mergeCell ref="C1798:C1801"/>
    <mergeCell ref="A1809:A1810"/>
    <mergeCell ref="C1809:C1810"/>
    <mergeCell ref="C1811:C1812"/>
    <mergeCell ref="C1859:C1860"/>
    <mergeCell ref="A1867:A1868"/>
    <mergeCell ref="B1867:B1868"/>
    <mergeCell ref="C1867:C1868"/>
    <mergeCell ref="A1779:A1780"/>
    <mergeCell ref="B1779:B1780"/>
    <mergeCell ref="C1779:C1780"/>
    <mergeCell ref="D1779:D1780"/>
    <mergeCell ref="E1779:E1780"/>
    <mergeCell ref="F1779:G1779"/>
    <mergeCell ref="H1779:I1779"/>
    <mergeCell ref="J1779:K1779"/>
    <mergeCell ref="L1779:M1779"/>
    <mergeCell ref="B1875:B1877"/>
    <mergeCell ref="C1875:C1877"/>
    <mergeCell ref="B1878:B1879"/>
    <mergeCell ref="C1878:C1879"/>
    <mergeCell ref="B1881:B1882"/>
    <mergeCell ref="C1881:C1882"/>
    <mergeCell ref="B1884:B1885"/>
    <mergeCell ref="C1884:C1885"/>
    <mergeCell ref="A1913:A1914"/>
    <mergeCell ref="C1913:C1914"/>
    <mergeCell ref="C1931:C1932"/>
    <mergeCell ref="C1961:C1962"/>
    <mergeCell ref="C1969:C1970"/>
    <mergeCell ref="C1972:C1973"/>
    <mergeCell ref="C1974:C1975"/>
    <mergeCell ref="C1976:C1977"/>
    <mergeCell ref="C1978:C1979"/>
    <mergeCell ref="A2016:A2017"/>
    <mergeCell ref="B2016:B2017"/>
    <mergeCell ref="C2016:C2017"/>
    <mergeCell ref="A2033:A2034"/>
    <mergeCell ref="C2033:C2034"/>
    <mergeCell ref="A2035:A2036"/>
    <mergeCell ref="C2035:C2037"/>
    <mergeCell ref="A2053:A2054"/>
    <mergeCell ref="B2053:B2054"/>
    <mergeCell ref="C2053:C2054"/>
    <mergeCell ref="C2055:C2056"/>
    <mergeCell ref="A2063:E2063"/>
    <mergeCell ref="M2066:N2066"/>
    <mergeCell ref="A2070:A2071"/>
    <mergeCell ref="B2070:B2071"/>
    <mergeCell ref="C2070:C2071"/>
    <mergeCell ref="D2070:D2071"/>
    <mergeCell ref="E2070:E2071"/>
    <mergeCell ref="F2070:G2070"/>
    <mergeCell ref="H2070:I2070"/>
    <mergeCell ref="J2070:K2070"/>
    <mergeCell ref="L2070:M2070"/>
    <mergeCell ref="N2070:O2070"/>
    <mergeCell ref="A2167:E2167"/>
    <mergeCell ref="A2171:Q2171"/>
    <mergeCell ref="A2172:P2172"/>
    <mergeCell ref="A2173:Q2173"/>
    <mergeCell ref="A2174:C2174"/>
    <mergeCell ref="A2175:A2176"/>
    <mergeCell ref="B2175:B2176"/>
    <mergeCell ref="C2175:C2176"/>
    <mergeCell ref="D2175:D2176"/>
    <mergeCell ref="E2175:E2176"/>
    <mergeCell ref="F2175:F2176"/>
    <mergeCell ref="G2175:H2175"/>
    <mergeCell ref="I2175:J2175"/>
    <mergeCell ref="K2175:L2175"/>
    <mergeCell ref="M2175:N2175"/>
    <mergeCell ref="O2175:P2175"/>
    <mergeCell ref="Q2175:Q2176"/>
    <mergeCell ref="J2203:N2203"/>
    <mergeCell ref="J2209:N2209"/>
    <mergeCell ref="E2276:M2276"/>
    <mergeCell ref="A2278:C2278"/>
    <mergeCell ref="A2296:E2296"/>
    <mergeCell ref="F2296:M2296"/>
    <mergeCell ref="A2300:K2300"/>
    <mergeCell ref="A2301:K2301"/>
    <mergeCell ref="A2302:K2302"/>
    <mergeCell ref="A2303:D2303"/>
    <mergeCell ref="A2304:A2305"/>
    <mergeCell ref="D2304:D2305"/>
    <mergeCell ref="E2304:E2305"/>
    <mergeCell ref="F2304:F2305"/>
    <mergeCell ref="G2304:H2304"/>
    <mergeCell ref="I2304:J2304"/>
    <mergeCell ref="K2304:L2304"/>
    <mergeCell ref="M2304:N2304"/>
    <mergeCell ref="O2304:P2304"/>
    <mergeCell ref="Q2304:Q2305"/>
    <mergeCell ref="L2316:O2316"/>
    <mergeCell ref="L2321:O2321"/>
    <mergeCell ref="L2324:O2324"/>
    <mergeCell ref="A2325:E2325"/>
    <mergeCell ref="F2325:M2325"/>
    <mergeCell ref="A2329:C2329"/>
    <mergeCell ref="A2330:C2330"/>
    <mergeCell ref="F2331:G2331"/>
    <mergeCell ref="H2331:I2331"/>
    <mergeCell ref="J2331:K2331"/>
    <mergeCell ref="L2331:M2331"/>
    <mergeCell ref="N2331:O2331"/>
    <mergeCell ref="P2331:P2332"/>
    <mergeCell ref="A2414:D2414"/>
    <mergeCell ref="A2418:C2418"/>
    <mergeCell ref="M2418:P2418"/>
    <mergeCell ref="H2422:I2422"/>
    <mergeCell ref="J2422:K2422"/>
    <mergeCell ref="L2422:M2422"/>
    <mergeCell ref="N2422:O2422"/>
    <mergeCell ref="P2422:P2423"/>
    <mergeCell ref="A2419:C2419"/>
    <mergeCell ref="A2420:C2420"/>
    <mergeCell ref="A2421:C2421"/>
    <mergeCell ref="A2422:A2423"/>
    <mergeCell ref="B2422:B2423"/>
    <mergeCell ref="C2422:C2423"/>
    <mergeCell ref="D2422:D2423"/>
    <mergeCell ref="E2422:E2423"/>
    <mergeCell ref="F2422:G242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Aug-26</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dc:creator>
  <cp:lastModifiedBy>Admin</cp:lastModifiedBy>
  <cp:lastPrinted>2021-08-31T09:15:40Z</cp:lastPrinted>
  <dcterms:created xsi:type="dcterms:W3CDTF">2015-06-05T18:17:20Z</dcterms:created>
  <dcterms:modified xsi:type="dcterms:W3CDTF">2026-09-07T09:37:45Z</dcterms:modified>
</cp:coreProperties>
</file>