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April-26" sheetId="49" r:id="rId1"/>
  </sheets>
  <definedNames>
    <definedName name="_xlnm._FilterDatabase" localSheetId="0" hidden="1">'April-26'!$F$6:$P$7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834" i="49" l="1"/>
  <c r="G1834" i="49"/>
  <c r="O1833" i="49"/>
  <c r="P1833" i="49" s="1"/>
  <c r="G1832" i="49"/>
  <c r="P1832" i="49" s="1"/>
  <c r="O1831" i="49"/>
  <c r="P1831" i="49" s="1"/>
  <c r="O1830" i="49"/>
  <c r="P1830" i="49" s="1"/>
  <c r="P1829" i="49"/>
  <c r="G1829" i="49"/>
  <c r="P1828" i="49"/>
  <c r="G1828" i="49"/>
  <c r="P1827" i="49"/>
  <c r="G1827" i="49"/>
  <c r="P1826" i="49"/>
  <c r="G1826" i="49"/>
  <c r="P1825" i="49"/>
  <c r="G1825" i="49"/>
  <c r="P1824" i="49"/>
  <c r="G1824" i="49"/>
  <c r="P1823" i="49"/>
  <c r="G1823" i="49"/>
  <c r="P1822" i="49"/>
  <c r="G1822" i="49"/>
  <c r="P1821" i="49"/>
  <c r="G1821" i="49"/>
  <c r="P1820" i="49"/>
  <c r="G1820" i="49"/>
  <c r="P1819" i="49"/>
  <c r="G1819" i="49"/>
  <c r="G1818" i="49"/>
  <c r="P1818" i="49" s="1"/>
  <c r="P1817" i="49"/>
  <c r="G1817" i="49"/>
  <c r="P1816" i="49"/>
  <c r="G1816" i="49"/>
  <c r="P1815" i="49"/>
  <c r="G1815" i="49"/>
  <c r="O1814" i="49"/>
  <c r="P1814" i="49" s="1"/>
  <c r="P1813" i="49"/>
  <c r="G1813" i="49"/>
  <c r="P1812" i="49"/>
  <c r="G1812" i="49"/>
  <c r="O1811" i="49"/>
  <c r="P1811" i="49" s="1"/>
  <c r="P1810" i="49"/>
  <c r="G1810" i="49"/>
  <c r="P1809" i="49"/>
  <c r="G1809" i="49"/>
  <c r="P1808" i="49"/>
  <c r="G1808" i="49"/>
  <c r="P1807" i="49"/>
  <c r="G1807" i="49"/>
  <c r="P1806" i="49"/>
  <c r="G1806" i="49"/>
  <c r="P1805" i="49"/>
  <c r="G1805" i="49"/>
  <c r="P1804" i="49"/>
  <c r="G1804" i="49"/>
  <c r="P1803" i="49"/>
  <c r="G1803" i="49"/>
  <c r="P1802" i="49"/>
  <c r="G1802" i="49"/>
  <c r="P1801" i="49"/>
  <c r="G1801" i="49"/>
  <c r="P1800" i="49"/>
  <c r="G1800" i="49"/>
  <c r="P1799" i="49"/>
  <c r="G1799" i="49"/>
  <c r="P1798" i="49"/>
  <c r="G1798" i="49"/>
  <c r="P1797" i="49"/>
  <c r="G1797" i="49"/>
  <c r="P1796" i="49"/>
  <c r="G1796" i="49"/>
  <c r="P1795" i="49"/>
  <c r="G1795" i="49"/>
  <c r="P1794" i="49"/>
  <c r="G1794" i="49"/>
  <c r="P1793" i="49"/>
  <c r="G1793" i="49"/>
  <c r="O1792" i="49"/>
  <c r="P1792" i="49" s="1"/>
  <c r="P1791" i="49"/>
  <c r="G1791" i="49"/>
  <c r="P1790" i="49"/>
  <c r="G1790" i="49"/>
  <c r="P1789" i="49"/>
  <c r="G1789" i="49"/>
  <c r="P1788" i="49"/>
  <c r="G1788" i="49"/>
  <c r="P1787" i="49"/>
  <c r="G1787" i="49"/>
  <c r="P1786" i="49"/>
  <c r="G1786" i="49"/>
  <c r="P1785" i="49"/>
  <c r="G1785" i="49"/>
  <c r="P1784" i="49"/>
  <c r="G1784" i="49"/>
  <c r="P1783" i="49"/>
  <c r="G1783" i="49"/>
  <c r="P1782" i="49"/>
  <c r="G1782" i="49"/>
  <c r="P1781" i="49"/>
  <c r="G1781" i="49"/>
  <c r="P1780" i="49"/>
  <c r="G1780" i="49"/>
  <c r="P1779" i="49"/>
  <c r="G1779" i="49"/>
  <c r="P1778" i="49"/>
  <c r="G1778" i="49"/>
  <c r="P1777" i="49"/>
  <c r="G1777" i="49"/>
  <c r="P1776" i="49"/>
  <c r="G1776" i="49"/>
  <c r="P1775" i="49"/>
  <c r="G1775" i="49"/>
  <c r="P1774" i="49"/>
  <c r="G1774" i="49"/>
  <c r="P1773" i="49"/>
  <c r="G1773" i="49"/>
  <c r="P1772" i="49"/>
  <c r="G1772" i="49"/>
  <c r="P1771" i="49"/>
  <c r="G1771" i="49"/>
  <c r="P1770" i="49"/>
  <c r="G1770" i="49"/>
  <c r="P1769" i="49"/>
  <c r="G1769" i="49"/>
  <c r="P1768" i="49"/>
  <c r="G1768" i="49"/>
  <c r="P1767" i="49"/>
  <c r="G1767" i="49"/>
  <c r="P1766" i="49"/>
  <c r="G1766" i="49"/>
  <c r="P1765" i="49"/>
  <c r="G1765" i="49"/>
  <c r="P1764" i="49"/>
  <c r="G1764" i="49"/>
  <c r="P1763" i="49"/>
  <c r="G1763" i="49"/>
  <c r="O1762" i="49"/>
  <c r="O1835" i="49" s="1"/>
  <c r="O1837" i="49" s="1"/>
  <c r="P1837" i="49" s="1"/>
  <c r="P1761" i="49"/>
  <c r="G1761" i="49"/>
  <c r="P1760" i="49"/>
  <c r="G1760" i="49"/>
  <c r="P1759" i="49"/>
  <c r="G1759" i="49"/>
  <c r="P1758" i="49"/>
  <c r="G1758" i="49"/>
  <c r="P1757" i="49"/>
  <c r="G1757" i="49"/>
  <c r="P1756" i="49"/>
  <c r="G1756" i="49"/>
  <c r="P1755" i="49"/>
  <c r="G1755" i="49"/>
  <c r="P1754" i="49"/>
  <c r="G1754" i="49"/>
  <c r="G1835" i="49" s="1"/>
  <c r="G1837" i="49" s="1"/>
  <c r="P1835" i="49" l="1"/>
  <c r="P1762" i="49"/>
  <c r="K1747" i="49" l="1"/>
  <c r="K1746" i="49"/>
  <c r="K1745" i="49"/>
  <c r="K1744" i="49"/>
  <c r="K1743" i="49"/>
  <c r="K1742" i="49"/>
  <c r="K1741" i="49"/>
  <c r="K1740" i="49"/>
  <c r="K1736" i="49"/>
  <c r="K1735" i="49"/>
  <c r="K1734" i="49"/>
  <c r="K1733" i="49"/>
  <c r="K1731" i="49"/>
  <c r="K1730" i="49"/>
  <c r="K1729" i="49"/>
  <c r="K1728" i="49"/>
  <c r="K1727" i="49"/>
  <c r="K1726" i="49"/>
  <c r="K1725" i="49"/>
  <c r="K1724" i="49"/>
  <c r="K1723" i="49"/>
  <c r="K1722" i="49"/>
  <c r="K1721" i="49"/>
  <c r="K1720" i="49"/>
  <c r="K1719" i="49"/>
  <c r="K1718" i="49"/>
  <c r="K1717" i="49"/>
  <c r="K1716" i="49"/>
  <c r="K1715" i="49"/>
  <c r="K1714" i="49"/>
  <c r="K1713" i="49"/>
  <c r="K1712" i="49"/>
  <c r="K1711" i="49"/>
  <c r="K1710" i="49"/>
  <c r="K1709" i="49"/>
  <c r="K1708" i="49"/>
  <c r="K1707" i="49"/>
  <c r="K1706" i="49"/>
  <c r="K1705" i="49"/>
  <c r="K1704" i="49"/>
  <c r="K1703" i="49"/>
  <c r="K1702" i="49"/>
  <c r="K1701" i="49"/>
  <c r="K1700" i="49"/>
  <c r="K1699" i="49"/>
  <c r="K1698" i="49"/>
  <c r="K1697" i="49"/>
  <c r="K1696" i="49"/>
  <c r="K1695" i="49"/>
  <c r="K1694" i="49"/>
  <c r="K1693" i="49"/>
  <c r="K1692" i="49"/>
  <c r="K1691" i="49"/>
  <c r="K1690" i="49"/>
  <c r="K1689" i="49"/>
  <c r="K1688" i="49"/>
  <c r="K1687" i="49"/>
  <c r="K1686" i="49"/>
  <c r="K1685" i="49"/>
  <c r="K1684" i="49"/>
  <c r="K1683" i="49"/>
  <c r="K1682" i="49"/>
  <c r="K1681" i="49"/>
  <c r="K1680" i="49"/>
  <c r="K1679" i="49"/>
  <c r="K1678" i="49"/>
  <c r="K1677" i="49"/>
  <c r="K1676" i="49"/>
  <c r="K1675" i="49"/>
  <c r="K1670" i="49"/>
  <c r="K1669" i="49"/>
  <c r="K1668" i="49"/>
  <c r="K1667" i="49"/>
  <c r="K1666" i="49"/>
  <c r="K1665" i="49"/>
  <c r="K1664" i="49"/>
  <c r="K1663" i="49"/>
  <c r="K1662" i="49"/>
  <c r="K1661" i="49"/>
  <c r="K1660" i="49"/>
  <c r="K1656" i="49"/>
  <c r="K1655" i="49"/>
  <c r="K1654" i="49"/>
  <c r="K1653" i="49"/>
  <c r="K1652" i="49"/>
  <c r="K1651" i="49"/>
  <c r="K1650" i="49"/>
  <c r="K1649" i="49"/>
  <c r="K1648" i="49"/>
  <c r="K1647" i="49"/>
  <c r="K1646" i="49"/>
  <c r="K1645" i="49"/>
  <c r="K1644" i="49"/>
  <c r="K1643" i="49"/>
  <c r="K1642" i="49"/>
  <c r="K1641" i="49"/>
  <c r="K1640" i="49"/>
  <c r="K1639" i="49"/>
  <c r="K1638" i="49"/>
  <c r="K1637" i="49"/>
  <c r="K1636" i="49"/>
  <c r="K1635" i="49"/>
  <c r="K1634" i="49"/>
  <c r="K1633" i="49"/>
  <c r="K1632" i="49"/>
  <c r="K1631" i="49"/>
  <c r="K1630" i="49"/>
  <c r="K1629" i="49"/>
  <c r="K1628" i="49"/>
  <c r="K1627" i="49"/>
  <c r="K1626" i="49"/>
  <c r="K1625" i="49"/>
  <c r="K1624" i="49"/>
  <c r="K1623" i="49"/>
  <c r="K1622" i="49"/>
  <c r="K1621" i="49"/>
  <c r="K1620" i="49"/>
  <c r="K1619" i="49"/>
  <c r="K1618" i="49"/>
  <c r="K1617" i="49"/>
  <c r="K1616" i="49"/>
  <c r="K1615" i="49"/>
  <c r="K1614" i="49"/>
  <c r="K1613" i="49"/>
  <c r="K1612" i="49"/>
  <c r="K1611" i="49"/>
  <c r="K1610" i="49"/>
  <c r="K1609" i="49"/>
  <c r="K1608" i="49"/>
  <c r="K1607" i="49"/>
  <c r="K1606" i="49"/>
  <c r="K1605" i="49"/>
  <c r="K1604" i="49"/>
  <c r="K1603" i="49"/>
  <c r="K1602" i="49"/>
  <c r="K1597" i="49"/>
  <c r="K1596" i="49"/>
  <c r="K1595" i="49"/>
  <c r="K1594" i="49"/>
  <c r="K1593" i="49"/>
  <c r="K1592" i="49"/>
  <c r="K1591" i="49"/>
  <c r="K1590" i="49"/>
  <c r="K1589" i="49"/>
  <c r="K1588" i="49"/>
  <c r="K1587" i="49"/>
  <c r="K1586" i="49"/>
  <c r="K1585" i="49"/>
  <c r="K1584" i="49"/>
  <c r="K1583" i="49"/>
  <c r="K1582" i="49"/>
  <c r="K1581" i="49"/>
  <c r="K1580" i="49"/>
  <c r="K1579" i="49"/>
  <c r="K1578" i="49"/>
  <c r="K1577" i="49"/>
  <c r="K1575" i="49"/>
  <c r="K1574" i="49"/>
  <c r="K1573" i="49"/>
  <c r="K1572" i="49"/>
  <c r="K1571" i="49"/>
  <c r="K1570" i="49"/>
  <c r="K1569" i="49"/>
  <c r="K1568" i="49"/>
  <c r="K1567" i="49"/>
  <c r="K1566" i="49"/>
  <c r="K1565" i="49"/>
  <c r="K1564" i="49"/>
  <c r="K1563" i="49"/>
  <c r="K1562" i="49"/>
  <c r="K1561" i="49"/>
  <c r="K1560" i="49"/>
  <c r="K1559" i="49"/>
  <c r="K1558" i="49"/>
  <c r="K1557" i="49"/>
  <c r="K1556" i="49"/>
  <c r="K1555" i="49"/>
  <c r="K1554" i="49"/>
  <c r="K1553" i="49"/>
  <c r="K1552" i="49"/>
  <c r="K1551" i="49"/>
  <c r="K1550" i="49"/>
  <c r="K1549" i="49"/>
  <c r="K1548" i="49"/>
  <c r="K1547" i="49"/>
  <c r="K1546" i="49"/>
  <c r="K1545" i="49"/>
  <c r="K1544" i="49"/>
  <c r="K1543" i="49"/>
  <c r="K1542" i="49"/>
  <c r="K1541" i="49"/>
  <c r="K1540" i="49"/>
  <c r="K1539" i="49"/>
  <c r="K1538" i="49"/>
  <c r="K1537" i="49"/>
  <c r="K1536" i="49"/>
  <c r="K1535" i="49"/>
  <c r="K1534" i="49"/>
  <c r="K1533" i="49"/>
  <c r="K1532" i="49"/>
  <c r="K1531" i="49"/>
  <c r="K1530" i="49"/>
  <c r="K1529" i="49"/>
  <c r="K1528" i="49"/>
  <c r="K1527" i="49"/>
  <c r="K1526" i="49"/>
  <c r="K1525" i="49"/>
  <c r="K1524" i="49"/>
  <c r="K1523" i="49"/>
  <c r="K1522" i="49"/>
  <c r="K1521" i="49"/>
  <c r="K1520" i="49"/>
  <c r="K1519" i="49"/>
  <c r="K1518" i="49"/>
  <c r="K1517" i="49"/>
  <c r="K1516" i="49"/>
  <c r="K1515" i="49"/>
  <c r="K1514" i="49"/>
  <c r="K1513" i="49"/>
  <c r="K1512" i="49"/>
  <c r="K1511" i="49"/>
  <c r="K1510" i="49"/>
  <c r="K1509" i="49"/>
  <c r="K1508" i="49"/>
  <c r="K1507" i="49"/>
  <c r="K1506" i="49"/>
  <c r="K1505" i="49"/>
  <c r="K1504" i="49"/>
  <c r="K1503" i="49"/>
  <c r="K1502" i="49"/>
  <c r="K1501" i="49"/>
  <c r="K1483" i="49" l="1"/>
  <c r="K1482" i="49"/>
  <c r="K1481" i="49"/>
  <c r="K1480" i="49"/>
  <c r="K1479" i="49"/>
  <c r="K1478" i="49"/>
  <c r="K1477" i="49"/>
  <c r="K1476" i="49"/>
  <c r="K1475" i="49"/>
  <c r="K1474" i="49"/>
  <c r="K1473" i="49"/>
  <c r="K1472" i="49"/>
  <c r="K1471" i="49"/>
  <c r="K1470" i="49"/>
  <c r="K1469" i="49"/>
  <c r="K1468" i="49"/>
  <c r="K1466" i="49"/>
  <c r="K1465" i="49"/>
  <c r="K1464" i="49"/>
  <c r="K1463" i="49"/>
  <c r="K1462" i="49"/>
  <c r="K1461" i="49"/>
  <c r="K1460" i="49"/>
  <c r="K1459" i="49"/>
  <c r="K1458" i="49"/>
  <c r="K1457" i="49"/>
  <c r="K1456" i="49"/>
  <c r="K1455" i="49"/>
  <c r="K1454" i="49"/>
  <c r="K1453" i="49"/>
  <c r="K1452" i="49"/>
  <c r="K1451" i="49"/>
  <c r="K1450" i="49"/>
  <c r="K1449" i="49"/>
  <c r="K1448" i="49"/>
  <c r="K1447" i="49"/>
  <c r="K1446" i="49"/>
  <c r="K1445" i="49"/>
  <c r="K1444" i="49"/>
  <c r="K1443" i="49"/>
  <c r="K1442" i="49"/>
  <c r="K1441" i="49"/>
  <c r="K1440" i="49"/>
  <c r="K1439" i="49"/>
  <c r="K1438" i="49"/>
  <c r="K1437" i="49"/>
  <c r="K1436" i="49"/>
  <c r="K1435" i="49"/>
  <c r="K1434" i="49"/>
  <c r="K1433" i="49"/>
  <c r="K1432" i="49"/>
  <c r="K1431" i="49"/>
  <c r="K1430" i="49"/>
  <c r="K1429" i="49"/>
  <c r="K1428" i="49"/>
  <c r="K1427" i="49"/>
  <c r="K1426" i="49"/>
  <c r="K1425" i="49"/>
  <c r="K1424" i="49"/>
  <c r="K1423" i="49"/>
  <c r="K1422" i="49"/>
  <c r="K1421" i="49"/>
  <c r="K1420" i="49"/>
  <c r="K1419" i="49"/>
  <c r="K1418" i="49"/>
  <c r="K1417" i="49"/>
  <c r="K1416" i="49"/>
  <c r="K1415" i="49"/>
  <c r="K1414" i="49"/>
  <c r="K1413" i="49"/>
  <c r="K1412" i="49"/>
  <c r="K1411" i="49"/>
  <c r="K1410" i="49"/>
  <c r="K1409" i="49"/>
  <c r="K1408" i="49"/>
  <c r="K1407" i="49"/>
  <c r="K1406" i="49"/>
  <c r="K1405" i="49"/>
  <c r="K1404" i="49"/>
  <c r="K1403" i="49"/>
  <c r="K1402" i="49"/>
  <c r="K1401" i="49"/>
  <c r="K1400" i="49"/>
  <c r="K1399" i="49"/>
  <c r="K1398" i="49"/>
  <c r="K1397" i="49"/>
  <c r="K1396" i="49"/>
  <c r="K1395" i="49"/>
  <c r="K1394" i="49"/>
  <c r="K1393" i="49"/>
  <c r="K1392" i="49"/>
  <c r="K1391" i="49"/>
  <c r="K1390" i="49"/>
  <c r="K1389" i="49"/>
  <c r="K1388" i="49"/>
  <c r="K1387" i="49"/>
  <c r="K1386" i="49"/>
  <c r="K1385" i="49"/>
  <c r="K1384" i="49"/>
  <c r="K1383" i="49"/>
  <c r="K1382" i="49"/>
  <c r="K1381" i="49"/>
  <c r="K1380" i="49"/>
  <c r="K1379" i="49"/>
  <c r="K1378" i="49"/>
  <c r="K1377" i="49"/>
  <c r="K1376" i="49"/>
  <c r="K1375" i="49"/>
  <c r="K1374" i="49"/>
  <c r="K1373" i="49"/>
  <c r="K1372" i="49"/>
  <c r="K1371" i="49"/>
  <c r="K1370" i="49"/>
  <c r="K1369" i="49"/>
  <c r="K1368" i="49"/>
  <c r="K1366" i="49"/>
  <c r="K1365" i="49"/>
  <c r="K1364" i="49"/>
  <c r="K1363" i="49"/>
  <c r="K1362" i="49"/>
  <c r="K1361" i="49"/>
  <c r="K1360" i="49"/>
  <c r="K1359" i="49"/>
  <c r="K1358" i="49"/>
  <c r="K1357" i="49"/>
  <c r="K1356" i="49"/>
  <c r="K1355" i="49"/>
  <c r="K1354" i="49"/>
  <c r="K1353" i="49"/>
  <c r="K1352" i="49"/>
  <c r="K1351" i="49"/>
  <c r="K1350" i="49"/>
  <c r="K1349" i="49"/>
  <c r="K1348" i="49"/>
  <c r="K1484" i="49" s="1"/>
  <c r="O1334" i="49" l="1"/>
  <c r="K1334" i="49"/>
  <c r="I1334" i="49"/>
  <c r="G1333" i="49"/>
  <c r="G1332" i="49"/>
  <c r="G1331" i="49"/>
  <c r="G1330" i="49"/>
  <c r="G1329" i="49"/>
  <c r="G1328" i="49"/>
  <c r="G1327" i="49"/>
  <c r="G1326" i="49"/>
  <c r="G1325" i="49"/>
  <c r="G1324" i="49"/>
  <c r="G1323" i="49"/>
  <c r="G1322" i="49"/>
  <c r="G1321" i="49"/>
  <c r="G1320" i="49"/>
  <c r="G1319" i="49"/>
  <c r="G1318" i="49"/>
  <c r="G1317" i="49"/>
  <c r="G1316" i="49"/>
  <c r="G1315" i="49"/>
  <c r="M1314" i="49"/>
  <c r="G1313" i="49"/>
  <c r="M1312" i="49"/>
  <c r="M1311" i="49"/>
  <c r="M1310" i="49"/>
  <c r="M1309" i="49"/>
  <c r="M1308" i="49"/>
  <c r="M1307" i="49"/>
  <c r="G1306" i="49"/>
  <c r="G1305" i="49"/>
  <c r="G1304" i="49"/>
  <c r="G1303" i="49"/>
  <c r="G1302" i="49"/>
  <c r="G1301" i="49"/>
  <c r="G1300" i="49"/>
  <c r="G1299" i="49"/>
  <c r="G1298" i="49"/>
  <c r="G1297" i="49"/>
  <c r="G1296" i="49"/>
  <c r="G1295" i="49"/>
  <c r="G1294" i="49"/>
  <c r="G1293" i="49"/>
  <c r="G1292" i="49"/>
  <c r="M1291" i="49"/>
  <c r="M1290" i="49"/>
  <c r="M1289" i="49"/>
  <c r="M1288" i="49"/>
  <c r="M1287" i="49"/>
  <c r="G1286" i="49"/>
  <c r="G1285" i="49"/>
  <c r="G1284" i="49"/>
  <c r="G1283" i="49"/>
  <c r="G1282" i="49"/>
  <c r="G1281" i="49"/>
  <c r="G1280" i="49"/>
  <c r="G1279" i="49"/>
  <c r="G1278" i="49"/>
  <c r="A1278" i="49"/>
  <c r="A1279" i="49" s="1"/>
  <c r="A1280" i="49" s="1"/>
  <c r="A1281" i="49" s="1"/>
  <c r="A1282" i="49" s="1"/>
  <c r="A1283" i="49" s="1"/>
  <c r="A1284" i="49" s="1"/>
  <c r="A1285" i="49" s="1"/>
  <c r="A1286" i="49" s="1"/>
  <c r="A1287" i="49" s="1"/>
  <c r="A1288" i="49" s="1"/>
  <c r="A1289" i="49" s="1"/>
  <c r="A1290" i="49" s="1"/>
  <c r="A1291" i="49" s="1"/>
  <c r="A1292" i="49" s="1"/>
  <c r="A1293" i="49" s="1"/>
  <c r="A1294" i="49" s="1"/>
  <c r="A1295" i="49" s="1"/>
  <c r="A1296" i="49" s="1"/>
  <c r="A1297" i="49" s="1"/>
  <c r="A1298" i="49" s="1"/>
  <c r="A1299" i="49" s="1"/>
  <c r="A1300" i="49" s="1"/>
  <c r="A1301" i="49" s="1"/>
  <c r="A1302" i="49" s="1"/>
  <c r="A1303" i="49" s="1"/>
  <c r="A1304" i="49" s="1"/>
  <c r="A1305" i="49" s="1"/>
  <c r="A1310" i="49" s="1"/>
  <c r="A1311" i="49" s="1"/>
  <c r="A1312" i="49" s="1"/>
  <c r="A1313" i="49" s="1"/>
  <c r="A1314" i="49" s="1"/>
  <c r="A1315" i="49" s="1"/>
  <c r="A1317" i="49" s="1"/>
  <c r="A1318" i="49" s="1"/>
  <c r="A1319" i="49" s="1"/>
  <c r="A1320" i="49" s="1"/>
  <c r="A1321" i="49" s="1"/>
  <c r="A1322" i="49" s="1"/>
  <c r="A1323" i="49" s="1"/>
  <c r="G1277" i="49"/>
  <c r="A1277" i="49"/>
  <c r="G1276" i="49"/>
  <c r="G1275" i="49"/>
  <c r="G1274" i="49"/>
  <c r="G1273" i="49"/>
  <c r="G1272" i="49"/>
  <c r="G1271" i="49"/>
  <c r="G1270" i="49"/>
  <c r="G1269" i="49"/>
  <c r="G1268" i="49"/>
  <c r="G1266" i="49"/>
  <c r="G1264" i="49"/>
  <c r="G1263" i="49"/>
  <c r="G1260" i="49"/>
  <c r="G1259" i="49"/>
  <c r="G1258" i="49"/>
  <c r="G1257" i="49"/>
  <c r="G1256" i="49"/>
  <c r="G1255" i="49"/>
  <c r="G1254" i="49"/>
  <c r="G1253" i="49"/>
  <c r="G1252" i="49"/>
  <c r="G1250" i="49"/>
  <c r="G1249" i="49"/>
  <c r="G1248" i="49"/>
  <c r="M1247" i="49"/>
  <c r="M1334" i="49" s="1"/>
  <c r="G1247" i="49"/>
  <c r="G1246" i="49"/>
  <c r="G1245" i="49"/>
  <c r="G1244" i="49"/>
  <c r="G1242" i="49"/>
  <c r="G1334" i="49" s="1"/>
  <c r="G1241" i="49"/>
  <c r="O1231" i="49"/>
  <c r="K1231" i="49"/>
  <c r="G1230" i="49"/>
  <c r="G1228" i="49"/>
  <c r="L1227" i="49"/>
  <c r="M1227" i="49" s="1"/>
  <c r="F1225" i="49"/>
  <c r="G1225" i="49" s="1"/>
  <c r="F1224" i="49"/>
  <c r="G1224" i="49" s="1"/>
  <c r="G1223" i="49"/>
  <c r="G1222" i="49"/>
  <c r="G1221" i="49"/>
  <c r="G1220" i="49"/>
  <c r="G1219" i="49"/>
  <c r="G1218" i="49"/>
  <c r="F1218" i="49"/>
  <c r="F1217" i="49"/>
  <c r="G1217" i="49" s="1"/>
  <c r="G1216" i="49"/>
  <c r="G1215" i="49"/>
  <c r="G1214" i="49"/>
  <c r="G1213" i="49"/>
  <c r="G1212" i="49"/>
  <c r="G1211" i="49"/>
  <c r="F1210" i="49"/>
  <c r="G1210" i="49" s="1"/>
  <c r="G1209" i="49"/>
  <c r="F1209" i="49"/>
  <c r="G1208" i="49"/>
  <c r="F1207" i="49"/>
  <c r="G1207" i="49" s="1"/>
  <c r="F1206" i="49"/>
  <c r="G1206" i="49" s="1"/>
  <c r="G1205" i="49"/>
  <c r="G1204" i="49"/>
  <c r="G1203" i="49"/>
  <c r="F1202" i="49"/>
  <c r="G1202" i="49" s="1"/>
  <c r="M1201" i="49"/>
  <c r="L1201" i="49"/>
  <c r="G1201" i="49"/>
  <c r="G1200" i="49"/>
  <c r="G1198" i="49"/>
  <c r="G1197" i="49"/>
  <c r="F1196" i="49"/>
  <c r="G1196" i="49" s="1"/>
  <c r="G1195" i="49"/>
  <c r="G1194" i="49"/>
  <c r="F1193" i="49"/>
  <c r="G1193" i="49" s="1"/>
  <c r="G1192" i="49"/>
  <c r="G1191" i="49"/>
  <c r="L1190" i="49"/>
  <c r="M1190" i="49" s="1"/>
  <c r="G1190" i="49"/>
  <c r="G1189" i="49"/>
  <c r="G1188" i="49"/>
  <c r="G1187" i="49"/>
  <c r="G1186" i="49"/>
  <c r="G1185" i="49"/>
  <c r="G1184" i="49"/>
  <c r="M1183" i="49"/>
  <c r="G1183" i="49"/>
  <c r="F1182" i="49"/>
  <c r="G1182" i="49" s="1"/>
  <c r="F1181" i="49"/>
  <c r="G1181" i="49" s="1"/>
  <c r="F1180" i="49"/>
  <c r="G1180" i="49" s="1"/>
  <c r="F1179" i="49"/>
  <c r="G1179" i="49" s="1"/>
  <c r="F1178" i="49"/>
  <c r="G1178" i="49" s="1"/>
  <c r="G1177" i="49"/>
  <c r="G1176" i="49"/>
  <c r="G1175" i="49"/>
  <c r="G1174" i="49"/>
  <c r="G1173" i="49"/>
  <c r="G1172" i="49"/>
  <c r="G1171" i="49"/>
  <c r="G1170" i="49"/>
  <c r="G1169" i="49"/>
  <c r="G1168" i="49"/>
  <c r="F1168" i="49"/>
  <c r="F1167" i="49"/>
  <c r="G1167" i="49" s="1"/>
  <c r="G1166" i="49"/>
  <c r="F1166" i="49"/>
  <c r="F1165" i="49"/>
  <c r="G1165" i="49" s="1"/>
  <c r="G1164" i="49"/>
  <c r="G1163" i="49"/>
  <c r="F1162" i="49"/>
  <c r="G1162" i="49" s="1"/>
  <c r="G1161" i="49"/>
  <c r="G1160" i="49"/>
  <c r="G1159" i="49"/>
  <c r="G1158" i="49"/>
  <c r="G1157" i="49"/>
  <c r="G1156" i="49"/>
  <c r="G1155" i="49"/>
  <c r="G1154" i="49"/>
  <c r="G1153" i="49"/>
  <c r="G1152" i="49"/>
  <c r="F1151" i="49"/>
  <c r="G1151" i="49" s="1"/>
  <c r="G1150" i="49"/>
  <c r="G1149" i="49"/>
  <c r="G1148" i="49"/>
  <c r="G1147" i="49"/>
  <c r="G1146" i="49"/>
  <c r="G1145" i="49"/>
  <c r="G1144" i="49"/>
  <c r="G1143" i="49"/>
  <c r="G1142" i="49"/>
  <c r="F1142" i="49"/>
  <c r="G1141" i="49"/>
  <c r="F1140" i="49"/>
  <c r="G1140" i="49" s="1"/>
  <c r="F1139" i="49"/>
  <c r="G1139" i="49" s="1"/>
  <c r="F1138" i="49"/>
  <c r="G1138" i="49" s="1"/>
  <c r="G1137" i="49"/>
  <c r="G1136" i="49"/>
  <c r="G1135" i="49"/>
  <c r="G1134" i="49"/>
  <c r="G1133" i="49"/>
  <c r="G1132" i="49"/>
  <c r="G1131" i="49"/>
  <c r="G1130" i="49"/>
  <c r="F1130" i="49"/>
  <c r="F1129" i="49"/>
  <c r="G1129" i="49" s="1"/>
  <c r="G1128" i="49"/>
  <c r="F1128" i="49"/>
  <c r="G1127" i="49"/>
  <c r="G1126" i="49"/>
  <c r="G1125" i="49"/>
  <c r="F1125" i="49"/>
  <c r="G1124" i="49"/>
  <c r="G1123" i="49"/>
  <c r="G1122" i="49"/>
  <c r="G1121" i="49"/>
  <c r="F1120" i="49"/>
  <c r="G1120" i="49" s="1"/>
  <c r="G1119" i="49"/>
  <c r="F1119" i="49"/>
  <c r="F1118" i="49"/>
  <c r="G1118" i="49" s="1"/>
  <c r="G1116" i="49"/>
  <c r="F1115" i="49"/>
  <c r="G1115" i="49" s="1"/>
  <c r="F1114" i="49"/>
  <c r="G1114" i="49" s="1"/>
  <c r="G1113" i="49"/>
  <c r="G1112" i="49"/>
  <c r="G1111" i="49"/>
  <c r="G1110" i="49"/>
  <c r="F1110" i="49"/>
  <c r="G1109" i="49"/>
  <c r="G1108" i="49"/>
  <c r="G1107" i="49"/>
  <c r="F1107" i="49"/>
  <c r="G1106" i="49"/>
  <c r="F1104" i="49"/>
  <c r="G1104" i="49" s="1"/>
  <c r="G1103" i="49"/>
  <c r="G1102" i="49"/>
  <c r="F1101" i="49"/>
  <c r="G1101" i="49" s="1"/>
  <c r="F1100" i="49"/>
  <c r="G1100" i="49" s="1"/>
  <c r="F1099" i="49"/>
  <c r="G1099" i="49" s="1"/>
  <c r="F1097" i="49"/>
  <c r="G1097" i="49" s="1"/>
  <c r="L1096" i="49"/>
  <c r="M1096" i="49" s="1"/>
  <c r="G1096" i="49"/>
  <c r="F1095" i="49"/>
  <c r="G1095" i="49" s="1"/>
  <c r="G1094" i="49"/>
  <c r="F1094" i="49"/>
  <c r="F1093" i="49"/>
  <c r="G1093" i="49" s="1"/>
  <c r="G1092" i="49"/>
  <c r="G1091" i="49"/>
  <c r="F1090" i="49"/>
  <c r="G1090" i="49" s="1"/>
  <c r="G1089" i="49"/>
  <c r="F1089" i="49"/>
  <c r="F1088" i="49"/>
  <c r="G1088" i="49" s="1"/>
  <c r="G1087" i="49"/>
  <c r="F1087" i="49"/>
  <c r="F1086" i="49"/>
  <c r="G1086" i="49" s="1"/>
  <c r="G1085" i="49"/>
  <c r="F1085" i="49"/>
  <c r="G1084" i="49"/>
  <c r="G1083" i="49"/>
  <c r="G1082" i="49"/>
  <c r="G1081" i="49"/>
  <c r="G1080" i="49"/>
  <c r="L1079" i="49"/>
  <c r="M1079" i="49" s="1"/>
  <c r="G1079" i="49"/>
  <c r="L1078" i="49"/>
  <c r="M1078" i="49" s="1"/>
  <c r="I1077" i="49"/>
  <c r="I1231" i="49" s="1"/>
  <c r="G1075" i="49"/>
  <c r="F1075" i="49"/>
  <c r="F1074" i="49"/>
  <c r="G1074" i="49" s="1"/>
  <c r="G1073" i="49"/>
  <c r="F1072" i="49"/>
  <c r="G1072" i="49" s="1"/>
  <c r="G1071" i="49"/>
  <c r="G1070" i="49"/>
  <c r="G1069" i="49"/>
  <c r="G1068" i="49"/>
  <c r="G1067" i="49"/>
  <c r="G1066" i="49"/>
  <c r="F1066" i="49"/>
  <c r="G1065" i="49"/>
  <c r="G1064" i="49"/>
  <c r="G1063" i="49"/>
  <c r="F1063" i="49"/>
  <c r="F1062" i="49"/>
  <c r="G1062" i="49" s="1"/>
  <c r="G1061" i="49"/>
  <c r="F1061" i="49"/>
  <c r="F1060" i="49"/>
  <c r="G1060" i="49" s="1"/>
  <c r="G1059" i="49"/>
  <c r="F1059" i="49"/>
  <c r="G1058" i="49"/>
  <c r="G1057" i="49"/>
  <c r="F1057" i="49"/>
  <c r="G1056" i="49"/>
  <c r="G1055" i="49"/>
  <c r="G1054" i="49"/>
  <c r="G1053" i="49"/>
  <c r="F1052" i="49"/>
  <c r="G1052" i="49" s="1"/>
  <c r="G1051" i="49"/>
  <c r="G1050" i="49"/>
  <c r="G1049" i="49"/>
  <c r="F1048" i="49"/>
  <c r="G1048" i="49" s="1"/>
  <c r="G1047" i="49"/>
  <c r="F1046" i="49"/>
  <c r="G1046" i="49" s="1"/>
  <c r="G1045" i="49"/>
  <c r="F1045" i="49"/>
  <c r="G1044" i="49"/>
  <c r="F1043" i="49"/>
  <c r="G1043" i="49" s="1"/>
  <c r="G1042" i="49"/>
  <c r="G1041" i="49"/>
  <c r="G1040" i="49"/>
  <c r="G1039" i="49"/>
  <c r="G1038" i="49"/>
  <c r="F1038" i="49"/>
  <c r="F1037" i="49"/>
  <c r="G1037" i="49" s="1"/>
  <c r="G1036" i="49"/>
  <c r="F1036" i="49"/>
  <c r="G1035" i="49"/>
  <c r="G1034" i="49"/>
  <c r="G1033" i="49"/>
  <c r="F1033" i="49"/>
  <c r="G1032" i="49"/>
  <c r="G1031" i="49"/>
  <c r="M1030" i="49"/>
  <c r="M1029" i="49"/>
  <c r="F1028" i="49"/>
  <c r="G1028" i="49" s="1"/>
  <c r="G1027" i="49"/>
  <c r="F1026" i="49"/>
  <c r="G1026" i="49" s="1"/>
  <c r="G1025" i="49"/>
  <c r="M1023" i="49"/>
  <c r="L1022" i="49"/>
  <c r="M1022" i="49" s="1"/>
  <c r="M1021" i="49"/>
  <c r="M1020" i="49"/>
  <c r="L1020" i="49"/>
  <c r="G1019" i="49"/>
  <c r="G1018" i="49"/>
  <c r="F1018" i="49"/>
  <c r="F1017" i="49"/>
  <c r="G1017" i="49" s="1"/>
  <c r="G1016" i="49"/>
  <c r="F1016" i="49"/>
  <c r="F1015" i="49"/>
  <c r="G1015" i="49" s="1"/>
  <c r="G1014" i="49"/>
  <c r="G1013" i="49"/>
  <c r="F1012" i="49"/>
  <c r="G1012" i="49" s="1"/>
  <c r="G1011" i="49"/>
  <c r="F1011" i="49"/>
  <c r="G1010" i="49"/>
  <c r="F1009" i="49"/>
  <c r="G1009" i="49" s="1"/>
  <c r="G1008" i="49"/>
  <c r="F1008" i="49"/>
  <c r="F1007" i="49"/>
  <c r="G1007" i="49" s="1"/>
  <c r="G1006" i="49"/>
  <c r="G1005" i="49"/>
  <c r="F1004" i="49"/>
  <c r="G1004" i="49" s="1"/>
  <c r="M1003" i="49"/>
  <c r="F1002" i="49"/>
  <c r="G1002" i="49" s="1"/>
  <c r="G1001" i="49"/>
  <c r="G1000" i="49"/>
  <c r="F998" i="49"/>
  <c r="G998" i="49" s="1"/>
  <c r="G997" i="49"/>
  <c r="F997" i="49"/>
  <c r="F996" i="49"/>
  <c r="G996" i="49" s="1"/>
  <c r="M994" i="49"/>
  <c r="G993" i="49"/>
  <c r="F992" i="49"/>
  <c r="G992" i="49" s="1"/>
  <c r="G991" i="49"/>
  <c r="F991" i="49"/>
  <c r="F990" i="49"/>
  <c r="G990" i="49" s="1"/>
  <c r="G989" i="49"/>
  <c r="F989" i="49"/>
  <c r="F988" i="49"/>
  <c r="G988" i="49" s="1"/>
  <c r="G987" i="49"/>
  <c r="F987" i="49"/>
  <c r="M986" i="49"/>
  <c r="M985" i="49"/>
  <c r="M984" i="49"/>
  <c r="L984" i="49"/>
  <c r="L983" i="49"/>
  <c r="M983" i="49" s="1"/>
  <c r="M982" i="49"/>
  <c r="L982" i="49"/>
  <c r="M981" i="49"/>
  <c r="G980" i="49"/>
  <c r="G979" i="49"/>
  <c r="F979" i="49"/>
  <c r="G978" i="49"/>
  <c r="F977" i="49"/>
  <c r="G977" i="49" s="1"/>
  <c r="M976" i="49"/>
  <c r="G975" i="49"/>
  <c r="G973" i="49"/>
  <c r="G972" i="49"/>
  <c r="G971" i="49"/>
  <c r="F970" i="49"/>
  <c r="G970" i="49" s="1"/>
  <c r="G969" i="49"/>
  <c r="F969" i="49"/>
  <c r="G968" i="49"/>
  <c r="F967" i="49"/>
  <c r="G967" i="49" s="1"/>
  <c r="M965" i="49"/>
  <c r="L965" i="49"/>
  <c r="M964" i="49"/>
  <c r="G963" i="49"/>
  <c r="F963" i="49"/>
  <c r="G961" i="49"/>
  <c r="F960" i="49"/>
  <c r="G960" i="49" s="1"/>
  <c r="G959" i="49"/>
  <c r="F959" i="49"/>
  <c r="M958" i="49"/>
  <c r="M957" i="49"/>
  <c r="M956" i="49"/>
  <c r="M955" i="49"/>
  <c r="M954" i="49"/>
  <c r="M953" i="49"/>
  <c r="L953" i="49"/>
  <c r="F952" i="49"/>
  <c r="G952" i="49" s="1"/>
  <c r="G1231" i="49" s="1"/>
  <c r="M1231" i="49" l="1"/>
  <c r="F941" i="49" l="1"/>
  <c r="L940" i="49"/>
  <c r="L939" i="49"/>
  <c r="L938" i="49"/>
  <c r="L937" i="49"/>
  <c r="L936" i="49"/>
  <c r="L935" i="49"/>
  <c r="L934" i="49"/>
  <c r="L933" i="49"/>
  <c r="L932" i="49"/>
  <c r="L931" i="49"/>
  <c r="L930" i="49"/>
  <c r="L929" i="49"/>
  <c r="L928" i="49"/>
  <c r="L927" i="49"/>
  <c r="L926" i="49"/>
  <c r="L941" i="49" s="1"/>
  <c r="L919" i="49"/>
  <c r="L918" i="49"/>
  <c r="L917" i="49"/>
  <c r="L916" i="49"/>
  <c r="L915" i="49"/>
  <c r="L914" i="49"/>
  <c r="L913" i="49"/>
  <c r="L912" i="49"/>
  <c r="L911" i="49"/>
  <c r="L910" i="49"/>
  <c r="L909" i="49"/>
  <c r="L908" i="49"/>
  <c r="L907" i="49"/>
  <c r="L906" i="49"/>
  <c r="L905" i="49"/>
  <c r="L904" i="49"/>
  <c r="L903" i="49"/>
  <c r="L902" i="49"/>
  <c r="L901" i="49"/>
  <c r="L900" i="49"/>
  <c r="L899" i="49"/>
  <c r="L898" i="49"/>
  <c r="L897" i="49"/>
  <c r="L896" i="49"/>
  <c r="L895" i="49"/>
  <c r="L894" i="49"/>
  <c r="L893" i="49"/>
  <c r="L892" i="49"/>
  <c r="L891" i="49"/>
  <c r="L890" i="49"/>
  <c r="L889" i="49"/>
  <c r="L888" i="49"/>
  <c r="L887" i="49"/>
  <c r="L886" i="49"/>
  <c r="L885" i="49"/>
  <c r="L884" i="49"/>
  <c r="L883" i="49"/>
  <c r="L882" i="49"/>
  <c r="L881" i="49"/>
  <c r="L880" i="49"/>
  <c r="L879" i="49"/>
  <c r="L878" i="49"/>
  <c r="L877" i="49"/>
  <c r="L876" i="49"/>
  <c r="L875" i="49"/>
  <c r="L874" i="49"/>
  <c r="L873" i="49"/>
  <c r="L872" i="49"/>
  <c r="L871" i="49"/>
  <c r="L870" i="49"/>
  <c r="L869" i="49"/>
  <c r="L868" i="49"/>
  <c r="L867" i="49"/>
  <c r="L866" i="49"/>
  <c r="L865" i="49"/>
  <c r="L864" i="49"/>
  <c r="L863" i="49"/>
  <c r="L862" i="49"/>
  <c r="L861" i="49"/>
  <c r="L860" i="49"/>
  <c r="L859" i="49"/>
  <c r="L858" i="49"/>
  <c r="L857" i="49"/>
  <c r="L856" i="49"/>
  <c r="L855" i="49"/>
  <c r="L854" i="49"/>
  <c r="L853" i="49"/>
  <c r="L852" i="49"/>
  <c r="L851" i="49"/>
  <c r="L850" i="49"/>
  <c r="L849" i="49"/>
  <c r="L848" i="49"/>
  <c r="L847" i="49"/>
  <c r="L846" i="49"/>
  <c r="L845" i="49"/>
  <c r="L844" i="49"/>
  <c r="L843" i="49"/>
  <c r="L920" i="49" s="1"/>
  <c r="K832" i="49"/>
  <c r="K831" i="49"/>
  <c r="K830" i="49"/>
  <c r="K829" i="49"/>
  <c r="K828" i="49"/>
  <c r="K827" i="49"/>
  <c r="K826" i="49"/>
  <c r="K825" i="49"/>
  <c r="K824" i="49"/>
  <c r="K823" i="49"/>
  <c r="K822" i="49"/>
  <c r="K821" i="49"/>
  <c r="K820" i="49"/>
  <c r="K819" i="49"/>
  <c r="K818" i="49"/>
  <c r="K814" i="49"/>
  <c r="K813" i="49"/>
  <c r="K812" i="49"/>
  <c r="K811" i="49"/>
  <c r="K810" i="49"/>
  <c r="K809" i="49"/>
  <c r="K808" i="49"/>
  <c r="K807" i="49"/>
  <c r="K806" i="49"/>
  <c r="K805" i="49"/>
  <c r="K804" i="49"/>
  <c r="K803" i="49"/>
  <c r="K802" i="49"/>
  <c r="K801" i="49"/>
  <c r="K800" i="49"/>
  <c r="K799" i="49"/>
  <c r="K798" i="49"/>
  <c r="K794" i="49"/>
  <c r="K793" i="49"/>
  <c r="K792" i="49"/>
  <c r="K791" i="49"/>
  <c r="K790" i="49"/>
  <c r="K789" i="49"/>
  <c r="K788" i="49"/>
  <c r="K787" i="49"/>
  <c r="K786" i="49"/>
  <c r="K785" i="49"/>
  <c r="K784" i="49"/>
  <c r="K783" i="49"/>
  <c r="K782" i="49"/>
  <c r="K781" i="49"/>
  <c r="K780" i="49"/>
  <c r="K779" i="49"/>
  <c r="K778" i="49"/>
  <c r="K777" i="49"/>
  <c r="K776" i="49"/>
  <c r="K775" i="49"/>
  <c r="K774" i="49"/>
  <c r="K773" i="49"/>
  <c r="K772" i="49"/>
  <c r="K771" i="49"/>
  <c r="K770" i="49"/>
  <c r="K769" i="49"/>
  <c r="K768" i="49"/>
  <c r="K767" i="49"/>
  <c r="K766" i="49"/>
  <c r="K765" i="49"/>
  <c r="K764" i="49"/>
  <c r="K763" i="49"/>
  <c r="K762" i="49"/>
  <c r="K761" i="49"/>
  <c r="K760" i="49"/>
  <c r="K759" i="49"/>
  <c r="K758" i="49"/>
  <c r="K757" i="49"/>
  <c r="K756" i="49"/>
  <c r="K755" i="49"/>
  <c r="K754" i="49"/>
  <c r="K753" i="49"/>
  <c r="K752" i="49"/>
  <c r="K751" i="49"/>
  <c r="K750" i="49"/>
  <c r="K749" i="49"/>
  <c r="K748" i="49"/>
  <c r="K747" i="49"/>
  <c r="K746" i="49"/>
  <c r="K745" i="49"/>
  <c r="K744" i="49"/>
  <c r="K743" i="49"/>
  <c r="K742" i="49"/>
  <c r="K741" i="49"/>
  <c r="K740" i="49"/>
  <c r="K736" i="49"/>
  <c r="K735" i="49"/>
  <c r="K734" i="49"/>
  <c r="K733" i="49"/>
  <c r="K732" i="49"/>
  <c r="K731" i="49"/>
  <c r="K730" i="49"/>
  <c r="K729" i="49"/>
  <c r="K728" i="49"/>
  <c r="K727" i="49"/>
  <c r="K726" i="49"/>
  <c r="K725" i="49"/>
  <c r="K724" i="49"/>
  <c r="K723" i="49"/>
  <c r="K722" i="49"/>
  <c r="K721" i="49"/>
  <c r="K720" i="49"/>
  <c r="K719" i="49"/>
  <c r="K718" i="49"/>
  <c r="K717" i="49"/>
  <c r="K716" i="49"/>
  <c r="K715" i="49"/>
  <c r="K714" i="49"/>
  <c r="K713" i="49"/>
  <c r="K712" i="49"/>
  <c r="K711" i="49"/>
  <c r="K710" i="49"/>
  <c r="K709" i="49"/>
  <c r="K708" i="49"/>
  <c r="K707" i="49"/>
  <c r="K706" i="49"/>
  <c r="K705" i="49"/>
  <c r="O682" i="49" l="1"/>
  <c r="M682" i="49"/>
  <c r="K682" i="49"/>
  <c r="I682" i="49"/>
  <c r="G682" i="49"/>
  <c r="O681" i="49"/>
  <c r="M681" i="49"/>
  <c r="K681" i="49"/>
  <c r="I681" i="49"/>
  <c r="G681" i="49"/>
  <c r="O680" i="49"/>
  <c r="M680" i="49"/>
  <c r="K680" i="49"/>
  <c r="I680" i="49"/>
  <c r="G680" i="49"/>
  <c r="O679" i="49"/>
  <c r="M679" i="49"/>
  <c r="K679" i="49"/>
  <c r="I679" i="49"/>
  <c r="G679" i="49"/>
  <c r="O678" i="49"/>
  <c r="M678" i="49"/>
  <c r="K678" i="49"/>
  <c r="I678" i="49"/>
  <c r="G678" i="49"/>
  <c r="O677" i="49"/>
  <c r="M677" i="49"/>
  <c r="K677" i="49"/>
  <c r="I677" i="49"/>
  <c r="G677" i="49"/>
  <c r="O676" i="49"/>
  <c r="M676" i="49"/>
  <c r="K676" i="49"/>
  <c r="I676" i="49"/>
  <c r="G676" i="49"/>
  <c r="O675" i="49"/>
  <c r="M675" i="49"/>
  <c r="K675" i="49"/>
  <c r="I675" i="49"/>
  <c r="G675" i="49"/>
  <c r="O674" i="49"/>
  <c r="M674" i="49"/>
  <c r="K674" i="49"/>
  <c r="I674" i="49"/>
  <c r="G674" i="49"/>
  <c r="O673" i="49"/>
  <c r="M673" i="49"/>
  <c r="K673" i="49"/>
  <c r="I673" i="49"/>
  <c r="G673" i="49"/>
  <c r="O672" i="49"/>
  <c r="M672" i="49"/>
  <c r="K672" i="49"/>
  <c r="I672" i="49"/>
  <c r="G672" i="49"/>
  <c r="O671" i="49"/>
  <c r="M671" i="49"/>
  <c r="K671" i="49"/>
  <c r="I671" i="49"/>
  <c r="G671" i="49"/>
  <c r="O670" i="49"/>
  <c r="M670" i="49"/>
  <c r="K670" i="49"/>
  <c r="I670" i="49"/>
  <c r="G670" i="49"/>
  <c r="O669" i="49"/>
  <c r="M669" i="49"/>
  <c r="K669" i="49"/>
  <c r="I669" i="49"/>
  <c r="G669" i="49"/>
  <c r="O666" i="49"/>
  <c r="M666" i="49"/>
  <c r="K666" i="49"/>
  <c r="I666" i="49"/>
  <c r="G666" i="49"/>
  <c r="O665" i="49"/>
  <c r="M665" i="49"/>
  <c r="K665" i="49"/>
  <c r="I665" i="49"/>
  <c r="G665" i="49"/>
  <c r="O664" i="49"/>
  <c r="M664" i="49"/>
  <c r="K664" i="49"/>
  <c r="I664" i="49"/>
  <c r="G664" i="49"/>
  <c r="O663" i="49"/>
  <c r="M663" i="49"/>
  <c r="K663" i="49"/>
  <c r="I663" i="49"/>
  <c r="G663" i="49"/>
  <c r="O662" i="49"/>
  <c r="M662" i="49"/>
  <c r="K662" i="49"/>
  <c r="I662" i="49"/>
  <c r="G662" i="49"/>
  <c r="O661" i="49"/>
  <c r="M661" i="49"/>
  <c r="K661" i="49"/>
  <c r="I661" i="49"/>
  <c r="G661" i="49"/>
  <c r="O660" i="49"/>
  <c r="M660" i="49"/>
  <c r="K660" i="49"/>
  <c r="I660" i="49"/>
  <c r="G660" i="49"/>
  <c r="O659" i="49"/>
  <c r="M659" i="49"/>
  <c r="K659" i="49"/>
  <c r="I659" i="49"/>
  <c r="G659" i="49"/>
  <c r="O658" i="49"/>
  <c r="M658" i="49"/>
  <c r="K658" i="49"/>
  <c r="I658" i="49"/>
  <c r="G658" i="49"/>
  <c r="O657" i="49"/>
  <c r="M657" i="49"/>
  <c r="K657" i="49"/>
  <c r="I657" i="49"/>
  <c r="G657" i="49"/>
  <c r="O656" i="49"/>
  <c r="M656" i="49"/>
  <c r="K656" i="49"/>
  <c r="I656" i="49"/>
  <c r="G656" i="49"/>
  <c r="O655" i="49"/>
  <c r="M655" i="49"/>
  <c r="K655" i="49"/>
  <c r="I655" i="49"/>
  <c r="G655" i="49"/>
  <c r="O654" i="49"/>
  <c r="M654" i="49"/>
  <c r="K654" i="49"/>
  <c r="I654" i="49"/>
  <c r="G654" i="49"/>
  <c r="O653" i="49"/>
  <c r="M653" i="49"/>
  <c r="K653" i="49"/>
  <c r="I653" i="49"/>
  <c r="G653" i="49"/>
  <c r="O652" i="49"/>
  <c r="M652" i="49"/>
  <c r="K652" i="49"/>
  <c r="I652" i="49"/>
  <c r="G652" i="49"/>
  <c r="O651" i="49"/>
  <c r="M651" i="49"/>
  <c r="K651" i="49"/>
  <c r="I651" i="49"/>
  <c r="G651" i="49"/>
  <c r="O650" i="49"/>
  <c r="M650" i="49"/>
  <c r="K650" i="49"/>
  <c r="I650" i="49"/>
  <c r="G650" i="49"/>
  <c r="O649" i="49"/>
  <c r="M649" i="49"/>
  <c r="K649" i="49"/>
  <c r="I649" i="49"/>
  <c r="G649" i="49"/>
  <c r="O648" i="49"/>
  <c r="M648" i="49"/>
  <c r="K648" i="49"/>
  <c r="I648" i="49"/>
  <c r="G648" i="49"/>
  <c r="O647" i="49"/>
  <c r="M647" i="49"/>
  <c r="K647" i="49"/>
  <c r="I647" i="49"/>
  <c r="G647" i="49"/>
  <c r="O646" i="49"/>
  <c r="M646" i="49"/>
  <c r="K646" i="49"/>
  <c r="I646" i="49"/>
  <c r="G646" i="49"/>
  <c r="O645" i="49"/>
  <c r="M645" i="49"/>
  <c r="K645" i="49"/>
  <c r="I645" i="49"/>
  <c r="G645" i="49"/>
  <c r="O644" i="49"/>
  <c r="M644" i="49"/>
  <c r="K644" i="49"/>
  <c r="I644" i="49"/>
  <c r="G644" i="49"/>
  <c r="O643" i="49"/>
  <c r="M643" i="49"/>
  <c r="K643" i="49"/>
  <c r="I643" i="49"/>
  <c r="G643" i="49"/>
  <c r="O642" i="49"/>
  <c r="M642" i="49"/>
  <c r="K642" i="49"/>
  <c r="I642" i="49"/>
  <c r="G642" i="49"/>
  <c r="O641" i="49"/>
  <c r="M641" i="49"/>
  <c r="K641" i="49"/>
  <c r="I641" i="49"/>
  <c r="G641" i="49"/>
  <c r="O640" i="49"/>
  <c r="M640" i="49"/>
  <c r="K640" i="49"/>
  <c r="I640" i="49"/>
  <c r="G640" i="49"/>
  <c r="O639" i="49"/>
  <c r="M639" i="49"/>
  <c r="K639" i="49"/>
  <c r="I639" i="49"/>
  <c r="G639" i="49"/>
  <c r="O638" i="49"/>
  <c r="M638" i="49"/>
  <c r="K638" i="49"/>
  <c r="I638" i="49"/>
  <c r="G638" i="49"/>
  <c r="O637" i="49"/>
  <c r="M637" i="49"/>
  <c r="K637" i="49"/>
  <c r="I637" i="49"/>
  <c r="G637" i="49"/>
  <c r="O636" i="49"/>
  <c r="M636" i="49"/>
  <c r="K636" i="49"/>
  <c r="I636" i="49"/>
  <c r="G636" i="49"/>
  <c r="O635" i="49"/>
  <c r="M635" i="49"/>
  <c r="K635" i="49"/>
  <c r="I635" i="49"/>
  <c r="G635" i="49"/>
  <c r="O634" i="49"/>
  <c r="M634" i="49"/>
  <c r="K634" i="49"/>
  <c r="I634" i="49"/>
  <c r="G634" i="49"/>
  <c r="O633" i="49"/>
  <c r="M633" i="49"/>
  <c r="K633" i="49"/>
  <c r="I633" i="49"/>
  <c r="G633" i="49"/>
  <c r="O632" i="49"/>
  <c r="M632" i="49"/>
  <c r="K632" i="49"/>
  <c r="I632" i="49"/>
  <c r="G632" i="49"/>
  <c r="O631" i="49"/>
  <c r="M631" i="49"/>
  <c r="K631" i="49"/>
  <c r="I631" i="49"/>
  <c r="G631" i="49"/>
  <c r="O630" i="49"/>
  <c r="M630" i="49"/>
  <c r="K630" i="49"/>
  <c r="I630" i="49"/>
  <c r="G630" i="49"/>
  <c r="O629" i="49"/>
  <c r="M629" i="49"/>
  <c r="K629" i="49"/>
  <c r="I629" i="49"/>
  <c r="G629" i="49"/>
  <c r="O628" i="49"/>
  <c r="M628" i="49"/>
  <c r="K628" i="49"/>
  <c r="I628" i="49"/>
  <c r="G628" i="49"/>
  <c r="O627" i="49"/>
  <c r="M627" i="49"/>
  <c r="K627" i="49"/>
  <c r="I627" i="49"/>
  <c r="G627" i="49"/>
  <c r="O626" i="49"/>
  <c r="M626" i="49"/>
  <c r="K626" i="49"/>
  <c r="I626" i="49"/>
  <c r="G626" i="49"/>
  <c r="G625" i="49"/>
  <c r="O624" i="49"/>
  <c r="M624" i="49"/>
  <c r="K624" i="49"/>
  <c r="I624" i="49"/>
  <c r="G624" i="49"/>
  <c r="O623" i="49"/>
  <c r="M623" i="49"/>
  <c r="K623" i="49"/>
  <c r="I623" i="49"/>
  <c r="G623" i="49"/>
  <c r="O622" i="49"/>
  <c r="M622" i="49"/>
  <c r="K622" i="49"/>
  <c r="I622" i="49"/>
  <c r="G622" i="49"/>
  <c r="O621" i="49"/>
  <c r="M621" i="49"/>
  <c r="K621" i="49"/>
  <c r="I621" i="49"/>
  <c r="G621" i="49"/>
  <c r="O620" i="49"/>
  <c r="M620" i="49"/>
  <c r="K620" i="49"/>
  <c r="I620" i="49"/>
  <c r="G620" i="49"/>
  <c r="O619" i="49"/>
  <c r="M619" i="49"/>
  <c r="K619" i="49"/>
  <c r="I619" i="49"/>
  <c r="G619" i="49"/>
  <c r="O618" i="49"/>
  <c r="M618" i="49"/>
  <c r="K618" i="49"/>
  <c r="I618" i="49"/>
  <c r="G618" i="49"/>
  <c r="O617" i="49"/>
  <c r="M617" i="49"/>
  <c r="K617" i="49"/>
  <c r="I617" i="49"/>
  <c r="G617" i="49"/>
  <c r="O616" i="49"/>
  <c r="M616" i="49"/>
  <c r="K616" i="49"/>
  <c r="I616" i="49"/>
  <c r="G616" i="49"/>
  <c r="O615" i="49"/>
  <c r="M615" i="49"/>
  <c r="K615" i="49"/>
  <c r="I615" i="49"/>
  <c r="G615" i="49"/>
  <c r="O614" i="49"/>
  <c r="M614" i="49"/>
  <c r="K614" i="49"/>
  <c r="I614" i="49"/>
  <c r="G614" i="49"/>
  <c r="O613" i="49"/>
  <c r="M613" i="49"/>
  <c r="K613" i="49"/>
  <c r="I613" i="49"/>
  <c r="G613" i="49"/>
  <c r="O612" i="49"/>
  <c r="M612" i="49"/>
  <c r="K612" i="49"/>
  <c r="I612" i="49"/>
  <c r="G612" i="49"/>
  <c r="O611" i="49"/>
  <c r="M611" i="49"/>
  <c r="K611" i="49"/>
  <c r="I611" i="49"/>
  <c r="G611" i="49"/>
  <c r="O610" i="49"/>
  <c r="M610" i="49"/>
  <c r="K610" i="49"/>
  <c r="I610" i="49"/>
  <c r="G610" i="49"/>
  <c r="O608" i="49"/>
  <c r="M608" i="49"/>
  <c r="K608" i="49"/>
  <c r="I608" i="49"/>
  <c r="G608" i="49"/>
  <c r="O607" i="49"/>
  <c r="M607" i="49"/>
  <c r="K607" i="49"/>
  <c r="I607" i="49"/>
  <c r="G607" i="49"/>
  <c r="O606" i="49"/>
  <c r="M606" i="49"/>
  <c r="K606" i="49"/>
  <c r="I606" i="49"/>
  <c r="G606" i="49"/>
  <c r="O605" i="49"/>
  <c r="M605" i="49"/>
  <c r="K605" i="49"/>
  <c r="I605" i="49"/>
  <c r="G605" i="49"/>
  <c r="O604" i="49"/>
  <c r="M604" i="49"/>
  <c r="K604" i="49"/>
  <c r="I604" i="49"/>
  <c r="G604" i="49"/>
  <c r="O603" i="49"/>
  <c r="M603" i="49"/>
  <c r="K603" i="49"/>
  <c r="I603" i="49"/>
  <c r="G603" i="49"/>
  <c r="O602" i="49"/>
  <c r="M602" i="49"/>
  <c r="K602" i="49"/>
  <c r="I602" i="49"/>
  <c r="G602" i="49"/>
  <c r="O601" i="49"/>
  <c r="M601" i="49"/>
  <c r="K601" i="49"/>
  <c r="I601" i="49"/>
  <c r="G601" i="49"/>
  <c r="O600" i="49"/>
  <c r="M600" i="49"/>
  <c r="K600" i="49"/>
  <c r="I600" i="49"/>
  <c r="G600" i="49"/>
  <c r="O599" i="49"/>
  <c r="M599" i="49"/>
  <c r="K599" i="49"/>
  <c r="I599" i="49"/>
  <c r="G599" i="49"/>
  <c r="O598" i="49"/>
  <c r="M598" i="49"/>
  <c r="K598" i="49"/>
  <c r="I598" i="49"/>
  <c r="G598" i="49"/>
  <c r="O597" i="49"/>
  <c r="M597" i="49"/>
  <c r="K597" i="49"/>
  <c r="I597" i="49"/>
  <c r="G597" i="49"/>
  <c r="O596" i="49"/>
  <c r="M596" i="49"/>
  <c r="K596" i="49"/>
  <c r="I596" i="49"/>
  <c r="G596" i="49"/>
  <c r="O595" i="49"/>
  <c r="M595" i="49"/>
  <c r="K595" i="49"/>
  <c r="I595" i="49"/>
  <c r="G595" i="49"/>
  <c r="O594" i="49"/>
  <c r="M594" i="49"/>
  <c r="K594" i="49"/>
  <c r="I594" i="49"/>
  <c r="G594" i="49"/>
  <c r="O593" i="49"/>
  <c r="M593" i="49"/>
  <c r="K593" i="49"/>
  <c r="I593" i="49"/>
  <c r="G593" i="49"/>
  <c r="O592" i="49"/>
  <c r="M592" i="49"/>
  <c r="K592" i="49"/>
  <c r="I592" i="49"/>
  <c r="G592" i="49"/>
  <c r="O591" i="49"/>
  <c r="M591" i="49"/>
  <c r="K591" i="49"/>
  <c r="I591" i="49"/>
  <c r="G591" i="49"/>
  <c r="O590" i="49"/>
  <c r="M590" i="49"/>
  <c r="K590" i="49"/>
  <c r="I590" i="49"/>
  <c r="G590" i="49"/>
  <c r="O589" i="49"/>
  <c r="M589" i="49"/>
  <c r="K589" i="49"/>
  <c r="I589" i="49"/>
  <c r="G589" i="49"/>
  <c r="O588" i="49"/>
  <c r="M588" i="49"/>
  <c r="K588" i="49"/>
  <c r="I588" i="49"/>
  <c r="G588" i="49"/>
  <c r="O587" i="49"/>
  <c r="M587" i="49"/>
  <c r="K587" i="49"/>
  <c r="I587" i="49"/>
  <c r="G587" i="49"/>
  <c r="O586" i="49"/>
  <c r="M586" i="49"/>
  <c r="K586" i="49"/>
  <c r="I586" i="49"/>
  <c r="G586" i="49"/>
  <c r="O585" i="49"/>
  <c r="M585" i="49"/>
  <c r="K585" i="49"/>
  <c r="I585" i="49"/>
  <c r="G585" i="49"/>
  <c r="O584" i="49"/>
  <c r="M584" i="49"/>
  <c r="K584" i="49"/>
  <c r="I584" i="49"/>
  <c r="G584" i="49"/>
  <c r="O583" i="49"/>
  <c r="M583" i="49"/>
  <c r="K583" i="49"/>
  <c r="I583" i="49"/>
  <c r="G583" i="49"/>
  <c r="O582" i="49"/>
  <c r="M582" i="49"/>
  <c r="K582" i="49"/>
  <c r="I582" i="49"/>
  <c r="G582" i="49"/>
  <c r="O581" i="49"/>
  <c r="M581" i="49"/>
  <c r="K581" i="49"/>
  <c r="I581" i="49"/>
  <c r="G581" i="49"/>
  <c r="O580" i="49"/>
  <c r="M580" i="49"/>
  <c r="K580" i="49"/>
  <c r="I580" i="49"/>
  <c r="G580" i="49"/>
  <c r="O579" i="49"/>
  <c r="O683" i="49" s="1"/>
  <c r="I694" i="49" s="1"/>
  <c r="M579" i="49"/>
  <c r="M683" i="49" s="1"/>
  <c r="K579" i="49"/>
  <c r="K683" i="49" s="1"/>
  <c r="I579" i="49"/>
  <c r="I683" i="49" s="1"/>
  <c r="G579" i="49"/>
  <c r="G683" i="49" s="1"/>
  <c r="F694" i="49" s="1"/>
  <c r="C694" i="49" l="1"/>
  <c r="K565" i="49"/>
  <c r="K564" i="49"/>
  <c r="K563" i="49"/>
  <c r="K562" i="49"/>
  <c r="K561" i="49"/>
  <c r="K560" i="49"/>
  <c r="K559" i="49"/>
  <c r="K558" i="49"/>
  <c r="K557" i="49"/>
  <c r="K556" i="49"/>
  <c r="K566" i="49" s="1"/>
  <c r="K555" i="49"/>
  <c r="K553" i="49"/>
  <c r="K552" i="49"/>
  <c r="K551" i="49"/>
  <c r="K550" i="49"/>
  <c r="K549" i="49"/>
  <c r="K548" i="49"/>
  <c r="K547" i="49"/>
  <c r="K546" i="49"/>
  <c r="K545" i="49"/>
  <c r="K544" i="49"/>
  <c r="K543" i="49"/>
  <c r="K542" i="49"/>
  <c r="K541" i="49"/>
  <c r="K540" i="49"/>
  <c r="K539" i="49"/>
  <c r="K538" i="49"/>
  <c r="K537" i="49"/>
  <c r="K536" i="49"/>
  <c r="K535" i="49"/>
  <c r="K534" i="49"/>
  <c r="K533" i="49"/>
  <c r="K532" i="49"/>
  <c r="K531" i="49"/>
  <c r="K530" i="49"/>
  <c r="K529" i="49"/>
  <c r="K528" i="49"/>
  <c r="K527" i="49"/>
  <c r="K526" i="49"/>
  <c r="K525" i="49"/>
  <c r="K524" i="49"/>
  <c r="K554" i="49" s="1"/>
  <c r="K520" i="49"/>
  <c r="K521" i="49" s="1"/>
  <c r="K517" i="49"/>
  <c r="K516" i="49"/>
  <c r="K515" i="49"/>
  <c r="K514" i="49"/>
  <c r="K513" i="49"/>
  <c r="K512" i="49"/>
  <c r="K511" i="49"/>
  <c r="K510" i="49"/>
  <c r="K509" i="49"/>
  <c r="K508" i="49"/>
  <c r="K507" i="49"/>
  <c r="K506" i="49"/>
  <c r="K505" i="49"/>
  <c r="K504" i="49"/>
  <c r="K503" i="49"/>
  <c r="K502" i="49"/>
  <c r="K501" i="49"/>
  <c r="K500" i="49"/>
  <c r="K518" i="49" s="1"/>
  <c r="K497" i="49"/>
  <c r="K496" i="49"/>
  <c r="K495" i="49"/>
  <c r="K494" i="49"/>
  <c r="K493" i="49"/>
  <c r="K492" i="49"/>
  <c r="K491" i="49"/>
  <c r="K490" i="49"/>
  <c r="K489" i="49"/>
  <c r="K488" i="49"/>
  <c r="K487" i="49"/>
  <c r="K486" i="49"/>
  <c r="K485" i="49"/>
  <c r="K484" i="49"/>
  <c r="K483" i="49"/>
  <c r="K482" i="49"/>
  <c r="K481" i="49"/>
  <c r="K480" i="49"/>
  <c r="K479" i="49"/>
  <c r="K478" i="49"/>
  <c r="K477" i="49"/>
  <c r="K476" i="49"/>
  <c r="K475" i="49"/>
  <c r="K474" i="49"/>
  <c r="K473" i="49"/>
  <c r="K472" i="49"/>
  <c r="K471" i="49"/>
  <c r="K470" i="49"/>
  <c r="K469" i="49"/>
  <c r="K468" i="49"/>
  <c r="K498" i="49" s="1"/>
  <c r="K466" i="49"/>
  <c r="K465" i="49"/>
  <c r="K464" i="49"/>
  <c r="K463" i="49"/>
  <c r="K462" i="49"/>
  <c r="K467" i="49" s="1"/>
  <c r="K460" i="49"/>
  <c r="K459" i="49"/>
  <c r="K458" i="49"/>
  <c r="K457" i="49"/>
  <c r="K456" i="49"/>
  <c r="K455" i="49"/>
  <c r="K454" i="49"/>
  <c r="K453" i="49"/>
  <c r="K452" i="49"/>
  <c r="K451" i="49"/>
  <c r="K450" i="49"/>
  <c r="K449" i="49"/>
  <c r="K448" i="49"/>
  <c r="K447" i="49"/>
  <c r="K446" i="49"/>
  <c r="K445" i="49"/>
  <c r="K444" i="49"/>
  <c r="K443" i="49"/>
  <c r="K442" i="49"/>
  <c r="K441" i="49"/>
  <c r="K440" i="49"/>
  <c r="K439" i="49"/>
  <c r="K438" i="49"/>
  <c r="K437" i="49"/>
  <c r="K436" i="49"/>
  <c r="K435" i="49"/>
  <c r="K434" i="49"/>
  <c r="K433" i="49"/>
  <c r="K432" i="49"/>
  <c r="K431" i="49"/>
  <c r="K430" i="49"/>
  <c r="K429" i="49"/>
  <c r="K428" i="49"/>
  <c r="K427" i="49"/>
  <c r="K426" i="49"/>
  <c r="K425" i="49"/>
  <c r="K424" i="49"/>
  <c r="K423" i="49"/>
  <c r="K422" i="49"/>
  <c r="K421" i="49"/>
  <c r="K420" i="49"/>
  <c r="K419" i="49"/>
  <c r="K418" i="49"/>
  <c r="K417" i="49"/>
  <c r="K416" i="49"/>
  <c r="K415" i="49"/>
  <c r="K414" i="49"/>
  <c r="K413" i="49"/>
  <c r="K412" i="49"/>
  <c r="K411" i="49"/>
  <c r="K410" i="49"/>
  <c r="K409" i="49"/>
  <c r="K408" i="49"/>
  <c r="K407" i="49"/>
  <c r="K406" i="49"/>
  <c r="K405" i="49"/>
  <c r="K404" i="49"/>
  <c r="K403" i="49"/>
  <c r="K402" i="49"/>
  <c r="K401" i="49"/>
  <c r="K400" i="49"/>
  <c r="K399" i="49"/>
  <c r="K398" i="49"/>
  <c r="K397" i="49"/>
  <c r="K396" i="49"/>
  <c r="K395" i="49"/>
  <c r="K394" i="49"/>
  <c r="K393" i="49"/>
  <c r="K392" i="49"/>
  <c r="K391" i="49"/>
  <c r="K390" i="49"/>
  <c r="K389" i="49"/>
  <c r="K388" i="49"/>
  <c r="K387" i="49"/>
  <c r="K386" i="49"/>
  <c r="K385" i="49"/>
  <c r="K384" i="49"/>
  <c r="K383" i="49"/>
  <c r="K382" i="49"/>
  <c r="K381" i="49"/>
  <c r="K380" i="49"/>
  <c r="K379" i="49"/>
  <c r="K378" i="49"/>
  <c r="K377" i="49"/>
  <c r="K376" i="49"/>
  <c r="K375" i="49"/>
  <c r="K374" i="49"/>
  <c r="K373" i="49"/>
  <c r="K372" i="49"/>
  <c r="K371" i="49"/>
  <c r="K370" i="49"/>
  <c r="K369" i="49"/>
  <c r="K368" i="49"/>
  <c r="K367" i="49"/>
  <c r="K366" i="49"/>
  <c r="K365" i="49"/>
  <c r="K364" i="49"/>
  <c r="K363" i="49"/>
  <c r="K362" i="49"/>
  <c r="K361" i="49"/>
  <c r="K461" i="49" s="1"/>
  <c r="K346" i="49" l="1"/>
  <c r="K345" i="49"/>
  <c r="K340" i="49"/>
  <c r="K339" i="49"/>
  <c r="K341" i="49" s="1"/>
  <c r="K334" i="49"/>
  <c r="K333" i="49"/>
  <c r="K332" i="49"/>
  <c r="K331" i="49"/>
  <c r="K330" i="49"/>
  <c r="K329" i="49"/>
  <c r="K328" i="49"/>
  <c r="K327" i="49"/>
  <c r="K326" i="49"/>
  <c r="K325" i="49"/>
  <c r="K324" i="49"/>
  <c r="K323" i="49"/>
  <c r="E322" i="49"/>
  <c r="K322" i="49" s="1"/>
  <c r="K321" i="49"/>
  <c r="K320" i="49"/>
  <c r="K319" i="49"/>
  <c r="K318" i="49"/>
  <c r="K317" i="49"/>
  <c r="K316" i="49"/>
  <c r="K315" i="49"/>
  <c r="K335" i="49" l="1"/>
  <c r="G297" i="49"/>
  <c r="P297" i="49" s="1"/>
  <c r="P296" i="49"/>
  <c r="G296" i="49"/>
  <c r="G295" i="49"/>
  <c r="P295" i="49" s="1"/>
  <c r="P294" i="49"/>
  <c r="G294" i="49"/>
  <c r="G293" i="49"/>
  <c r="P293" i="49" s="1"/>
  <c r="P292" i="49"/>
  <c r="G292" i="49"/>
  <c r="G291" i="49"/>
  <c r="P291" i="49" s="1"/>
  <c r="P290" i="49"/>
  <c r="G290" i="49"/>
  <c r="G289" i="49"/>
  <c r="P289" i="49" s="1"/>
  <c r="P288" i="49"/>
  <c r="G288" i="49"/>
  <c r="O287" i="49"/>
  <c r="G287" i="49"/>
  <c r="P287" i="49" s="1"/>
  <c r="O286" i="49"/>
  <c r="G286" i="49"/>
  <c r="P286" i="49" s="1"/>
  <c r="P285" i="49"/>
  <c r="O285" i="49"/>
  <c r="G285" i="49"/>
  <c r="O284" i="49"/>
  <c r="P284" i="49" s="1"/>
  <c r="G284" i="49"/>
  <c r="O283" i="49"/>
  <c r="G283" i="49"/>
  <c r="P283" i="49" s="1"/>
  <c r="O282" i="49"/>
  <c r="G282" i="49"/>
  <c r="P282" i="49" s="1"/>
  <c r="P281" i="49"/>
  <c r="O281" i="49"/>
  <c r="G281" i="49"/>
  <c r="O280" i="49"/>
  <c r="P280" i="49" s="1"/>
  <c r="G280" i="49"/>
  <c r="O279" i="49"/>
  <c r="G279" i="49"/>
  <c r="P279" i="49" s="1"/>
  <c r="O278" i="49"/>
  <c r="G278" i="49"/>
  <c r="P278" i="49" s="1"/>
  <c r="P277" i="49"/>
  <c r="O277" i="49"/>
  <c r="G277" i="49"/>
  <c r="O276" i="49"/>
  <c r="P276" i="49" s="1"/>
  <c r="G276" i="49"/>
  <c r="O275" i="49"/>
  <c r="G275" i="49"/>
  <c r="P275" i="49" s="1"/>
  <c r="O274" i="49"/>
  <c r="G274" i="49"/>
  <c r="P274" i="49" s="1"/>
  <c r="P273" i="49"/>
  <c r="O273" i="49"/>
  <c r="G273" i="49"/>
  <c r="O272" i="49"/>
  <c r="P272" i="49" s="1"/>
  <c r="G272" i="49"/>
  <c r="O271" i="49"/>
  <c r="G271" i="49"/>
  <c r="P271" i="49" s="1"/>
  <c r="O270" i="49"/>
  <c r="G270" i="49"/>
  <c r="P270" i="49" s="1"/>
  <c r="P269" i="49"/>
  <c r="O269" i="49"/>
  <c r="G269" i="49"/>
  <c r="O268" i="49"/>
  <c r="P268" i="49" s="1"/>
  <c r="G268" i="49"/>
  <c r="O267" i="49"/>
  <c r="G267" i="49"/>
  <c r="P267" i="49" s="1"/>
  <c r="O266" i="49"/>
  <c r="G266" i="49"/>
  <c r="P266" i="49" s="1"/>
  <c r="P265" i="49"/>
  <c r="O265" i="49"/>
  <c r="G265" i="49"/>
  <c r="O264" i="49"/>
  <c r="P264" i="49" s="1"/>
  <c r="G264" i="49"/>
  <c r="O263" i="49"/>
  <c r="G263" i="49"/>
  <c r="P263" i="49" s="1"/>
  <c r="O262" i="49"/>
  <c r="G262" i="49"/>
  <c r="P262" i="49" s="1"/>
  <c r="P261" i="49"/>
  <c r="O261" i="49"/>
  <c r="G261" i="49"/>
  <c r="O260" i="49"/>
  <c r="P260" i="49" s="1"/>
  <c r="G260" i="49"/>
  <c r="O259" i="49"/>
  <c r="G259" i="49"/>
  <c r="P259" i="49" s="1"/>
  <c r="O258" i="49"/>
  <c r="G258" i="49"/>
  <c r="P258" i="49" s="1"/>
  <c r="P257" i="49"/>
  <c r="O257" i="49"/>
  <c r="G257" i="49"/>
  <c r="O256" i="49"/>
  <c r="P256" i="49" s="1"/>
  <c r="G256" i="49"/>
  <c r="O255" i="49"/>
  <c r="M255" i="49"/>
  <c r="K255" i="49"/>
  <c r="G255" i="49"/>
  <c r="P255" i="49" s="1"/>
  <c r="O254" i="49"/>
  <c r="M254" i="49"/>
  <c r="K254" i="49"/>
  <c r="I254" i="49"/>
  <c r="G254" i="49"/>
  <c r="P254" i="49" s="1"/>
  <c r="O253" i="49"/>
  <c r="M253" i="49"/>
  <c r="K253" i="49"/>
  <c r="I253" i="49"/>
  <c r="G253" i="49"/>
  <c r="P253" i="49" s="1"/>
  <c r="O252" i="49"/>
  <c r="M252" i="49"/>
  <c r="K252" i="49"/>
  <c r="I252" i="49"/>
  <c r="G252" i="49"/>
  <c r="P252" i="49" s="1"/>
  <c r="O251" i="49"/>
  <c r="M251" i="49"/>
  <c r="K251" i="49"/>
  <c r="I251" i="49"/>
  <c r="G251" i="49"/>
  <c r="P251" i="49" s="1"/>
  <c r="O250" i="49"/>
  <c r="M250" i="49"/>
  <c r="K250" i="49"/>
  <c r="I250" i="49"/>
  <c r="G250" i="49"/>
  <c r="P250" i="49" s="1"/>
  <c r="O249" i="49"/>
  <c r="M249" i="49"/>
  <c r="K249" i="49"/>
  <c r="I249" i="49"/>
  <c r="G249" i="49"/>
  <c r="P249" i="49" s="1"/>
  <c r="O248" i="49"/>
  <c r="M248" i="49"/>
  <c r="K248" i="49"/>
  <c r="I248" i="49"/>
  <c r="G248" i="49"/>
  <c r="P248" i="49" s="1"/>
  <c r="O247" i="49"/>
  <c r="M247" i="49"/>
  <c r="K247" i="49"/>
  <c r="I247" i="49"/>
  <c r="G247" i="49"/>
  <c r="P247" i="49" s="1"/>
  <c r="O246" i="49"/>
  <c r="M246" i="49"/>
  <c r="K246" i="49"/>
  <c r="I246" i="49"/>
  <c r="G246" i="49"/>
  <c r="P246" i="49" s="1"/>
  <c r="O245" i="49"/>
  <c r="M245" i="49"/>
  <c r="K245" i="49"/>
  <c r="I245" i="49"/>
  <c r="G245" i="49"/>
  <c r="P245" i="49" s="1"/>
  <c r="O244" i="49"/>
  <c r="M244" i="49"/>
  <c r="K244" i="49"/>
  <c r="I244" i="49"/>
  <c r="G244" i="49"/>
  <c r="P244" i="49" s="1"/>
  <c r="O243" i="49"/>
  <c r="K243" i="49"/>
  <c r="I243" i="49"/>
  <c r="G243" i="49"/>
  <c r="P243" i="49" s="1"/>
  <c r="O242" i="49"/>
  <c r="M242" i="49"/>
  <c r="K242" i="49"/>
  <c r="I242" i="49"/>
  <c r="G242" i="49"/>
  <c r="P242" i="49" s="1"/>
  <c r="O241" i="49"/>
  <c r="M241" i="49"/>
  <c r="K241" i="49"/>
  <c r="I241" i="49"/>
  <c r="P241" i="49" s="1"/>
  <c r="G241" i="49"/>
  <c r="O240" i="49"/>
  <c r="M240" i="49"/>
  <c r="K240" i="49"/>
  <c r="I240" i="49"/>
  <c r="G240" i="49"/>
  <c r="P240" i="49" s="1"/>
  <c r="P239" i="49"/>
  <c r="O239" i="49"/>
  <c r="G239" i="49"/>
  <c r="O238" i="49"/>
  <c r="M238" i="49"/>
  <c r="K238" i="49"/>
  <c r="I238" i="49"/>
  <c r="G238" i="49"/>
  <c r="P238" i="49" s="1"/>
  <c r="O237" i="49"/>
  <c r="K237" i="49"/>
  <c r="I237" i="49"/>
  <c r="G237" i="49"/>
  <c r="P237" i="49" s="1"/>
  <c r="O236" i="49"/>
  <c r="M236" i="49"/>
  <c r="K236" i="49"/>
  <c r="I236" i="49"/>
  <c r="G236" i="49"/>
  <c r="P236" i="49" s="1"/>
  <c r="O235" i="49"/>
  <c r="M235" i="49"/>
  <c r="K235" i="49"/>
  <c r="I235" i="49"/>
  <c r="P235" i="49" s="1"/>
  <c r="G235" i="49"/>
  <c r="O234" i="49"/>
  <c r="M234" i="49"/>
  <c r="K234" i="49"/>
  <c r="I234" i="49"/>
  <c r="G234" i="49"/>
  <c r="P234" i="49" s="1"/>
  <c r="P233" i="49"/>
  <c r="O233" i="49"/>
  <c r="M233" i="49"/>
  <c r="K233" i="49"/>
  <c r="K299" i="49" s="1"/>
  <c r="I233" i="49"/>
  <c r="G233" i="49"/>
  <c r="O232" i="49"/>
  <c r="M232" i="49"/>
  <c r="K232" i="49"/>
  <c r="I232" i="49"/>
  <c r="G232" i="49"/>
  <c r="P232" i="49" s="1"/>
  <c r="O231" i="49"/>
  <c r="M231" i="49"/>
  <c r="K231" i="49"/>
  <c r="I231" i="49"/>
  <c r="P231" i="49" s="1"/>
  <c r="G231" i="49"/>
  <c r="O230" i="49"/>
  <c r="M230" i="49"/>
  <c r="K230" i="49"/>
  <c r="I230" i="49"/>
  <c r="G230" i="49"/>
  <c r="P230" i="49" s="1"/>
  <c r="O229" i="49"/>
  <c r="M229" i="49"/>
  <c r="K229" i="49"/>
  <c r="I229" i="49"/>
  <c r="P229" i="49" s="1"/>
  <c r="G229" i="49"/>
  <c r="O228" i="49"/>
  <c r="M228" i="49"/>
  <c r="K228" i="49"/>
  <c r="I228" i="49"/>
  <c r="G228" i="49"/>
  <c r="P228" i="49" s="1"/>
  <c r="O227" i="49"/>
  <c r="M227" i="49"/>
  <c r="K227" i="49"/>
  <c r="I227" i="49"/>
  <c r="P227" i="49" s="1"/>
  <c r="G227" i="49"/>
  <c r="O226" i="49"/>
  <c r="M226" i="49"/>
  <c r="K226" i="49"/>
  <c r="I226" i="49"/>
  <c r="G226" i="49"/>
  <c r="P226" i="49" s="1"/>
  <c r="O225" i="49"/>
  <c r="M225" i="49"/>
  <c r="K225" i="49"/>
  <c r="I225" i="49"/>
  <c r="P225" i="49" s="1"/>
  <c r="G225" i="49"/>
  <c r="O224" i="49"/>
  <c r="M224" i="49"/>
  <c r="K224" i="49"/>
  <c r="I224" i="49"/>
  <c r="G224" i="49"/>
  <c r="P224" i="49" s="1"/>
  <c r="O223" i="49"/>
  <c r="M223" i="49"/>
  <c r="K223" i="49"/>
  <c r="I223" i="49"/>
  <c r="P223" i="49" s="1"/>
  <c r="G223" i="49"/>
  <c r="O222" i="49"/>
  <c r="M222" i="49"/>
  <c r="K222" i="49"/>
  <c r="I222" i="49"/>
  <c r="G222" i="49"/>
  <c r="P222" i="49" s="1"/>
  <c r="O221" i="49"/>
  <c r="M221" i="49"/>
  <c r="M299" i="49" s="1"/>
  <c r="K221" i="49"/>
  <c r="I221" i="49"/>
  <c r="P221" i="49" s="1"/>
  <c r="G221" i="49"/>
  <c r="O220" i="49"/>
  <c r="M220" i="49"/>
  <c r="K220" i="49"/>
  <c r="I220" i="49"/>
  <c r="G220" i="49"/>
  <c r="P220" i="49" s="1"/>
  <c r="O219" i="49"/>
  <c r="M219" i="49"/>
  <c r="K219" i="49"/>
  <c r="I219" i="49"/>
  <c r="P219" i="49" s="1"/>
  <c r="G219" i="49"/>
  <c r="O218" i="49"/>
  <c r="M218" i="49"/>
  <c r="K218" i="49"/>
  <c r="I218" i="49"/>
  <c r="G218" i="49"/>
  <c r="P218" i="49" s="1"/>
  <c r="O217" i="49"/>
  <c r="M217" i="49"/>
  <c r="K217" i="49"/>
  <c r="I217" i="49"/>
  <c r="P217" i="49" s="1"/>
  <c r="G217" i="49"/>
  <c r="O216" i="49"/>
  <c r="M216" i="49"/>
  <c r="K216" i="49"/>
  <c r="I216" i="49"/>
  <c r="G216" i="49"/>
  <c r="P216" i="49" s="1"/>
  <c r="O215" i="49"/>
  <c r="M215" i="49"/>
  <c r="K215" i="49"/>
  <c r="I215" i="49"/>
  <c r="P215" i="49" s="1"/>
  <c r="G215" i="49"/>
  <c r="O214" i="49"/>
  <c r="M214" i="49"/>
  <c r="K214" i="49"/>
  <c r="I214" i="49"/>
  <c r="G214" i="49"/>
  <c r="P214" i="49" s="1"/>
  <c r="O213" i="49"/>
  <c r="M213" i="49"/>
  <c r="K213" i="49"/>
  <c r="I213" i="49"/>
  <c r="P213" i="49" s="1"/>
  <c r="G213" i="49"/>
  <c r="O212" i="49"/>
  <c r="O299" i="49" s="1"/>
  <c r="M212" i="49"/>
  <c r="K212" i="49"/>
  <c r="I212" i="49"/>
  <c r="I299" i="49" s="1"/>
  <c r="G212" i="49"/>
  <c r="G299" i="49" s="1"/>
  <c r="G301" i="49" s="1"/>
  <c r="P212" i="49" l="1"/>
  <c r="P299" i="49" s="1"/>
  <c r="K198" i="49" l="1"/>
  <c r="K197" i="49"/>
  <c r="K196" i="49"/>
  <c r="K195" i="49"/>
  <c r="K194" i="49"/>
  <c r="K193" i="49"/>
  <c r="K192" i="49"/>
  <c r="K191" i="49"/>
  <c r="K190" i="49"/>
  <c r="K189" i="49"/>
  <c r="K188" i="49"/>
  <c r="K187" i="49"/>
  <c r="K186" i="49"/>
  <c r="K185" i="49"/>
  <c r="K184" i="49"/>
  <c r="K183" i="49"/>
  <c r="K182" i="49"/>
  <c r="K181" i="49"/>
  <c r="K180" i="49"/>
  <c r="K179" i="49"/>
  <c r="K199" i="49" s="1"/>
  <c r="K172" i="49"/>
  <c r="K171" i="49"/>
  <c r="K170" i="49"/>
  <c r="K169" i="49"/>
  <c r="K168" i="49"/>
  <c r="K167" i="49"/>
  <c r="K166" i="49"/>
  <c r="K165" i="49"/>
  <c r="K164" i="49"/>
  <c r="K163" i="49"/>
  <c r="K162" i="49"/>
  <c r="K161" i="49"/>
  <c r="K160" i="49"/>
  <c r="K159" i="49"/>
  <c r="K158" i="49"/>
  <c r="K157" i="49"/>
  <c r="K156" i="49"/>
  <c r="K155" i="49"/>
  <c r="K154" i="49"/>
  <c r="K153" i="49"/>
  <c r="K152" i="49"/>
  <c r="K151" i="49"/>
  <c r="K150" i="49"/>
  <c r="K173" i="49" s="1"/>
  <c r="I130" i="49" l="1"/>
  <c r="K130" i="49"/>
  <c r="M130" i="49"/>
  <c r="O130" i="49"/>
  <c r="G130" i="49"/>
  <c r="D135" i="49" l="1"/>
  <c r="I47" i="49"/>
  <c r="I48" i="49"/>
  <c r="K47" i="49"/>
  <c r="M47" i="49"/>
  <c r="O47" i="49"/>
  <c r="K48" i="49"/>
  <c r="M48" i="49"/>
  <c r="O48" i="49"/>
  <c r="P48" i="49"/>
  <c r="K49" i="49"/>
  <c r="M49" i="49"/>
  <c r="O49" i="49"/>
  <c r="G47" i="49"/>
  <c r="G48" i="49"/>
  <c r="G49" i="49"/>
  <c r="P47" i="49" l="1"/>
  <c r="O46" i="49"/>
  <c r="M46" i="49"/>
  <c r="K46" i="49"/>
  <c r="I46" i="49"/>
  <c r="G46" i="49"/>
  <c r="H135" i="49"/>
  <c r="O129" i="49"/>
  <c r="M129" i="49"/>
  <c r="K129" i="49"/>
  <c r="I129" i="49"/>
  <c r="G129" i="49"/>
  <c r="O128" i="49"/>
  <c r="M128" i="49"/>
  <c r="K128" i="49"/>
  <c r="I128" i="49"/>
  <c r="G128" i="49"/>
  <c r="O127" i="49"/>
  <c r="M127" i="49"/>
  <c r="K127" i="49"/>
  <c r="I127" i="49"/>
  <c r="G127" i="49"/>
  <c r="O126" i="49"/>
  <c r="M126" i="49"/>
  <c r="K126" i="49"/>
  <c r="I126" i="49"/>
  <c r="G126" i="49"/>
  <c r="O125" i="49"/>
  <c r="M125" i="49"/>
  <c r="K125" i="49"/>
  <c r="I125" i="49"/>
  <c r="G125" i="49"/>
  <c r="O124" i="49"/>
  <c r="M124" i="49"/>
  <c r="K124" i="49"/>
  <c r="I124" i="49"/>
  <c r="G124" i="49"/>
  <c r="O123" i="49"/>
  <c r="M123" i="49"/>
  <c r="K123" i="49"/>
  <c r="I123" i="49"/>
  <c r="G123" i="49"/>
  <c r="O122" i="49"/>
  <c r="M122" i="49"/>
  <c r="K122" i="49"/>
  <c r="I122" i="49"/>
  <c r="G122" i="49"/>
  <c r="O121" i="49"/>
  <c r="M121" i="49"/>
  <c r="K121" i="49"/>
  <c r="I121" i="49"/>
  <c r="G121" i="49"/>
  <c r="O120" i="49"/>
  <c r="M120" i="49"/>
  <c r="K120" i="49"/>
  <c r="I120" i="49"/>
  <c r="G120" i="49"/>
  <c r="O119" i="49"/>
  <c r="M119" i="49"/>
  <c r="K119" i="49"/>
  <c r="I119" i="49"/>
  <c r="G119" i="49"/>
  <c r="O118" i="49"/>
  <c r="M118" i="49"/>
  <c r="K118" i="49"/>
  <c r="I118" i="49"/>
  <c r="G118" i="49"/>
  <c r="O117" i="49"/>
  <c r="M117" i="49"/>
  <c r="K117" i="49"/>
  <c r="I117" i="49"/>
  <c r="G117" i="49"/>
  <c r="O116" i="49"/>
  <c r="M116" i="49"/>
  <c r="K116" i="49"/>
  <c r="I116" i="49"/>
  <c r="G116" i="49"/>
  <c r="O115" i="49"/>
  <c r="M115" i="49"/>
  <c r="K115" i="49"/>
  <c r="I115" i="49"/>
  <c r="G115" i="49"/>
  <c r="O114" i="49"/>
  <c r="M114" i="49"/>
  <c r="K114" i="49"/>
  <c r="I114" i="49"/>
  <c r="G114" i="49"/>
  <c r="O113" i="49"/>
  <c r="M113" i="49"/>
  <c r="K113" i="49"/>
  <c r="I113" i="49"/>
  <c r="G113" i="49"/>
  <c r="O112" i="49"/>
  <c r="M112" i="49"/>
  <c r="K112" i="49"/>
  <c r="I112" i="49"/>
  <c r="G112" i="49"/>
  <c r="O111" i="49"/>
  <c r="M111" i="49"/>
  <c r="K111" i="49"/>
  <c r="I111" i="49"/>
  <c r="G111" i="49"/>
  <c r="O110" i="49"/>
  <c r="M110" i="49"/>
  <c r="K110" i="49"/>
  <c r="I110" i="49"/>
  <c r="G110" i="49"/>
  <c r="O109" i="49"/>
  <c r="M109" i="49"/>
  <c r="K109" i="49"/>
  <c r="I109" i="49"/>
  <c r="G109" i="49"/>
  <c r="O108" i="49"/>
  <c r="M108" i="49"/>
  <c r="K108" i="49"/>
  <c r="I108" i="49"/>
  <c r="G108" i="49"/>
  <c r="O107" i="49"/>
  <c r="M107" i="49"/>
  <c r="K107" i="49"/>
  <c r="I107" i="49"/>
  <c r="G107" i="49"/>
  <c r="O106" i="49"/>
  <c r="M106" i="49"/>
  <c r="K106" i="49"/>
  <c r="I106" i="49"/>
  <c r="G106" i="49"/>
  <c r="O105" i="49"/>
  <c r="M105" i="49"/>
  <c r="K105" i="49"/>
  <c r="I105" i="49"/>
  <c r="G105" i="49"/>
  <c r="O104" i="49"/>
  <c r="M104" i="49"/>
  <c r="K104" i="49"/>
  <c r="I104" i="49"/>
  <c r="G104" i="49"/>
  <c r="O103" i="49"/>
  <c r="M103" i="49"/>
  <c r="K103" i="49"/>
  <c r="I103" i="49"/>
  <c r="G103" i="49"/>
  <c r="O102" i="49"/>
  <c r="M102" i="49"/>
  <c r="K102" i="49"/>
  <c r="I102" i="49"/>
  <c r="G102" i="49"/>
  <c r="O101" i="49"/>
  <c r="M101" i="49"/>
  <c r="K101" i="49"/>
  <c r="I101" i="49"/>
  <c r="G101" i="49"/>
  <c r="O100" i="49"/>
  <c r="M100" i="49"/>
  <c r="K100" i="49"/>
  <c r="I100" i="49"/>
  <c r="G100" i="49"/>
  <c r="O99" i="49"/>
  <c r="M99" i="49"/>
  <c r="K99" i="49"/>
  <c r="I99" i="49"/>
  <c r="G99" i="49"/>
  <c r="O98" i="49"/>
  <c r="M98" i="49"/>
  <c r="K98" i="49"/>
  <c r="I98" i="49"/>
  <c r="G98" i="49"/>
  <c r="O97" i="49"/>
  <c r="M97" i="49"/>
  <c r="K97" i="49"/>
  <c r="I97" i="49"/>
  <c r="G97" i="49"/>
  <c r="O96" i="49"/>
  <c r="M96" i="49"/>
  <c r="K96" i="49"/>
  <c r="I96" i="49"/>
  <c r="G96" i="49"/>
  <c r="O95" i="49"/>
  <c r="M95" i="49"/>
  <c r="K95" i="49"/>
  <c r="I95" i="49"/>
  <c r="G95" i="49"/>
  <c r="O94" i="49"/>
  <c r="M94" i="49"/>
  <c r="K94" i="49"/>
  <c r="I94" i="49"/>
  <c r="G94" i="49"/>
  <c r="O93" i="49"/>
  <c r="M93" i="49"/>
  <c r="K93" i="49"/>
  <c r="I93" i="49"/>
  <c r="G93" i="49"/>
  <c r="O92" i="49"/>
  <c r="M92" i="49"/>
  <c r="K92" i="49"/>
  <c r="I92" i="49"/>
  <c r="G92" i="49"/>
  <c r="O91" i="49"/>
  <c r="M91" i="49"/>
  <c r="K91" i="49"/>
  <c r="P91" i="49" s="1"/>
  <c r="I91" i="49"/>
  <c r="G91" i="49"/>
  <c r="O90" i="49"/>
  <c r="M90" i="49"/>
  <c r="K90" i="49"/>
  <c r="I90" i="49"/>
  <c r="G90" i="49"/>
  <c r="O89" i="49"/>
  <c r="M89" i="49"/>
  <c r="K89" i="49"/>
  <c r="I89" i="49"/>
  <c r="G89" i="49"/>
  <c r="O88" i="49"/>
  <c r="M88" i="49"/>
  <c r="K88" i="49"/>
  <c r="I88" i="49"/>
  <c r="G88" i="49"/>
  <c r="O87" i="49"/>
  <c r="M87" i="49"/>
  <c r="K87" i="49"/>
  <c r="P87" i="49" s="1"/>
  <c r="I87" i="49"/>
  <c r="G87" i="49"/>
  <c r="O86" i="49"/>
  <c r="M86" i="49"/>
  <c r="K86" i="49"/>
  <c r="I86" i="49"/>
  <c r="G86" i="49"/>
  <c r="O85" i="49"/>
  <c r="M85" i="49"/>
  <c r="K85" i="49"/>
  <c r="I85" i="49"/>
  <c r="G85" i="49"/>
  <c r="O84" i="49"/>
  <c r="M84" i="49"/>
  <c r="K84" i="49"/>
  <c r="I84" i="49"/>
  <c r="G84" i="49"/>
  <c r="O83" i="49"/>
  <c r="M83" i="49"/>
  <c r="K83" i="49"/>
  <c r="P83" i="49" s="1"/>
  <c r="I83" i="49"/>
  <c r="G83" i="49"/>
  <c r="O82" i="49"/>
  <c r="M82" i="49"/>
  <c r="K82" i="49"/>
  <c r="I82" i="49"/>
  <c r="G82" i="49"/>
  <c r="O81" i="49"/>
  <c r="M81" i="49"/>
  <c r="K81" i="49"/>
  <c r="I81" i="49"/>
  <c r="G81" i="49"/>
  <c r="O80" i="49"/>
  <c r="M80" i="49"/>
  <c r="K80" i="49"/>
  <c r="I80" i="49"/>
  <c r="G80" i="49"/>
  <c r="O79" i="49"/>
  <c r="M79" i="49"/>
  <c r="K79" i="49"/>
  <c r="P79" i="49" s="1"/>
  <c r="I79" i="49"/>
  <c r="G79" i="49"/>
  <c r="O78" i="49"/>
  <c r="M78" i="49"/>
  <c r="K78" i="49"/>
  <c r="I78" i="49"/>
  <c r="G78" i="49"/>
  <c r="O77" i="49"/>
  <c r="M77" i="49"/>
  <c r="K77" i="49"/>
  <c r="I77" i="49"/>
  <c r="G77" i="49"/>
  <c r="O76" i="49"/>
  <c r="M76" i="49"/>
  <c r="K76" i="49"/>
  <c r="I76" i="49"/>
  <c r="G76" i="49"/>
  <c r="O75" i="49"/>
  <c r="M75" i="49"/>
  <c r="K75" i="49"/>
  <c r="P75" i="49" s="1"/>
  <c r="I75" i="49"/>
  <c r="G75" i="49"/>
  <c r="O74" i="49"/>
  <c r="M74" i="49"/>
  <c r="K74" i="49"/>
  <c r="I74" i="49"/>
  <c r="G74" i="49"/>
  <c r="O73" i="49"/>
  <c r="M73" i="49"/>
  <c r="K73" i="49"/>
  <c r="I73" i="49"/>
  <c r="G73" i="49"/>
  <c r="O72" i="49"/>
  <c r="M72" i="49"/>
  <c r="K72" i="49"/>
  <c r="I72" i="49"/>
  <c r="G72" i="49"/>
  <c r="O71" i="49"/>
  <c r="M71" i="49"/>
  <c r="K71" i="49"/>
  <c r="P71" i="49" s="1"/>
  <c r="I71" i="49"/>
  <c r="G71" i="49"/>
  <c r="O70" i="49"/>
  <c r="M70" i="49"/>
  <c r="K70" i="49"/>
  <c r="I70" i="49"/>
  <c r="G70" i="49"/>
  <c r="O69" i="49"/>
  <c r="M69" i="49"/>
  <c r="K69" i="49"/>
  <c r="I69" i="49"/>
  <c r="G69" i="49"/>
  <c r="O68" i="49"/>
  <c r="M68" i="49"/>
  <c r="K68" i="49"/>
  <c r="I68" i="49"/>
  <c r="G68" i="49"/>
  <c r="O67" i="49"/>
  <c r="M67" i="49"/>
  <c r="K67" i="49"/>
  <c r="P67" i="49" s="1"/>
  <c r="I67" i="49"/>
  <c r="G67" i="49"/>
  <c r="O66" i="49"/>
  <c r="M66" i="49"/>
  <c r="K66" i="49"/>
  <c r="I66" i="49"/>
  <c r="G66" i="49"/>
  <c r="O65" i="49"/>
  <c r="M65" i="49"/>
  <c r="K65" i="49"/>
  <c r="I65" i="49"/>
  <c r="G65" i="49"/>
  <c r="O64" i="49"/>
  <c r="M64" i="49"/>
  <c r="K64" i="49"/>
  <c r="I64" i="49"/>
  <c r="G64" i="49"/>
  <c r="O63" i="49"/>
  <c r="M63" i="49"/>
  <c r="K63" i="49"/>
  <c r="P63" i="49" s="1"/>
  <c r="I63" i="49"/>
  <c r="G63" i="49"/>
  <c r="O62" i="49"/>
  <c r="M62" i="49"/>
  <c r="K62" i="49"/>
  <c r="I62" i="49"/>
  <c r="G62" i="49"/>
  <c r="O61" i="49"/>
  <c r="M61" i="49"/>
  <c r="K61" i="49"/>
  <c r="I61" i="49"/>
  <c r="G61" i="49"/>
  <c r="O60" i="49"/>
  <c r="M60" i="49"/>
  <c r="K60" i="49"/>
  <c r="I60" i="49"/>
  <c r="G60" i="49"/>
  <c r="O59" i="49"/>
  <c r="M59" i="49"/>
  <c r="K59" i="49"/>
  <c r="P59" i="49" s="1"/>
  <c r="I59" i="49"/>
  <c r="G59" i="49"/>
  <c r="O58" i="49"/>
  <c r="M58" i="49"/>
  <c r="K58" i="49"/>
  <c r="I58" i="49"/>
  <c r="G58" i="49"/>
  <c r="O57" i="49"/>
  <c r="M57" i="49"/>
  <c r="K57" i="49"/>
  <c r="I57" i="49"/>
  <c r="G57" i="49"/>
  <c r="O56" i="49"/>
  <c r="M56" i="49"/>
  <c r="K56" i="49"/>
  <c r="I56" i="49"/>
  <c r="G56" i="49"/>
  <c r="O55" i="49"/>
  <c r="M55" i="49"/>
  <c r="K55" i="49"/>
  <c r="P55" i="49" s="1"/>
  <c r="I55" i="49"/>
  <c r="G55" i="49"/>
  <c r="O54" i="49"/>
  <c r="M54" i="49"/>
  <c r="K54" i="49"/>
  <c r="I54" i="49"/>
  <c r="G54" i="49"/>
  <c r="O53" i="49"/>
  <c r="M53" i="49"/>
  <c r="K53" i="49"/>
  <c r="I53" i="49"/>
  <c r="G53" i="49"/>
  <c r="O52" i="49"/>
  <c r="M52" i="49"/>
  <c r="K52" i="49"/>
  <c r="I52" i="49"/>
  <c r="G52" i="49"/>
  <c r="O51" i="49"/>
  <c r="M51" i="49"/>
  <c r="K51" i="49"/>
  <c r="P51" i="49" s="1"/>
  <c r="I51" i="49"/>
  <c r="G51" i="49"/>
  <c r="I49" i="49"/>
  <c r="P49" i="49" s="1"/>
  <c r="O45" i="49"/>
  <c r="M45" i="49"/>
  <c r="K45" i="49"/>
  <c r="I45" i="49"/>
  <c r="G45" i="49"/>
  <c r="O44" i="49"/>
  <c r="M44" i="49"/>
  <c r="K44" i="49"/>
  <c r="I44" i="49"/>
  <c r="P44" i="49" s="1"/>
  <c r="G44" i="49"/>
  <c r="O43" i="49"/>
  <c r="M43" i="49"/>
  <c r="K43" i="49"/>
  <c r="I43" i="49"/>
  <c r="G43" i="49"/>
  <c r="O42" i="49"/>
  <c r="M42" i="49"/>
  <c r="K42" i="49"/>
  <c r="I42" i="49"/>
  <c r="G42" i="49"/>
  <c r="O41" i="49"/>
  <c r="M41" i="49"/>
  <c r="K41" i="49"/>
  <c r="I41" i="49"/>
  <c r="G41" i="49"/>
  <c r="O40" i="49"/>
  <c r="M40" i="49"/>
  <c r="K40" i="49"/>
  <c r="I40" i="49"/>
  <c r="P40" i="49" s="1"/>
  <c r="G40" i="49"/>
  <c r="O39" i="49"/>
  <c r="M39" i="49"/>
  <c r="K39" i="49"/>
  <c r="I39" i="49"/>
  <c r="G39" i="49"/>
  <c r="O38" i="49"/>
  <c r="M38" i="49"/>
  <c r="K38" i="49"/>
  <c r="I38" i="49"/>
  <c r="G38" i="49"/>
  <c r="O37" i="49"/>
  <c r="M37" i="49"/>
  <c r="K37" i="49"/>
  <c r="I37" i="49"/>
  <c r="G37" i="49"/>
  <c r="O36" i="49"/>
  <c r="M36" i="49"/>
  <c r="K36" i="49"/>
  <c r="I36" i="49"/>
  <c r="P36" i="49" s="1"/>
  <c r="G36" i="49"/>
  <c r="O35" i="49"/>
  <c r="M35" i="49"/>
  <c r="K35" i="49"/>
  <c r="I35" i="49"/>
  <c r="G35" i="49"/>
  <c r="O34" i="49"/>
  <c r="M34" i="49"/>
  <c r="K34" i="49"/>
  <c r="I34" i="49"/>
  <c r="G34" i="49"/>
  <c r="O33" i="49"/>
  <c r="M33" i="49"/>
  <c r="K33" i="49"/>
  <c r="I33" i="49"/>
  <c r="G33" i="49"/>
  <c r="O32" i="49"/>
  <c r="M32" i="49"/>
  <c r="K32" i="49"/>
  <c r="I32" i="49"/>
  <c r="G32" i="49"/>
  <c r="O31" i="49"/>
  <c r="M31" i="49"/>
  <c r="K31" i="49"/>
  <c r="I31" i="49"/>
  <c r="G31" i="49"/>
  <c r="O30" i="49"/>
  <c r="M30" i="49"/>
  <c r="K30" i="49"/>
  <c r="I30" i="49"/>
  <c r="G30" i="49"/>
  <c r="O29" i="49"/>
  <c r="M29" i="49"/>
  <c r="K29" i="49"/>
  <c r="I29" i="49"/>
  <c r="G29" i="49"/>
  <c r="O28" i="49"/>
  <c r="M28" i="49"/>
  <c r="K28" i="49"/>
  <c r="I28" i="49"/>
  <c r="G28" i="49"/>
  <c r="O27" i="49"/>
  <c r="M27" i="49"/>
  <c r="K27" i="49"/>
  <c r="I27" i="49"/>
  <c r="G27" i="49"/>
  <c r="O26" i="49"/>
  <c r="M26" i="49"/>
  <c r="K26" i="49"/>
  <c r="I26" i="49"/>
  <c r="G26" i="49"/>
  <c r="O25" i="49"/>
  <c r="M25" i="49"/>
  <c r="K25" i="49"/>
  <c r="I25" i="49"/>
  <c r="G25" i="49"/>
  <c r="O24" i="49"/>
  <c r="M24" i="49"/>
  <c r="K24" i="49"/>
  <c r="I24" i="49"/>
  <c r="G24" i="49"/>
  <c r="O23" i="49"/>
  <c r="M23" i="49"/>
  <c r="K23" i="49"/>
  <c r="I23" i="49"/>
  <c r="G23" i="49"/>
  <c r="O22" i="49"/>
  <c r="M22" i="49"/>
  <c r="K22" i="49"/>
  <c r="I22" i="49"/>
  <c r="G22" i="49"/>
  <c r="O21" i="49"/>
  <c r="M21" i="49"/>
  <c r="K21" i="49"/>
  <c r="I21" i="49"/>
  <c r="G21" i="49"/>
  <c r="O20" i="49"/>
  <c r="M20" i="49"/>
  <c r="K20" i="49"/>
  <c r="I20" i="49"/>
  <c r="G20" i="49"/>
  <c r="O19" i="49"/>
  <c r="M19" i="49"/>
  <c r="K19" i="49"/>
  <c r="I19" i="49"/>
  <c r="G19" i="49"/>
  <c r="O18" i="49"/>
  <c r="M18" i="49"/>
  <c r="K18" i="49"/>
  <c r="I18" i="49"/>
  <c r="G18" i="49"/>
  <c r="O17" i="49"/>
  <c r="M17" i="49"/>
  <c r="K17" i="49"/>
  <c r="I17" i="49"/>
  <c r="G17" i="49"/>
  <c r="O16" i="49"/>
  <c r="M16" i="49"/>
  <c r="K16" i="49"/>
  <c r="I16" i="49"/>
  <c r="G16" i="49"/>
  <c r="O15" i="49"/>
  <c r="M15" i="49"/>
  <c r="K15" i="49"/>
  <c r="I15" i="49"/>
  <c r="G15" i="49"/>
  <c r="O14" i="49"/>
  <c r="M14" i="49"/>
  <c r="K14" i="49"/>
  <c r="I14" i="49"/>
  <c r="G14" i="49"/>
  <c r="O13" i="49"/>
  <c r="M13" i="49"/>
  <c r="K13" i="49"/>
  <c r="I13" i="49"/>
  <c r="G13" i="49"/>
  <c r="O12" i="49"/>
  <c r="M12" i="49"/>
  <c r="K12" i="49"/>
  <c r="I12" i="49"/>
  <c r="G12" i="49"/>
  <c r="O11" i="49"/>
  <c r="M11" i="49"/>
  <c r="K11" i="49"/>
  <c r="I11" i="49"/>
  <c r="G11" i="49"/>
  <c r="O10" i="49"/>
  <c r="M10" i="49"/>
  <c r="K10" i="49"/>
  <c r="I10" i="49"/>
  <c r="G10" i="49"/>
  <c r="O9" i="49"/>
  <c r="M9" i="49"/>
  <c r="K9" i="49"/>
  <c r="I9" i="49"/>
  <c r="G9" i="49"/>
  <c r="O8" i="49"/>
  <c r="M8" i="49"/>
  <c r="K8" i="49"/>
  <c r="I8" i="49"/>
  <c r="G8" i="49"/>
  <c r="P33" i="49" l="1"/>
  <c r="P45" i="49"/>
  <c r="P94" i="49"/>
  <c r="P98" i="49"/>
  <c r="P102" i="49"/>
  <c r="P46" i="49"/>
  <c r="P41" i="49"/>
  <c r="P32" i="49"/>
  <c r="P37" i="49"/>
  <c r="P10" i="49"/>
  <c r="P11" i="49"/>
  <c r="P15" i="49"/>
  <c r="P18" i="49"/>
  <c r="P27" i="49"/>
  <c r="P30" i="49"/>
  <c r="P31" i="49"/>
  <c r="P58" i="49"/>
  <c r="P62" i="49"/>
  <c r="P66" i="49"/>
  <c r="P82" i="49"/>
  <c r="P97" i="49"/>
  <c r="P101" i="49"/>
  <c r="P106" i="49"/>
  <c r="P109" i="49"/>
  <c r="P113" i="49"/>
  <c r="P118" i="49"/>
  <c r="P122" i="49"/>
  <c r="P125" i="49"/>
  <c r="P126" i="49"/>
  <c r="P129" i="49"/>
  <c r="P34" i="49"/>
  <c r="P35" i="49"/>
  <c r="P38" i="49"/>
  <c r="P39" i="49"/>
  <c r="P42" i="49"/>
  <c r="P43" i="49"/>
  <c r="P53" i="49"/>
  <c r="P57" i="49"/>
  <c r="P61" i="49"/>
  <c r="P65" i="49"/>
  <c r="P69" i="49"/>
  <c r="P73" i="49"/>
  <c r="P77" i="49"/>
  <c r="P81" i="49"/>
  <c r="P85" i="49"/>
  <c r="P89" i="49"/>
  <c r="P93" i="49"/>
  <c r="P96" i="49"/>
  <c r="P100" i="49"/>
  <c r="P104" i="49"/>
  <c r="P14" i="49"/>
  <c r="P19" i="49"/>
  <c r="P22" i="49"/>
  <c r="P23" i="49"/>
  <c r="P26" i="49"/>
  <c r="P54" i="49"/>
  <c r="P70" i="49"/>
  <c r="P74" i="49"/>
  <c r="P78" i="49"/>
  <c r="P86" i="49"/>
  <c r="P90" i="49"/>
  <c r="P105" i="49"/>
  <c r="P110" i="49"/>
  <c r="P114" i="49"/>
  <c r="P117" i="49"/>
  <c r="P121" i="49"/>
  <c r="P8" i="49"/>
  <c r="P9" i="49"/>
  <c r="P12" i="49"/>
  <c r="P13" i="49"/>
  <c r="P16" i="49"/>
  <c r="P17" i="49"/>
  <c r="P20" i="49"/>
  <c r="P21" i="49"/>
  <c r="P24" i="49"/>
  <c r="P25" i="49"/>
  <c r="P28" i="49"/>
  <c r="P29" i="49"/>
  <c r="P52" i="49"/>
  <c r="P56" i="49"/>
  <c r="P60" i="49"/>
  <c r="P64" i="49"/>
  <c r="P68" i="49"/>
  <c r="P72" i="49"/>
  <c r="P76" i="49"/>
  <c r="P80" i="49"/>
  <c r="P84" i="49"/>
  <c r="P88" i="49"/>
  <c r="P92" i="49"/>
  <c r="P95" i="49"/>
  <c r="P99" i="49"/>
  <c r="P103" i="49"/>
  <c r="P107" i="49"/>
  <c r="P108" i="49"/>
  <c r="P111" i="49"/>
  <c r="P112" i="49"/>
  <c r="P115" i="49"/>
  <c r="P116" i="49"/>
  <c r="P119" i="49"/>
  <c r="P120" i="49"/>
  <c r="P123" i="49"/>
  <c r="P124" i="49"/>
  <c r="P127" i="49"/>
  <c r="P128" i="49"/>
  <c r="P130" i="49" l="1"/>
  <c r="P50" i="49"/>
  <c r="P131" i="49" s="1"/>
  <c r="F137" i="49" s="1"/>
</calcChain>
</file>

<file path=xl/sharedStrings.xml><?xml version="1.0" encoding="utf-8"?>
<sst xmlns="http://schemas.openxmlformats.org/spreadsheetml/2006/main" count="5376" uniqueCount="2488">
  <si>
    <t>Scrap</t>
  </si>
  <si>
    <t>Obsolete</t>
  </si>
  <si>
    <t>FF4F402128</t>
  </si>
  <si>
    <t>M.S Rod  40 mm2</t>
  </si>
  <si>
    <t>MT</t>
  </si>
  <si>
    <t xml:space="preserve">No. </t>
  </si>
  <si>
    <t xml:space="preserve">Fencing Angle </t>
  </si>
  <si>
    <t>Kg.</t>
  </si>
  <si>
    <t>HH7H704001</t>
  </si>
  <si>
    <t>33 KV Post Insulator for Cap Bank</t>
  </si>
  <si>
    <t>33 KV Flange Collar for 'BHEL' MOCB</t>
  </si>
  <si>
    <t xml:space="preserve">33 KV Flange Collar(Damaged)   </t>
  </si>
  <si>
    <t>FF4F402160</t>
  </si>
  <si>
    <t xml:space="preserve">Steel Tubular Pole </t>
  </si>
  <si>
    <t xml:space="preserve">Fabricated Support for fencing </t>
  </si>
  <si>
    <t>JJ1J103007</t>
  </si>
  <si>
    <t>HH7H702003</t>
  </si>
  <si>
    <t>Empty Gas Cylinder</t>
  </si>
  <si>
    <t>VV7V713001 C</t>
  </si>
  <si>
    <t>33 KV Post Insulator</t>
  </si>
  <si>
    <t>FF3F301028</t>
  </si>
  <si>
    <t xml:space="preserve">PN Structure </t>
  </si>
  <si>
    <t>FF3F301016</t>
  </si>
  <si>
    <t>SF-6 Gas Cylinder (Empty)</t>
  </si>
  <si>
    <t>(Old and used)Battery Set (48 Volt)</t>
  </si>
  <si>
    <t xml:space="preserve">(Old )48 V D/C DB Charger </t>
  </si>
  <si>
    <t xml:space="preserve">Blade for 132 KV Isolator 800X SMC </t>
  </si>
  <si>
    <t>II5I501003</t>
  </si>
  <si>
    <t>Mid Spam Joint for Zebra</t>
  </si>
  <si>
    <t>Hanger for 'A' type Tower</t>
  </si>
  <si>
    <t>Bottom &amp; Top (Metallic) of old LA</t>
  </si>
  <si>
    <t>145 KV CT 100/1A</t>
  </si>
  <si>
    <t>JJ0J003004</t>
  </si>
  <si>
    <t>P T Jn, box for 33 KV PT</t>
  </si>
  <si>
    <t xml:space="preserve">BCT Structure </t>
  </si>
  <si>
    <t>FF3F301013</t>
  </si>
  <si>
    <t>BBL Structure</t>
  </si>
  <si>
    <t>No</t>
  </si>
  <si>
    <t>MM0M009002</t>
  </si>
  <si>
    <t>110 Volt DC Relay For Breaker</t>
  </si>
  <si>
    <t>No.</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</si>
  <si>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</si>
  <si>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</si>
  <si>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</si>
  <si>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</si>
  <si>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</si>
  <si>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</si>
  <si>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132 KV CT400/200/1A (burnt)</t>
  </si>
  <si>
    <t>110 Volt DC charger along with DB (old &amp; used)</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</si>
  <si>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</si>
  <si>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</si>
  <si>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</si>
  <si>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</si>
  <si>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</si>
  <si>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</si>
  <si>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</si>
  <si>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YY0Y002003</t>
  </si>
  <si>
    <t>110 Volt Battery set (old and used)</t>
  </si>
  <si>
    <t>LL6L601002</t>
  </si>
  <si>
    <t>Flexible PVC coated copper wire 16 sq mm</t>
  </si>
  <si>
    <t>MM3M303006</t>
  </si>
  <si>
    <t>Digital  A C Ammeter  range 0-500 A (programmable) Aux Supply 110 V DC</t>
  </si>
  <si>
    <t>Nos</t>
  </si>
  <si>
    <t xml:space="preserve"> RTCC panel (Dismenteled)</t>
  </si>
  <si>
    <t>Pale Fencing damaged</t>
  </si>
  <si>
    <t xml:space="preserve"> YY3Y303001</t>
  </si>
  <si>
    <t>Battery charger 48 volt(dismantle)</t>
  </si>
  <si>
    <t>Km</t>
  </si>
  <si>
    <t>132 KV MOCB Dismanteled</t>
  </si>
  <si>
    <t>132 KV CT400/200/1A (burnt Scrap)</t>
  </si>
  <si>
    <t>VV3V301001</t>
  </si>
  <si>
    <t>CC2C201009</t>
  </si>
  <si>
    <t>4X2.5 mm2 control cable(armoured)</t>
  </si>
  <si>
    <t>VV5V503009</t>
  </si>
  <si>
    <t xml:space="preserve">132 KV CT 800/400/1A Damaged &amp; burnt </t>
  </si>
  <si>
    <t>EHV GradeTransformer oil, (COLUMBIA- OIL)</t>
  </si>
  <si>
    <t>Liter</t>
  </si>
  <si>
    <t>145 KV CVT Defective</t>
  </si>
  <si>
    <t>145  KV  Current  Transformers 140 / 1 A, (0.2S Class) ,1 core.</t>
  </si>
  <si>
    <t>145  KV  Current  Transformers 300 / 1 A, (0.2S Class) ,3 core.</t>
  </si>
  <si>
    <t>Abstract</t>
  </si>
  <si>
    <t>Opening balance</t>
  </si>
  <si>
    <t>Total</t>
  </si>
  <si>
    <t>Total Issue</t>
  </si>
  <si>
    <t>Closing Balance</t>
  </si>
  <si>
    <t>33 KV CT Burnt and damaged</t>
  </si>
  <si>
    <t>VV5V505009</t>
  </si>
  <si>
    <t>VV5V503011</t>
  </si>
  <si>
    <t>132 KV CVT damaged</t>
  </si>
  <si>
    <t>145 KV CVT old and used</t>
  </si>
  <si>
    <t>C-wedge clamps Moose-Moose</t>
  </si>
  <si>
    <t>C-wedge clamps Moose-Panther</t>
  </si>
  <si>
    <t>II2I202001</t>
  </si>
  <si>
    <t>36 KV CT 800/400/1A defective</t>
  </si>
  <si>
    <t>145 KV CVT (1-Phase) accuracy class 0.2</t>
  </si>
  <si>
    <t>36 KV CT (3 core,1 Phase) 400/200/1A Accuracy class 0.2S</t>
  </si>
  <si>
    <t xml:space="preserve">Isolator Blade 145 KV Isolator center operated, double break ,1600 Amp make G. Nandi </t>
  </si>
  <si>
    <t xml:space="preserve">Jaw with clamp 145 KV Isolator center operated, double break ,1600 Amp make G. Nandi </t>
  </si>
  <si>
    <t xml:space="preserve">Isolator Blade 36 KV Isolator center operated, double break ,800 Amp make G. Nandi </t>
  </si>
  <si>
    <t>145 KV CT of rating 800/400/200/1A,5core 0.2 accuracy class</t>
  </si>
  <si>
    <t>145 KV CT of rating 800/400/1A,3core 1.0 accuracy class, old and used</t>
  </si>
  <si>
    <t>VV5V503001</t>
  </si>
  <si>
    <t>VV7V713002</t>
  </si>
  <si>
    <t>VV5V505008</t>
  </si>
  <si>
    <t>HH5H502001</t>
  </si>
  <si>
    <t>HH5H501004</t>
  </si>
  <si>
    <t>YY3Y302002</t>
  </si>
  <si>
    <t>FF3F301042&amp;43</t>
  </si>
  <si>
    <t>Isolator clamp for ACSR panther conductor</t>
  </si>
  <si>
    <t>Breaker clamp for ACSR panther conductor</t>
  </si>
  <si>
    <t>Breaker clamp for ACSR Moose conductor</t>
  </si>
  <si>
    <t xml:space="preserve">Name of Zone: </t>
  </si>
  <si>
    <t>For the Month</t>
  </si>
  <si>
    <t xml:space="preserve">Name of Circle : </t>
  </si>
  <si>
    <t xml:space="preserve">Name of Division : </t>
  </si>
  <si>
    <t xml:space="preserve">Name of Substation : </t>
  </si>
  <si>
    <t>S. No.</t>
  </si>
  <si>
    <t>Item code</t>
  </si>
  <si>
    <t>Name of Item</t>
  </si>
  <si>
    <t>Unit</t>
  </si>
  <si>
    <t>Unit rate in Rs.</t>
  </si>
  <si>
    <t>Useable</t>
  </si>
  <si>
    <t>Unserviceable</t>
  </si>
  <si>
    <t>Non-Moving</t>
  </si>
  <si>
    <t xml:space="preserve">Total Inventory Amt. </t>
  </si>
  <si>
    <t>Qty.</t>
  </si>
  <si>
    <t>Total Amount in Rs.</t>
  </si>
  <si>
    <t>CT 33 KV damaged and burnt</t>
  </si>
  <si>
    <t>M S srape (Wire fencing)</t>
  </si>
  <si>
    <t>132 KV Kashipur</t>
  </si>
  <si>
    <t>400 KV Kashipur</t>
  </si>
  <si>
    <t>Kumaun</t>
  </si>
  <si>
    <t>132 KV CT Old and Used</t>
  </si>
  <si>
    <t>145 KV CVT (old&amp; used) ASIA make</t>
  </si>
  <si>
    <t>145 KV CVT (old&amp; used) CGL make Accuracy 0.5</t>
  </si>
  <si>
    <t>145 KV CVT (old&amp; used) ABB make Accuracy 0.5</t>
  </si>
  <si>
    <t>145 KV CVT (old&amp; used)WS Insulation make Accuracy 0.5</t>
  </si>
  <si>
    <t>145 KV PT (old&amp; used)BHEL make Accuracy 0.5</t>
  </si>
  <si>
    <t>145 KV PT (old&amp; used)SCT make Accuracy 0.5</t>
  </si>
  <si>
    <t>145 KV CT 400/200/1A(old&amp; used) Brown Broveri Accuracy 1.0</t>
  </si>
  <si>
    <t>145 KV CT 400/200/1AHeptacare Accuracy 0.2</t>
  </si>
  <si>
    <t>33 KV PT (1-Phase),Savio Transformermake, Accuracy class 0.5</t>
  </si>
  <si>
    <t xml:space="preserve">33 KV PT (1-Phase),Perfect rmake, </t>
  </si>
  <si>
    <t>April</t>
  </si>
  <si>
    <t xml:space="preserve"> received</t>
  </si>
  <si>
    <t>33 KV CT burnt and Damage (in Pieces}</t>
  </si>
  <si>
    <t>Sulphur Hexa Flouride  (SF-6) gas</t>
  </si>
  <si>
    <t xml:space="preserve">JJ8J801001 </t>
  </si>
  <si>
    <t>Closing coil for 145 KV SF-6 Circuit Breaker, CGL Make,Type 70- SFM-32 B</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</si>
  <si>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</si>
  <si>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</si>
  <si>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</si>
  <si>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Closing coil for 36 KV SF-6 Circuit Breaker, CGL Make,1600 Amp, Type 30-SFGP-25A</t>
  </si>
  <si>
    <t>Tripping coil for 36 KV SF-6 Circuit Breaker, CGL Make,1600 Amp, Type 30-SFGP-25A</t>
  </si>
  <si>
    <t>JJ1J103006</t>
  </si>
  <si>
    <t xml:space="preserve">JJ1J105007 </t>
  </si>
  <si>
    <t xml:space="preserve">JJ1J105005 </t>
  </si>
  <si>
    <t>CC2C201006</t>
  </si>
  <si>
    <t>33 KV CT 400/1A Defective( old and used)</t>
  </si>
  <si>
    <t>2.5 sqmm 10 core armoured copper control cable</t>
  </si>
  <si>
    <t>2.5 sqmm 06 core armoured copper control cable</t>
  </si>
  <si>
    <t>2.5 sqmm 04 core armoured copper control cable</t>
  </si>
  <si>
    <t>Disc Insulator 120 KN</t>
  </si>
  <si>
    <t>C - Wedge clamp suitable for ACSR Moose to Moose conductor</t>
  </si>
  <si>
    <t>11 KV Power cable ( 3 X 185 Sqmm )</t>
  </si>
  <si>
    <t>Cable mid joint kit ( 3 X 185 sqmm ) 11KV XLPE Cable</t>
  </si>
  <si>
    <t>AL Power cble ( PVC 3.5C x 35 sqmm)</t>
  </si>
  <si>
    <t>CT Clamp suitable for AL Pipe tube 4"</t>
  </si>
  <si>
    <t>Distance Protection Relay</t>
  </si>
  <si>
    <t>Directional Over current Relay</t>
  </si>
  <si>
    <t>160KN Disc Insulator</t>
  </si>
  <si>
    <t>Suspension Double fitting for panther</t>
  </si>
  <si>
    <t>Tension clamp for Earth wire</t>
  </si>
  <si>
    <t>Dead End clamp complete for ACSR panther conductor</t>
  </si>
  <si>
    <t>CC2C201007</t>
  </si>
  <si>
    <t>II0I001001</t>
  </si>
  <si>
    <t>CC3C306006</t>
  </si>
  <si>
    <t>CC5C506005</t>
  </si>
  <si>
    <t>CC1C107012</t>
  </si>
  <si>
    <t>II8I805005</t>
  </si>
  <si>
    <t>I4I402001</t>
  </si>
  <si>
    <t>Silica Gel blue in colour(In sealed container)</t>
  </si>
  <si>
    <t>Isolator clamp for ACSR Moose conductor</t>
  </si>
  <si>
    <t>C T terminal connector different type</t>
  </si>
  <si>
    <t xml:space="preserve">CT rod </t>
  </si>
  <si>
    <t>33 KV PT(Completely Damaged)</t>
  </si>
  <si>
    <t>33 KV XLPE cable size3x400mm2 Aluminium Power Cable</t>
  </si>
  <si>
    <t>33 KV outdoor termination kit  size3x400mm2 standared</t>
  </si>
  <si>
    <t>CC3C306002</t>
  </si>
  <si>
    <t xml:space="preserve"> CC8C801003</t>
  </si>
  <si>
    <t xml:space="preserve"> II2I202001</t>
  </si>
  <si>
    <t xml:space="preserve"> II2I202004</t>
  </si>
  <si>
    <t xml:space="preserve"> HH8H801057</t>
  </si>
  <si>
    <t>HH8H801065</t>
  </si>
  <si>
    <t xml:space="preserve"> VV2V203001</t>
  </si>
  <si>
    <t xml:space="preserve"> VV8V801012 </t>
  </si>
  <si>
    <t>36 KV CT 200/1A (Old and used)</t>
  </si>
  <si>
    <t>36 KV CT 400/1A (Old and used)</t>
  </si>
  <si>
    <t>36 KV CT 800/400/1A,(Old and used)</t>
  </si>
  <si>
    <t xml:space="preserve">36 KV CT 400/200/1A </t>
  </si>
  <si>
    <t>3-Phase 33Kv Isolator without earthswitch 800Amp, With Clamp Suitable for Panther conductor</t>
  </si>
  <si>
    <t>ACSR Panther conductor</t>
  </si>
  <si>
    <t>Digital  A C Ammeter  range 0-1000 A (programmable) Aux Supply 110 V DC</t>
  </si>
  <si>
    <t>Digital  A C Volt meter  range 0-150 KV .(programmable) Aux Supply 110 V DC</t>
  </si>
  <si>
    <t>Electronic semaphore indication having Red &amp; Green LED 110 volt DC as per sample</t>
  </si>
  <si>
    <t>Auxiliary conractor with NO/NC operating Voltage 110 Volt DC</t>
  </si>
  <si>
    <t>Nos.</t>
  </si>
  <si>
    <t>MS scrap of fire extinguishers</t>
  </si>
  <si>
    <t>Kg</t>
  </si>
  <si>
    <t>Old and used 30 KV LA</t>
  </si>
  <si>
    <t>Old and used 120 KV LA</t>
  </si>
  <si>
    <t>Format of Monthly Inventory for Uploading on PTCUL Website</t>
  </si>
  <si>
    <t xml:space="preserve">Umesh Kumar Junior Engineer (Line) 132KV S/S Kashipur </t>
  </si>
  <si>
    <t>Name of Circle/ Zone:-</t>
  </si>
  <si>
    <t>400KV(O&amp;M)Kashipur</t>
  </si>
  <si>
    <t>Name of Substation</t>
  </si>
  <si>
    <t>132KV S/SKashipur</t>
  </si>
  <si>
    <t xml:space="preserve">Name of Division </t>
  </si>
  <si>
    <t>132KV(O&amp;M)Div Kashipur</t>
  </si>
  <si>
    <t>Month of</t>
  </si>
  <si>
    <t xml:space="preserve">SR.
No. </t>
  </si>
  <si>
    <t>Item Code</t>
  </si>
  <si>
    <t>item Description</t>
  </si>
  <si>
    <t xml:space="preserve">Quantity </t>
  </si>
  <si>
    <t xml:space="preserve">Book Value per unit </t>
  </si>
  <si>
    <t>Total Cost</t>
  </si>
  <si>
    <t xml:space="preserve">Unserviceable </t>
  </si>
  <si>
    <t xml:space="preserve">Non-Moving </t>
  </si>
  <si>
    <t xml:space="preserve">Scrap </t>
  </si>
  <si>
    <t>FF0F015002</t>
  </si>
  <si>
    <t>Tower part banded (Old and Used)</t>
  </si>
  <si>
    <t xml:space="preserve">MT. </t>
  </si>
  <si>
    <t>FF2F207036</t>
  </si>
  <si>
    <t>Template for 'A' Type Tower  (Incomplete)</t>
  </si>
  <si>
    <t>Scrap  of rusted Tower Part</t>
  </si>
  <si>
    <t>II51504005</t>
  </si>
  <si>
    <t>Suspension single fitting for Panther</t>
  </si>
  <si>
    <t>II0I001007</t>
  </si>
  <si>
    <t xml:space="preserve">70 KN Disc insulator (B&amp;S) </t>
  </si>
  <si>
    <t>FF0F043010</t>
  </si>
  <si>
    <t>Template for B Type Tower</t>
  </si>
  <si>
    <t>M.T</t>
  </si>
  <si>
    <t>FF0F043012</t>
  </si>
  <si>
    <t>Template for C Type Tower</t>
  </si>
  <si>
    <t>II3I302004</t>
  </si>
  <si>
    <t xml:space="preserve">Repair Sleeve for panther </t>
  </si>
  <si>
    <t>II3I301004</t>
  </si>
  <si>
    <t xml:space="preserve">Mid Span Joint for Panther </t>
  </si>
  <si>
    <t>II5I501005</t>
  </si>
  <si>
    <t>Single Tension Fitting for panther</t>
  </si>
  <si>
    <t>Sets</t>
  </si>
  <si>
    <t>II3I303004</t>
  </si>
  <si>
    <t>Vibration Damper</t>
  </si>
  <si>
    <t>II3I301009</t>
  </si>
  <si>
    <t>(B)Mid Span Joint for 7/10SWG Earth Wire</t>
  </si>
  <si>
    <t>II5I501010</t>
  </si>
  <si>
    <t>(A) Tension fitting for GS earth wire 7/10SWG or 7/3.15mm.</t>
  </si>
  <si>
    <t>set</t>
  </si>
  <si>
    <t>(B) Tension fitting for GS earth wire 7/10SWG or 7/3.15mm.</t>
  </si>
  <si>
    <t>II5I504010</t>
  </si>
  <si>
    <t>(A)Suspension fitting for GS earth wire 7/10SWG or 7/3.15mm.</t>
  </si>
  <si>
    <t>(B)Suspension fitting for GS earth wire 7/10SWG or 7/3.15mm.</t>
  </si>
  <si>
    <t>II3I302009</t>
  </si>
  <si>
    <t xml:space="preserve">Repair Sleeve for earth wire 7/10SWG or 7/3.15mm </t>
  </si>
  <si>
    <t xml:space="preserve">Nos </t>
  </si>
  <si>
    <t>PP0P016004</t>
  </si>
  <si>
    <t>Steel pilot wire</t>
  </si>
  <si>
    <t xml:space="preserve">Mtr. </t>
  </si>
  <si>
    <t>AA1A101002</t>
  </si>
  <si>
    <t>7/10SWG damage /rusted broken earth wire</t>
  </si>
  <si>
    <t>7/10SWG earth wire</t>
  </si>
  <si>
    <t>II1I105001</t>
  </si>
  <si>
    <t>C-Wedge clamp (Panther to Panther)</t>
  </si>
  <si>
    <t>FF1F101025</t>
  </si>
  <si>
    <t>Tower GI nut&amp;bolt(3/4X5/8)</t>
  </si>
  <si>
    <t>II5I502005</t>
  </si>
  <si>
    <t>Double tension fitting for ACSR panther(Incomplete)</t>
  </si>
  <si>
    <t>Set</t>
  </si>
  <si>
    <t>Total(Useable+Scrap)</t>
  </si>
  <si>
    <t>T&amp;P Items</t>
  </si>
  <si>
    <t xml:space="preserve">Sr.
No. </t>
  </si>
  <si>
    <t>Useable/Qty</t>
  </si>
  <si>
    <t>PP0P004002</t>
  </si>
  <si>
    <t>Hydraulic compressor of 100 Ton,portable,hand operated completed with accessories/tools.</t>
  </si>
  <si>
    <t>PP0P006007</t>
  </si>
  <si>
    <t>Compressor die sets suitable for jointing ACSR panther Conductor(Aluminium portion)</t>
  </si>
  <si>
    <t>PP0P006008</t>
  </si>
  <si>
    <t>Compressor die sets suitable for jointing ACSR panther Conductor(Steel portion)</t>
  </si>
  <si>
    <t>PP0P006005</t>
  </si>
  <si>
    <t>Compressor die sets suitable for jointing ACSR ZebraConductor(Aluminium portion)</t>
  </si>
  <si>
    <t>PP0P006001</t>
  </si>
  <si>
    <t>Compressor die sets suitable for jointing ACSR MooseConductor(Aluminium portion)</t>
  </si>
  <si>
    <t>12mm steelrope drum of 200mtr long</t>
  </si>
  <si>
    <t>PP0P021011</t>
  </si>
  <si>
    <t>Single sheave pulley open type of 5 ton capacity.</t>
  </si>
  <si>
    <t>PP0P021007</t>
  </si>
  <si>
    <t>Double sheave pulley 5 ton capacity</t>
  </si>
  <si>
    <t>Hydraulic conductor cutter</t>
  </si>
  <si>
    <t>PP0P001003</t>
  </si>
  <si>
    <t>Bolted type come along clamp, 7 bolts for ACSR Zebra Conductor</t>
  </si>
  <si>
    <t>PP0P001004</t>
  </si>
  <si>
    <t>Bolted type come along clamp, 7 bolts for ACSR Panther Conductor</t>
  </si>
  <si>
    <t>PP0P001013</t>
  </si>
  <si>
    <t>Come along clamp 3 bolted type suitable for 7/10 SWG earth wire.</t>
  </si>
  <si>
    <t>PP0P021001</t>
  </si>
  <si>
    <t>Four Sheave sagging pulley 10 Ton Capacity.</t>
  </si>
  <si>
    <t>Sling 18mm 10MTR</t>
  </si>
  <si>
    <t>Sling 18mm 5 MTR</t>
  </si>
  <si>
    <t>PP0P018009</t>
  </si>
  <si>
    <t>D-Shackle 4.75 Ton</t>
  </si>
  <si>
    <t>PP3P301005</t>
  </si>
  <si>
    <t>Safety belt full body safety harness PN42(01 reputed make like karam etc.)</t>
  </si>
  <si>
    <t>PP0P015014</t>
  </si>
  <si>
    <t>Poly amide or Braided white nylon rope 14mm</t>
  </si>
  <si>
    <t>Chain Shackle 10Ton Chain pulley block 3 MTR</t>
  </si>
  <si>
    <t>PP0P021037</t>
  </si>
  <si>
    <t>Chain Shackle 2 Ton Chain pulley block 3 MTR</t>
  </si>
  <si>
    <t xml:space="preserve">Name of Zone -Kumoun Zone </t>
  </si>
  <si>
    <t xml:space="preserve">                             stock</t>
  </si>
  <si>
    <t>STOCK</t>
  </si>
  <si>
    <t>For the Month   of  April- 2026</t>
  </si>
  <si>
    <t xml:space="preserve">Name of Circule -Kashipur Circle </t>
  </si>
  <si>
    <t>Name of Division -132 KV O&amp;M Division Kashipur</t>
  </si>
  <si>
    <t>Name of Sub- Station -132 KV S/S Ramnagar</t>
  </si>
  <si>
    <t>AA0A002004</t>
  </si>
  <si>
    <t>ACSR Panther Conductor</t>
  </si>
  <si>
    <t>AA0A002003</t>
  </si>
  <si>
    <t>ACSR Zebra Conductor</t>
  </si>
  <si>
    <t>AA0A001001</t>
  </si>
  <si>
    <t>ACSR Tarantula Conductor</t>
  </si>
  <si>
    <t>VV2V204007</t>
  </si>
  <si>
    <t xml:space="preserve">Empty Drum  </t>
  </si>
  <si>
    <t>FF2F201004</t>
  </si>
  <si>
    <t>36 mm MS Round</t>
  </si>
  <si>
    <t>FF0F050008</t>
  </si>
  <si>
    <t>Gal. S/S strecture ATM</t>
  </si>
  <si>
    <t>FF0F050009</t>
  </si>
  <si>
    <t>Gal. S/S strecture AXM</t>
  </si>
  <si>
    <t>FF0F050014</t>
  </si>
  <si>
    <t>Gal. S/S strecture BTM</t>
  </si>
  <si>
    <t>FF0F050019</t>
  </si>
  <si>
    <t>Gal. S/S strecture CCM</t>
  </si>
  <si>
    <t>CC1C103009</t>
  </si>
  <si>
    <t>95mm2 ,3 1/2 Al. Cable</t>
  </si>
  <si>
    <t>CC0C001013</t>
  </si>
  <si>
    <t>Control Cable 6x2.5mm2</t>
  </si>
  <si>
    <t>MM0M007004</t>
  </si>
  <si>
    <t xml:space="preserve">OSR relay suitable for NGEF make 20 MVA T/f </t>
  </si>
  <si>
    <t>Fired C-Wedge clamp suitable for Panther to Panther</t>
  </si>
  <si>
    <t>VV4V305013</t>
  </si>
  <si>
    <t>33 KV CT(200/ 100/1A) old and used</t>
  </si>
  <si>
    <t>JJ3J301005</t>
  </si>
  <si>
    <t>Trip coil 110 Vsuitable for CGL make 132 KV Circuit Breader</t>
  </si>
  <si>
    <t>II0I005001</t>
  </si>
  <si>
    <t>PG Clamp Zebra  to Zebra</t>
  </si>
  <si>
    <t>JJ5J501023</t>
  </si>
  <si>
    <t>Eye bolt suitable for 33 KV BHEL make VCB Circuit breaker.</t>
  </si>
  <si>
    <t>CC0C001020</t>
  </si>
  <si>
    <t>2.5mm2x2 core control cable</t>
  </si>
  <si>
    <t>Km.</t>
  </si>
  <si>
    <t>CC0C001018</t>
  </si>
  <si>
    <t>2.5mm2x4 Core Control Cable</t>
  </si>
  <si>
    <t>VV3V303001</t>
  </si>
  <si>
    <t>132KV CT  1 Phase Heptacare Power (PSDF)</t>
  </si>
  <si>
    <t>SS4S402011</t>
  </si>
  <si>
    <t>Blades for 33 KV isolator</t>
  </si>
  <si>
    <t xml:space="preserve">Tension fitting </t>
  </si>
  <si>
    <t>VV3V305008</t>
  </si>
  <si>
    <t>Old used and defective 33 KV CT 3Core 400/200/1A Hepta Care</t>
  </si>
  <si>
    <t>FF1F107002</t>
  </si>
  <si>
    <t>GI foundation Anchor bolt (size 28 mm)</t>
  </si>
  <si>
    <t>FF1F107001</t>
  </si>
  <si>
    <t>GI foundation Anchor bolt (size32 mm)</t>
  </si>
  <si>
    <t>33 KV Lightning arrestor with all accessories and surge counter</t>
  </si>
  <si>
    <t>Complete damage  145 KV CT</t>
  </si>
  <si>
    <t>Old &amp; Used  damaged  of 3 core 33 KV CT</t>
  </si>
  <si>
    <t>YY0Y002005</t>
  </si>
  <si>
    <t>Old used and damaged battery bak of  110 Volt</t>
  </si>
  <si>
    <t>PP2P221002</t>
  </si>
  <si>
    <t>Old  used  &amp; damaged exghaust fan of 18" size</t>
  </si>
  <si>
    <t>YY0Y003010</t>
  </si>
  <si>
    <t>Old used and damaged battery   Cell of 2 Volt 300 Ah</t>
  </si>
  <si>
    <t>SS6S604001</t>
  </si>
  <si>
    <t>Auxllary contractor operating 110 Volt DC</t>
  </si>
  <si>
    <t>II0I005002</t>
  </si>
  <si>
    <t>Zebra to Panther Clamp</t>
  </si>
  <si>
    <t>Control Cable 2.5 Sqmmx6 Core</t>
  </si>
  <si>
    <t>Mtr.</t>
  </si>
  <si>
    <t>CC0C003010</t>
  </si>
  <si>
    <t>Control Cable armoed  2.5 Sqmmx10 Core</t>
  </si>
  <si>
    <t xml:space="preserve">36 KV CT (3 Core) (1 Phase) 400/200/1 A, 0.2s accuracy </t>
  </si>
  <si>
    <t>2.5 mm2* 4core control cable in piesces</t>
  </si>
  <si>
    <t>CC0C002008</t>
  </si>
  <si>
    <t>2.5 mm2*10 core control cable inpisces</t>
  </si>
  <si>
    <t>VV3V303005</t>
  </si>
  <si>
    <t>132 Kv CT 200/100/1 A. Old &amp;Used</t>
  </si>
  <si>
    <t>KK0K003001</t>
  </si>
  <si>
    <t>132 KV LA Old &amp; Used</t>
  </si>
  <si>
    <t>VV3V305006</t>
  </si>
  <si>
    <t>33 KV  CT 800/400/200/1A . Old &amp; Used</t>
  </si>
  <si>
    <t>33 Kv LA Old &amp; Used</t>
  </si>
  <si>
    <t>33 KV LA Damaged</t>
  </si>
  <si>
    <t>NO.</t>
  </si>
  <si>
    <t>VV6V507004</t>
  </si>
  <si>
    <t>Old used and defective 132 KV CVT</t>
  </si>
  <si>
    <t>JJ7J707001</t>
  </si>
  <si>
    <t xml:space="preserve">New SF-6 Gas cylinder </t>
  </si>
  <si>
    <t>VV1V103016</t>
  </si>
  <si>
    <t>40 MVA T/F LV SideBushing Terminal  ConnectorFor ACSR Panthor Conductor</t>
  </si>
  <si>
    <t>VV1V103019</t>
  </si>
  <si>
    <t>20 MVA T/F HV SideBushing Terminal  ConnectorFor ACSR Panthor Conductor</t>
  </si>
  <si>
    <t>VV1V103020</t>
  </si>
  <si>
    <t>20 MVA T/F LV SideBushing Terminal  ConnectorFor ACSR Panthor Conductor</t>
  </si>
  <si>
    <t>33 KV Circuit Breaker Terminal   Connector For ACSR Panthor  conductor</t>
  </si>
  <si>
    <t>33 KV Circuit Breaker Terminal   Connector For ACSR  Zebra  conductor</t>
  </si>
  <si>
    <t>II0I002005</t>
  </si>
  <si>
    <t>33 KV main bus clamp For ACSR Taramtulla to Panthor  conductor</t>
  </si>
  <si>
    <t>II0I002004</t>
  </si>
  <si>
    <t>33 KV main bus clamp For ACSR Taramtulla to zebra conductor</t>
  </si>
  <si>
    <t>SS5S501006</t>
  </si>
  <si>
    <t>33 KV  Main bus Isolator Connector For ACSR taramtula  conductor</t>
  </si>
  <si>
    <t>JJ8J801011</t>
  </si>
  <si>
    <t>Terminal connector  for 132 KV CGL  make C.B</t>
  </si>
  <si>
    <t>Terminal connector  for 132 KV  C.B</t>
  </si>
  <si>
    <t>VV7V701010</t>
  </si>
  <si>
    <t xml:space="preserve">Terminal connector  for 132 KV  CVT </t>
  </si>
  <si>
    <t>Terminal connector   required for HV  Bushing of 20 MVA T/F</t>
  </si>
  <si>
    <t>Terminal connector   required for LV  Bushing of 20 MVA T/F</t>
  </si>
  <si>
    <t>Terminal connector   required for HV  Bushing of 40 MVA T/F</t>
  </si>
  <si>
    <t>VV1V103015</t>
  </si>
  <si>
    <t>Terminal connector   required for LV Bushing of 40 MVA T/F</t>
  </si>
  <si>
    <t>JJ8J801010</t>
  </si>
  <si>
    <t xml:space="preserve">Terminal connector  for 33  KV Circuit Breaker   </t>
  </si>
  <si>
    <t>JJ3J301019</t>
  </si>
  <si>
    <t xml:space="preserve">Contactor 110 V DC for 132 KV  Circuit Breaker </t>
  </si>
  <si>
    <t xml:space="preserve">Contactor 110 V DC for 33 KV  Circuit Breaker </t>
  </si>
  <si>
    <t>SS6S606003</t>
  </si>
  <si>
    <t>Contractor for fan control of 40 MVA T/F</t>
  </si>
  <si>
    <t>SS7S704001</t>
  </si>
  <si>
    <t>MCB Three Pole 32 Amp</t>
  </si>
  <si>
    <t xml:space="preserve">Coil 110 V DC for 132 KV  Circuit Breaker </t>
  </si>
  <si>
    <t>LL6L601006</t>
  </si>
  <si>
    <t>Multi Stand 2.5 mm Sqr Copper wire of different colour</t>
  </si>
  <si>
    <t>33KV LA(OLD &amp; USED)</t>
  </si>
  <si>
    <t>ACSR Zebra conductor</t>
  </si>
  <si>
    <t>VV2V203001</t>
  </si>
  <si>
    <t>Silika Gel</t>
  </si>
  <si>
    <t>VV3V303003</t>
  </si>
  <si>
    <t>145 KV CT400/ 200/ 100/1A Damaged (Received back)</t>
  </si>
  <si>
    <t>VV5V407023</t>
  </si>
  <si>
    <t>CT Clamp (Old &amp; Used) Receive back</t>
  </si>
  <si>
    <t>VV6V505002</t>
  </si>
  <si>
    <t xml:space="preserve">33KV PT Damaged Receive Back </t>
  </si>
  <si>
    <t>II0I006001</t>
  </si>
  <si>
    <t>PG CLAMP P TO P</t>
  </si>
  <si>
    <t>YY0Y003005</t>
  </si>
  <si>
    <t xml:space="preserve">2V 300AH Low maintinance (VRLA) Dri Cell  Old &amp; Used </t>
  </si>
  <si>
    <t>145 KV CVT Receive Back ( Make- CGL) Old &amp; Used</t>
  </si>
  <si>
    <t xml:space="preserve">132 KV CT 1600/800/400/1A Old &amp; Used </t>
  </si>
  <si>
    <t>JJ3J301006</t>
  </si>
  <si>
    <t xml:space="preserve">Tripping &amp; Closing coil Complete with assembly </t>
  </si>
  <si>
    <t>Limit switch 1 No + 1Nc  for 132 KV CB</t>
  </si>
  <si>
    <t>Numerical T/F Diffrential  protection Relay ( E Scrap)</t>
  </si>
  <si>
    <t>36 KV CT3 Core 400/200/1A (Old &amp; Used)</t>
  </si>
  <si>
    <t>Nut &amp; Bolts with washer</t>
  </si>
  <si>
    <t>Received33 KV CT 3Core 800/400/1A(Old&amp; Used)</t>
  </si>
  <si>
    <t>PVC Cable Various Cores In Pieces (Old &amp; Used )</t>
  </si>
  <si>
    <t>MTr</t>
  </si>
  <si>
    <t>Received Back PG Clamp (Z To P ) Old &amp; Used</t>
  </si>
  <si>
    <t>ACSR Panthor Conductor in pieces (Old &amp; Used)</t>
  </si>
  <si>
    <t xml:space="preserve">Total Amt. of Useable </t>
  </si>
  <si>
    <t xml:space="preserve">Total Amt. of Unserviceable </t>
  </si>
  <si>
    <t>Total Amt. of Non. Moving</t>
  </si>
  <si>
    <t xml:space="preserve">Total Amt. of obsolete </t>
  </si>
  <si>
    <t>Total Amt. of Scrap</t>
  </si>
  <si>
    <t xml:space="preserve">Total Usable </t>
  </si>
  <si>
    <t>Singnature of J.E.</t>
  </si>
  <si>
    <t>Singnature of A.E.</t>
  </si>
  <si>
    <t>Singnature of E.E.</t>
  </si>
  <si>
    <t>Name of Circle/ Zone:-400kv o&amp;m circle Kashipur</t>
  </si>
  <si>
    <t>132kv s/s Bazpur</t>
  </si>
  <si>
    <t>Name of Division  132 KV O&amp;M Div. PTCUL KASHIPUR</t>
  </si>
  <si>
    <t>Stock Inventory for the Month of  April.2026</t>
  </si>
  <si>
    <t xml:space="preserve">Book Value </t>
  </si>
  <si>
    <t>Unit Rate</t>
  </si>
  <si>
    <t>Double Tention fitting for panther conductor.</t>
  </si>
  <si>
    <t>II3I305004</t>
  </si>
  <si>
    <t>Armour rod for panther conductor.</t>
  </si>
  <si>
    <t>II3I308001</t>
  </si>
  <si>
    <t>Bird Guard.</t>
  </si>
  <si>
    <t>Mid span joint for panther conductor.</t>
  </si>
  <si>
    <t>Ropier slave for panther conductor.</t>
  </si>
  <si>
    <t>FF0F013001</t>
  </si>
  <si>
    <t>A' Normal Tower.</t>
  </si>
  <si>
    <t>KG</t>
  </si>
  <si>
    <t>II0I001003</t>
  </si>
  <si>
    <t>120 KN Disc Insulator.</t>
  </si>
  <si>
    <t>ACSR Panther conductor old &amp; used.</t>
  </si>
  <si>
    <t>KM</t>
  </si>
  <si>
    <t>Single tension fitting suitable for panther conductor.</t>
  </si>
  <si>
    <t>Repair sleeve.</t>
  </si>
  <si>
    <t>II5I504005</t>
  </si>
  <si>
    <t>single Suspension fitting suitable for panther conductor.</t>
  </si>
  <si>
    <t>Repair sleeve suitable for ACSR panther conductor.</t>
  </si>
  <si>
    <t>Repair sleeve suitable for GS earth wire 7/10 SWG.</t>
  </si>
  <si>
    <t>II3I304001</t>
  </si>
  <si>
    <t>GI hanger as per sample.</t>
  </si>
  <si>
    <t>Vibration damper suitable for ACSR Panther conductor.</t>
  </si>
  <si>
    <t>II3I303009</t>
  </si>
  <si>
    <t>vibration damper suitable for GS earth wire 7/10 SWG.</t>
  </si>
  <si>
    <t>Tension fitting suitable for GS Earth 7/10 SWG.</t>
  </si>
  <si>
    <t>Suspension fitting suitable for GS earth wire 7/10SWG.</t>
  </si>
  <si>
    <t>70KN Standard Disc insulator suitable for Panther conductor.</t>
  </si>
  <si>
    <t xml:space="preserve"> Scrap</t>
  </si>
  <si>
    <t>Earth wire old &amp; used,rusted and deteriorated</t>
  </si>
  <si>
    <t>70KN Disc insulator ( Damaged , old &amp; used)</t>
  </si>
  <si>
    <t xml:space="preserve"> T&amp;P</t>
  </si>
  <si>
    <t>PP0P012005</t>
  </si>
  <si>
    <t>Binacular camera</t>
  </si>
  <si>
    <t>JE Name</t>
  </si>
  <si>
    <t xml:space="preserve">AE Name </t>
  </si>
  <si>
    <t>EE Name</t>
  </si>
  <si>
    <t>Name of Circle/ Zone:- Kuman Zone</t>
  </si>
  <si>
    <t>132 Kv Bazpur</t>
  </si>
  <si>
    <t>Name of Division:- 132 Kv Kashipur</t>
  </si>
  <si>
    <t>Name of Sub-Division:-</t>
  </si>
  <si>
    <t xml:space="preserve"> Bazpur</t>
  </si>
  <si>
    <t xml:space="preserve">Book Value per Unit </t>
  </si>
  <si>
    <t>CC3C316008</t>
  </si>
  <si>
    <t>Turfer gatted tray 6"</t>
  </si>
  <si>
    <t>CC3C316009</t>
  </si>
  <si>
    <t>Turfer gatted tray 5"</t>
  </si>
  <si>
    <t>AA0A002011</t>
  </si>
  <si>
    <t xml:space="preserve">ACSR weasel conductor </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</si>
  <si>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</si>
  <si>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</si>
  <si>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</si>
  <si>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</si>
  <si>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</si>
  <si>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</si>
  <si>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</si>
  <si>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</si>
  <si>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</si>
  <si>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</si>
  <si>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</si>
  <si>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 xml:space="preserve">ACSR panther conductor </t>
  </si>
  <si>
    <t xml:space="preserve">Nut &amp; Bolts with washer </t>
  </si>
  <si>
    <t>MT.</t>
  </si>
  <si>
    <t>MM3M306008</t>
  </si>
  <si>
    <t xml:space="preserve">Power fector meter 400/1A with S/ switch </t>
  </si>
  <si>
    <t>P.G. clamps for Zebra to Zebra</t>
  </si>
  <si>
    <t>P.G. clamps for Zebra to Panther</t>
  </si>
  <si>
    <t>70 KN Disc Insulator</t>
  </si>
  <si>
    <t>MM3M302005</t>
  </si>
  <si>
    <t>Digital Voltmeter (Rating 132000/110Volt) Auxiliary Supply 110V DC</t>
  </si>
  <si>
    <t>MM3M303009</t>
  </si>
  <si>
    <t>Digital Ammeters (Rating 200/1A) Auxiliary Supply 110V DC</t>
  </si>
  <si>
    <t>Digital Voltmeter (Rating 33000/110Volt) Auxiliary Supply 110V DC</t>
  </si>
  <si>
    <t>II1I103003</t>
  </si>
  <si>
    <t>Fired C - Wedge connectors suitable for Deer to panther ACSR conductor</t>
  </si>
  <si>
    <t>II1I104002</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</si>
  <si>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</si>
  <si>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</si>
  <si>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</si>
  <si>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</si>
  <si>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</si>
  <si>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</si>
  <si>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</si>
  <si>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</si>
  <si>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</si>
  <si>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</si>
  <si>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</si>
  <si>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33 KV LA</t>
  </si>
  <si>
    <t>FF4F403003</t>
  </si>
  <si>
    <t>Flexible copper bond</t>
  </si>
  <si>
    <t>FF2F202001</t>
  </si>
  <si>
    <t>M S Earth Flat (FL-75X10)</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</si>
  <si>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</si>
  <si>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</si>
  <si>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</si>
  <si>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</si>
  <si>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</si>
  <si>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</si>
  <si>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</si>
  <si>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</si>
  <si>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</si>
  <si>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</si>
  <si>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</si>
  <si>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</si>
  <si>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</si>
  <si>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</si>
  <si>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</si>
  <si>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</si>
  <si>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</si>
  <si>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6 X 2.5 mm2 Control Cable (armoured)</t>
  </si>
  <si>
    <t>10 X 2.5 mm2 Control Cable (armoured)</t>
  </si>
  <si>
    <t>Supply of ACSR Zebra Conductor</t>
  </si>
  <si>
    <t>Round pol old and used</t>
  </si>
  <si>
    <t>2 x 2.5mm control cable armourd</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</si>
  <si>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</si>
  <si>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</si>
  <si>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</si>
  <si>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</si>
  <si>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</si>
  <si>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</si>
  <si>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</si>
  <si>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</si>
  <si>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</si>
  <si>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</si>
  <si>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</si>
  <si>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</si>
  <si>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</si>
  <si>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</si>
  <si>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 xml:space="preserve">ACSR Panther Conductor </t>
  </si>
  <si>
    <t>2X2.5mm Control cable (Armoured)</t>
  </si>
  <si>
    <t>4X2.5mm Control cable (Armoured)</t>
  </si>
  <si>
    <t>6X2.5mm Control cable (Armoured)</t>
  </si>
  <si>
    <t>10X2.5mm Control cable (Armoured)</t>
  </si>
  <si>
    <t xml:space="preserve">C - Wedge clamps suitable for Zebra to panther conductor </t>
  </si>
  <si>
    <t>NN0N001008</t>
  </si>
  <si>
    <t>33 KV Tripper Feeder Control &amp; Rellay panel</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</si>
  <si>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</si>
  <si>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</si>
  <si>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</si>
  <si>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</si>
  <si>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</si>
  <si>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</si>
  <si>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</si>
  <si>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</si>
  <si>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</si>
  <si>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FF0F050010</t>
  </si>
  <si>
    <t xml:space="preserve">132 KV Isolator Structure old and used </t>
  </si>
  <si>
    <t>132 KV  Isolator Jaw &amp; blade complete old and used</t>
  </si>
  <si>
    <t>Limit Switch for PRV,2NO,2NC suitable for 40MVA T/F</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</si>
  <si>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</si>
  <si>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</si>
  <si>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</si>
  <si>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</si>
  <si>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</si>
  <si>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</si>
  <si>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</si>
  <si>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</si>
  <si>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</si>
  <si>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SS5S501014</t>
  </si>
  <si>
    <t>33 KV Isolator clamps suitable for twin ACSR Zebra conductor</t>
  </si>
  <si>
    <t>33 Kv Isolator blades, 1600 capacity complete as per sample</t>
  </si>
  <si>
    <t>33 Kv Isolator Jaws, 1600 capacity with heavy duty aluminium pad for termination 7 G.I. frame as per sample</t>
  </si>
  <si>
    <t>EHV Grade Transformer oil (COLUMBIA-OIL)</t>
  </si>
  <si>
    <t>Ltr</t>
  </si>
  <si>
    <t>SF - 6 Gas</t>
  </si>
  <si>
    <t>Silica gel of best quality</t>
  </si>
  <si>
    <t xml:space="preserve">33 KV Isolator Blades, 1600A </t>
  </si>
  <si>
    <t xml:space="preserve">33 KV Isolator Jows, 1600A </t>
  </si>
  <si>
    <t xml:space="preserve">33 KV Isolator Blades, 800A </t>
  </si>
  <si>
    <t xml:space="preserve">33 KV Isolator Jows, 800A </t>
  </si>
  <si>
    <t>132 KV LA old and used</t>
  </si>
  <si>
    <t>LED Tube light 20 watt</t>
  </si>
  <si>
    <t>CRC  Standard size</t>
  </si>
  <si>
    <t>132 KV Isolator clamp suitable for ACSR panther conductor</t>
  </si>
  <si>
    <t>33 KV Isolator clamp suitable for ACSR panther conductor</t>
  </si>
  <si>
    <t>33 KV Isolator clamp suitable for ACSR Zebra conductor</t>
  </si>
  <si>
    <t>33 KV CT clamp suitable for Single ACSR Zebra conductor</t>
  </si>
  <si>
    <t>33 KV CT clamp suitable for Single ACSR Panther conductor</t>
  </si>
  <si>
    <t>33 KV Isolator clamp suitable for Twin ACSR Zebra conductor</t>
  </si>
  <si>
    <t>33 KV CT clamp suitable for Twin ACSR Zebra conductor</t>
  </si>
  <si>
    <t>132 KV Isolator clamp for Zebra conductor</t>
  </si>
  <si>
    <t>33 KV CT Clamp  for zebra conductor</t>
  </si>
  <si>
    <t>132 Kv PT Old &amp; Used</t>
  </si>
  <si>
    <t>145KV CT 800/400/200/1A, Accuracy class 1 (old and used)</t>
  </si>
  <si>
    <t>VV6V507003</t>
  </si>
  <si>
    <t>132KV CVT Accuracy class 0.5  (old and used)</t>
  </si>
  <si>
    <t>33 KV Circuit breaker old and used</t>
  </si>
  <si>
    <t>SS4S402013</t>
  </si>
  <si>
    <t>33 Kv Isolator Blade (damaged)</t>
  </si>
  <si>
    <t>48 volt Battery set damaged</t>
  </si>
  <si>
    <t>YY1Y103001</t>
  </si>
  <si>
    <t xml:space="preserve">48 volt Battery charger damaged </t>
  </si>
  <si>
    <t>JJ0J005007</t>
  </si>
  <si>
    <t>33 Kv SF-6 Circuit breaker old &amp; used and totally damaged</t>
  </si>
  <si>
    <t>33 KV CT 800/400/1A (old &amp; Dismantled)</t>
  </si>
  <si>
    <t>ACSR  Zebra conductor in pics Unusable</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</si>
  <si>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</si>
  <si>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</si>
  <si>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</si>
  <si>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</si>
  <si>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</si>
  <si>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</si>
  <si>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</si>
  <si>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</si>
  <si>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</si>
  <si>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</si>
  <si>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</si>
  <si>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</si>
  <si>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</si>
  <si>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</si>
  <si>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</si>
  <si>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</si>
  <si>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</si>
  <si>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120 KN Disc Insulator old and used</t>
  </si>
  <si>
    <t xml:space="preserve">Deer conductor in pics Old and used </t>
  </si>
  <si>
    <t>mtr.</t>
  </si>
  <si>
    <t>C - wedge clamps Deer to panther Old &amp; used deteriorated</t>
  </si>
  <si>
    <t>33 KV CT Old and Used  (oil leakage)</t>
  </si>
  <si>
    <t>33 KV LA Old &amp; used and Defective</t>
  </si>
  <si>
    <t>Structure of 145KV PI, 120 KV LA, 33 Kv LA etc. old and used</t>
  </si>
  <si>
    <t>33 KV Isolator 1600A Old and used</t>
  </si>
  <si>
    <t>36 KV CT (3 core (1 Phase) 400/200/1A A/C  0.2S</t>
  </si>
  <si>
    <t>36 KV CT (3 core (1 Phase) 800/400/200/1A.  A/C  0.2S</t>
  </si>
  <si>
    <t>120KV LA</t>
  </si>
  <si>
    <t>145KV Isolator Blade  1250Amp.</t>
  </si>
  <si>
    <t>145KV Isolator Jaw with clamp  1250Amp.</t>
  </si>
  <si>
    <t>33KV Isolator Blade  1600Amp.</t>
  </si>
  <si>
    <t>33KV Isolator Jaws  1600Amp.</t>
  </si>
  <si>
    <t>145 KV CVT, 1-Ph. 0.2S/0.2 Accuracy class without Junction box.</t>
  </si>
  <si>
    <t>Power cable Aluminium (PVC),3.5 core,70 sqmm (rmoured)</t>
  </si>
  <si>
    <t>145 KV CT 50/1A A/c 0.2S</t>
  </si>
  <si>
    <t>36 Kv CT( 4 coe) 1600/800/400/1A A/c 0.2S</t>
  </si>
  <si>
    <t>Control Cable 10 X 2.5mm</t>
  </si>
  <si>
    <t>Control Cable 2 X 2.5mm</t>
  </si>
  <si>
    <t>Control Cable 4 X 2.5mm</t>
  </si>
  <si>
    <t>Control Cable 6 X 2.5mm</t>
  </si>
  <si>
    <t>33 KV PT (1 Ph) 3 Core 0.2/0.2S A/C Without JN Box</t>
  </si>
  <si>
    <t>Transformer oil</t>
  </si>
  <si>
    <t>PSDF Stock  Inventory</t>
  </si>
  <si>
    <t>132 KV Current Transformer 1 Ph (1600/800/400/1A)</t>
  </si>
  <si>
    <t>T&amp;P Inventory</t>
  </si>
  <si>
    <t>Alumminum leaders 20' long</t>
  </si>
  <si>
    <t>PP3P301001</t>
  </si>
  <si>
    <t xml:space="preserve">Sefety Helmet </t>
  </si>
  <si>
    <t>PP3P301006</t>
  </si>
  <si>
    <t>Sefety Belt Half Body</t>
  </si>
  <si>
    <t>Sefety Belt full Body</t>
  </si>
  <si>
    <t>PP3P301012</t>
  </si>
  <si>
    <t>Hand gloves</t>
  </si>
  <si>
    <t>Pair</t>
  </si>
  <si>
    <t>PP1P144008</t>
  </si>
  <si>
    <t>Earth discharge rod</t>
  </si>
  <si>
    <t xml:space="preserve">Rain coats </t>
  </si>
  <si>
    <t>Centor Table</t>
  </si>
  <si>
    <t>PP4P403003</t>
  </si>
  <si>
    <t xml:space="preserve">Double Bed </t>
  </si>
  <si>
    <t>Matress</t>
  </si>
  <si>
    <t>PP3P301008</t>
  </si>
  <si>
    <t>Gum Boot</t>
  </si>
  <si>
    <t>Table With both side drawer of size 5X3 feet</t>
  </si>
  <si>
    <t>PP4P431005</t>
  </si>
  <si>
    <t>Computer Table with one side drawer on steel frame</t>
  </si>
  <si>
    <t>PP4P401018</t>
  </si>
  <si>
    <t>Steel Almihra with 5 shelves (20-22 gauge)</t>
  </si>
  <si>
    <t>Steel Bench with 3 seats</t>
  </si>
  <si>
    <t>PP4P408020</t>
  </si>
  <si>
    <t>High back Executive chair</t>
  </si>
  <si>
    <t>PP4P408021</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</si>
  <si>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</si>
  <si>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</si>
  <si>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</si>
  <si>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</si>
  <si>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</si>
  <si>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</si>
  <si>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</si>
  <si>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</si>
  <si>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Earth resistance tester</t>
  </si>
  <si>
    <t>D - Spaner set (insulated), Ring spaner set (insulated) &amp; Torque wrench set complete with all standard size</t>
  </si>
  <si>
    <t>Leakage tester (tong type)</t>
  </si>
  <si>
    <t>SF - 6 gas refilling device</t>
  </si>
  <si>
    <t>Insulating Gloves</t>
  </si>
  <si>
    <t>Helmet</t>
  </si>
  <si>
    <t>Oil sampling Bottel stainless steel 02 Liter Capacity</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</si>
  <si>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</si>
  <si>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</si>
  <si>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</si>
  <si>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</si>
  <si>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</si>
  <si>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</si>
  <si>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</si>
  <si>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</si>
  <si>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</si>
  <si>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</si>
  <si>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</si>
  <si>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</si>
  <si>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</si>
  <si>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 xml:space="preserve"> Stock Inventory for the month of April. 2026</t>
  </si>
  <si>
    <t>Name of Zone</t>
  </si>
  <si>
    <t>Kumaon Zone</t>
  </si>
  <si>
    <t>132 KV Sub Station Almora</t>
  </si>
  <si>
    <t>Name of  circle</t>
  </si>
  <si>
    <t>Haldwani</t>
  </si>
  <si>
    <t>S.No.</t>
  </si>
  <si>
    <t>Code</t>
  </si>
  <si>
    <t>Name Of Material</t>
  </si>
  <si>
    <t xml:space="preserve">Unit </t>
  </si>
  <si>
    <t>CABLE</t>
  </si>
  <si>
    <t>CC0C002010</t>
  </si>
  <si>
    <t>6X2.5 sq mm  Control cable (in pieces)</t>
  </si>
  <si>
    <t>765</t>
  </si>
  <si>
    <t>10X2.5  sq mm Control cable (in pieces)</t>
  </si>
  <si>
    <t>CC4C401001</t>
  </si>
  <si>
    <t xml:space="preserve">H.F.  Cable </t>
  </si>
  <si>
    <t>PVC Multi stand Copper wire size 1.0 Sqmm</t>
  </si>
  <si>
    <t>METER</t>
  </si>
  <si>
    <t>MM3M302006</t>
  </si>
  <si>
    <t>Digital Ampere Meter size 150x150mm,CTR 400/1A</t>
  </si>
  <si>
    <t>3</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</si>
  <si>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</si>
  <si>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</si>
  <si>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</si>
  <si>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</si>
  <si>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</si>
  <si>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</si>
  <si>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</si>
  <si>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</si>
  <si>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</si>
  <si>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</si>
  <si>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</si>
  <si>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</si>
  <si>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</si>
  <si>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</si>
  <si>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</si>
  <si>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</si>
  <si>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</si>
  <si>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</si>
  <si>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</si>
  <si>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</si>
  <si>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</si>
  <si>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</si>
  <si>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</si>
  <si>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</si>
  <si>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</si>
  <si>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</si>
  <si>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</si>
  <si>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</si>
  <si>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</si>
  <si>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</si>
  <si>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</si>
  <si>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</si>
  <si>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</si>
  <si>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</si>
  <si>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10</t>
  </si>
  <si>
    <t xml:space="preserve">6 Bolted Terminal Connector  for ACSR Dog Conductorof 33KV Isolator </t>
  </si>
  <si>
    <t>6</t>
  </si>
  <si>
    <t>Heavy duty treminal connector 6 bolted for ACSR Panther Conductor for 132KV Isolator</t>
  </si>
  <si>
    <t>PG Clamp for Panther Conductor P/P</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</si>
  <si>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</si>
  <si>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</si>
  <si>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</si>
  <si>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</si>
  <si>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</si>
  <si>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</si>
  <si>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</si>
  <si>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</si>
  <si>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</si>
  <si>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</si>
  <si>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</si>
  <si>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</si>
  <si>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</si>
  <si>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</si>
  <si>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12</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</si>
  <si>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</si>
  <si>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</si>
  <si>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</si>
  <si>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</si>
  <si>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</si>
  <si>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 xml:space="preserve">1-Phase 230 Volt AC Spring Charge  Motor 33KV SF-6 Gas     </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</si>
  <si>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</si>
  <si>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</si>
  <si>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</si>
  <si>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</si>
  <si>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</si>
  <si>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</si>
  <si>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</si>
  <si>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</si>
  <si>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</si>
  <si>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</si>
  <si>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</si>
  <si>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Contractor NONC,Volt Coil 110V -125V,DC 25Amp,3No+3NC TC make</t>
  </si>
  <si>
    <t>Contractor for Low Gas Pressure 110 volt DC</t>
  </si>
  <si>
    <t>33KV 4.5 Amp. High Glass Fuse</t>
  </si>
  <si>
    <t>HRC Fuse 6 Amp. Havells/GE make</t>
  </si>
  <si>
    <t>SF-6 gas</t>
  </si>
  <si>
    <t>BATTERY CHARGER / PARTS</t>
  </si>
  <si>
    <t>Hydro Meter</t>
  </si>
  <si>
    <t>110V 60A, Battrey Charger</t>
  </si>
  <si>
    <t>2Volt ,200AH Lead -Acid battery (old&amp;Deff.)</t>
  </si>
  <si>
    <t>2Volt ,200AH battery (old&amp;Deff.)</t>
  </si>
  <si>
    <t>110 v,200AH,Battery charger (old&amp;Deff.)</t>
  </si>
  <si>
    <t>5</t>
  </si>
  <si>
    <t>22KV Post Insulator</t>
  </si>
  <si>
    <t>T/F</t>
  </si>
  <si>
    <t>Stainless steel T/F Oil Sampling Container of 2 Ltr. Capacity</t>
  </si>
  <si>
    <t>Fresh Electrol Transformer Oil as per IS 1993/335</t>
  </si>
  <si>
    <t>Kl.</t>
  </si>
  <si>
    <t>T/F oil</t>
  </si>
  <si>
    <t>Ltr.</t>
  </si>
  <si>
    <t>PRV for 20MVA Power T/F</t>
  </si>
  <si>
    <t>Silica Gel(best qulity 8-10 mm)</t>
  </si>
  <si>
    <t xml:space="preserve">Silica Gel </t>
  </si>
  <si>
    <t>WTI meter set complete as per sample</t>
  </si>
  <si>
    <t>Heavy  Duty Turn Buckle</t>
  </si>
  <si>
    <t>foam type fire extinguisher( old &amp; unuseable)</t>
  </si>
  <si>
    <t>Annuciator(microcontroller based alarm )</t>
  </si>
  <si>
    <t>M.S. Round 36 mm</t>
  </si>
  <si>
    <t>K.G.</t>
  </si>
  <si>
    <t>M.S. Channel 125X65 mm with (Scrap)</t>
  </si>
  <si>
    <t>K.G</t>
  </si>
  <si>
    <t>Rail Pieces 90 C+S</t>
  </si>
  <si>
    <t>ACSR Weasel Conductor</t>
  </si>
  <si>
    <t>GI Stay Set</t>
  </si>
  <si>
    <t>145 KV CVT (Old &amp; used dismental)</t>
  </si>
  <si>
    <t xml:space="preserve">145 KV Capacitive Voltage Transformer ( Old ) </t>
  </si>
  <si>
    <t xml:space="preserve">48 V.AFCO make Bettery Charger D.C., D.B. </t>
  </si>
  <si>
    <t>33 KV Bus Isolator (Incomplete)</t>
  </si>
  <si>
    <t xml:space="preserve">Empty Oil Drum </t>
  </si>
  <si>
    <t>1x5 Mvar Capacitor Bank Suitable for 33KV (Old &amp; Defective)</t>
  </si>
  <si>
    <t>0</t>
  </si>
  <si>
    <t>Single Phase reactors for Capacitor bank</t>
  </si>
  <si>
    <t xml:space="preserve">ACSR Zebra conductor </t>
  </si>
  <si>
    <t xml:space="preserve">ACSR Panther Conductor (Scrap &amp; Damage) </t>
  </si>
  <si>
    <t>K.M.</t>
  </si>
  <si>
    <t>0.783</t>
  </si>
  <si>
    <t>ACSR Zebra Conductor in cut pieces O/U</t>
  </si>
  <si>
    <t>INVENTORY ABSTRACT</t>
  </si>
  <si>
    <t>AMOUNT</t>
  </si>
  <si>
    <t>USABLE</t>
  </si>
  <si>
    <t>AUCTIONABLE</t>
  </si>
  <si>
    <t>Name of Circle/ Zone :- Haldwani / Kumaon                                                                                                                                                 Name of Substation :- 132 KV S/s Bageshwar</t>
  </si>
  <si>
    <t>Name of  Division:- O&amp;M Almora                                                                                                                                                                                                   Month : April- 2026</t>
  </si>
  <si>
    <t xml:space="preserve"> Stock &amp; T&amp;P  Material Up To : 22 April 2026 of Sri Mukesh Kumar Pandey J.E.  At 132 KV Substation Bageshwar</t>
  </si>
  <si>
    <t>S.n.</t>
  </si>
  <si>
    <t xml:space="preserve">Item Description </t>
  </si>
  <si>
    <t>Quantity</t>
  </si>
  <si>
    <t>Book Value per Unit</t>
  </si>
  <si>
    <t>Unservicable</t>
  </si>
  <si>
    <t>Non Moving</t>
  </si>
  <si>
    <t>VV2V204001</t>
  </si>
  <si>
    <t>Transformer Oil</t>
  </si>
  <si>
    <t>FF4F403007</t>
  </si>
  <si>
    <t>Flexible Copper Bond for Earthing</t>
  </si>
  <si>
    <t>LL5L501005</t>
  </si>
  <si>
    <t xml:space="preserve">Control Room and other indore area LED Lights </t>
  </si>
  <si>
    <t>SS7S702001</t>
  </si>
  <si>
    <t>Defective 16 A SINGLE POLE MCB</t>
  </si>
  <si>
    <t>Defective BAJAJ BZRSQL 36W GZI (LED CEILING PANEL Light)</t>
  </si>
  <si>
    <t>LL5L501006</t>
  </si>
  <si>
    <t>Defective BAJAJ 13975 BI PC       ( LED   Tubelight)</t>
  </si>
  <si>
    <t>Defective BAJAJ BCLAB ( LED Tubelight)</t>
  </si>
  <si>
    <t>LL5L501001</t>
  </si>
  <si>
    <t>Defective &amp; Damaged FLOOD LIGHT FIXTURE WITH ALUMINIUM ENCLOSURE</t>
  </si>
  <si>
    <t>DD0D007026</t>
  </si>
  <si>
    <t>Defective Cartridge for Printer</t>
  </si>
  <si>
    <t>ZZ2Z005003</t>
  </si>
  <si>
    <t>Defective Set of Filters (1 No. Lube oil,fuel &amp;Air ckt)</t>
  </si>
  <si>
    <t>Set.</t>
  </si>
  <si>
    <t>MM2M202017</t>
  </si>
  <si>
    <t>Defective VOLTMETER ANALOG TYPE 110V DC (300-0-300V)</t>
  </si>
  <si>
    <t>TT1T101018</t>
  </si>
  <si>
    <t xml:space="preserve">Defective 120 AH 12 V Lead Acid Battery </t>
  </si>
  <si>
    <t xml:space="preserve">Defective &amp; Damaged120 AH 12 V Lead Acid Battery </t>
  </si>
  <si>
    <t>Defective  LED CEILING PANEL Light</t>
  </si>
  <si>
    <t>LL5L501004</t>
  </si>
  <si>
    <t>Defective Street Lighting LED Light</t>
  </si>
  <si>
    <t>Defective &amp; Damaged High water temp. safety controller</t>
  </si>
  <si>
    <t xml:space="preserve"> Old &amp; Used 33 KV GIS Type single phase current transformers  (CT Ratio400-200-100/1) </t>
  </si>
  <si>
    <t>VV2V210002</t>
  </si>
  <si>
    <t xml:space="preserve">Defective 80 mm NB Butterfly Valve </t>
  </si>
  <si>
    <t>Damaged 132 kv LA AIS Type ( Broken In pieces)</t>
  </si>
  <si>
    <t>Damaged 132 kv CVT AIS Type ( Broken In pieces)</t>
  </si>
  <si>
    <t>FF0F050030</t>
  </si>
  <si>
    <t xml:space="preserve">Damaged 132 kv  CVT &amp; LA  Structure AIS Type </t>
  </si>
  <si>
    <t>FF2F204002</t>
  </si>
  <si>
    <t>Damaged &amp; Bended M.S. angle &amp; pipe Bar</t>
  </si>
  <si>
    <t>NN5N504003</t>
  </si>
  <si>
    <t>Defective AC Input Contactor</t>
  </si>
  <si>
    <t>Defective Auxilliary Contactor</t>
  </si>
  <si>
    <t>Damaged Solenaid coil assembly</t>
  </si>
  <si>
    <t>3 Bolted PG Clamp Panther to Panther</t>
  </si>
  <si>
    <t>P G Clamp Suitable for Single Zebra ACSR</t>
  </si>
  <si>
    <t>132 KV Tee Connector Suitable for Single Panther ACSR</t>
  </si>
  <si>
    <t>132 KV Tee Connector Suitable for Single Zebra ACSR</t>
  </si>
  <si>
    <t>33 KV Tee Connector Suitable for Single Zebra ACSR</t>
  </si>
  <si>
    <t>Online Leakage Arrester Kit</t>
  </si>
  <si>
    <t>Silica Gel (In Blue Colour)</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</si>
  <si>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</si>
  <si>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</si>
  <si>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</si>
  <si>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</si>
  <si>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</si>
  <si>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</si>
  <si>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</si>
  <si>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</si>
  <si>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</si>
  <si>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</si>
  <si>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Digital Multimeter</t>
  </si>
  <si>
    <t>PP2P203003</t>
  </si>
  <si>
    <t>Leakage teaster (tong type)</t>
  </si>
  <si>
    <t>PP1P126005</t>
  </si>
  <si>
    <t>Selective level meter</t>
  </si>
  <si>
    <t>NN5N506012</t>
  </si>
  <si>
    <t>Signal Generator</t>
  </si>
  <si>
    <t>PP1P126023</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</si>
  <si>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</si>
  <si>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</si>
  <si>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</si>
  <si>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</si>
  <si>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</si>
  <si>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</si>
  <si>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</si>
  <si>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</si>
  <si>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</si>
  <si>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</si>
  <si>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</si>
  <si>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</si>
  <si>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</si>
  <si>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</si>
  <si>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</si>
  <si>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</si>
  <si>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</si>
  <si>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mtr</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</si>
  <si>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</si>
  <si>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</si>
  <si>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</si>
  <si>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</si>
  <si>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</si>
  <si>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</si>
  <si>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</si>
  <si>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</si>
  <si>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</si>
  <si>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</si>
  <si>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</si>
  <si>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</si>
  <si>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</si>
  <si>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</si>
  <si>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ZZ3Z006001</t>
  </si>
  <si>
    <t xml:space="preserve">Gas Mask </t>
  </si>
  <si>
    <t>PP1P126027</t>
  </si>
  <si>
    <t>Primary Injection Set 1000Amp</t>
  </si>
  <si>
    <t>PP4P426005</t>
  </si>
  <si>
    <t>Table T-9</t>
  </si>
  <si>
    <t>Computer Table Stylo</t>
  </si>
  <si>
    <t>PP4P408023</t>
  </si>
  <si>
    <t>Bravo Revolving Mid Back</t>
  </si>
  <si>
    <t>PP4P409005</t>
  </si>
  <si>
    <t>Bravo Visitor Chair</t>
  </si>
  <si>
    <t>Chair Diva 704GR</t>
  </si>
  <si>
    <t>PP4P402004</t>
  </si>
  <si>
    <t>Storewel KD Plain (4 Shelves)</t>
  </si>
  <si>
    <t>PP4P402002</t>
  </si>
  <si>
    <t>4 Drawers Vertical Filling Cabinets</t>
  </si>
  <si>
    <t>PP4P414001</t>
  </si>
  <si>
    <t>4 Door Book Case</t>
  </si>
  <si>
    <t>KD Plain (4 Shelves)</t>
  </si>
  <si>
    <t>PP4P426006</t>
  </si>
  <si>
    <t>Table T-8</t>
  </si>
  <si>
    <t>PP4P428002</t>
  </si>
  <si>
    <t xml:space="preserve">Senate Conference Table </t>
  </si>
  <si>
    <t>DD1D101015</t>
  </si>
  <si>
    <t>CPU Trolly</t>
  </si>
  <si>
    <t>PP4P428001</t>
  </si>
  <si>
    <t>Conference Table Talk 10 Seater Boat Convex</t>
  </si>
  <si>
    <t>Conference Chair Kareena (PCH 9P02TC)</t>
  </si>
  <si>
    <t>PP4P426007</t>
  </si>
  <si>
    <t>Pisa CPR CT 03</t>
  </si>
  <si>
    <t>PP4P401001</t>
  </si>
  <si>
    <t>Slim Line with Locker</t>
  </si>
  <si>
    <t>PP4P404002</t>
  </si>
  <si>
    <t>Premium Lounge Sofa 2 str</t>
  </si>
  <si>
    <t>PP4P403001</t>
  </si>
  <si>
    <t>Eudora King Bed</t>
  </si>
  <si>
    <t>PP4P430001</t>
  </si>
  <si>
    <t xml:space="preserve"> Dressing Table with stool</t>
  </si>
  <si>
    <t>PP4P417003</t>
  </si>
  <si>
    <t>Pillo Apollo (43*69 cm)</t>
  </si>
  <si>
    <t>PP4P420001</t>
  </si>
  <si>
    <t>Blanket (@ 12%)</t>
  </si>
  <si>
    <t>PP4P419001</t>
  </si>
  <si>
    <t>Bed Sheet (@ 5%)</t>
  </si>
  <si>
    <t>PP4P415003</t>
  </si>
  <si>
    <t>PP4P411002</t>
  </si>
  <si>
    <t xml:space="preserve">Cushion Stool rev. w/o Back </t>
  </si>
  <si>
    <t>PP4P433005</t>
  </si>
  <si>
    <t>T-102</t>
  </si>
  <si>
    <t>PP4P434001</t>
  </si>
  <si>
    <t>Matrix 3 Seater Common arm W/O Chushion</t>
  </si>
  <si>
    <t>Syncronizing Trolley</t>
  </si>
  <si>
    <t>Moveable Ladder of Suitable Capicity for 132KV&amp;33 KV GIS room.</t>
  </si>
  <si>
    <t>Stock &amp; T&amp;P Material Up To: 22 April -2026 of Sri Chandra Shekhar Bhatt JE  132 Kv Ranikhet-Bageshwar Line</t>
  </si>
  <si>
    <t>Kmtrs</t>
  </si>
  <si>
    <t>Four Bolted PG Clamp For ACSR Panther To Panther Conductor</t>
  </si>
  <si>
    <t>120 KN Disc Insualtor</t>
  </si>
  <si>
    <t>Tension Fitting (120 kn) for Panther conductor complete</t>
  </si>
  <si>
    <t>Mid Span Joint for Panther conductor</t>
  </si>
  <si>
    <t>Reparing Sleve for Panther</t>
  </si>
  <si>
    <t xml:space="preserve">Mid Span Joint for Earth Wire </t>
  </si>
  <si>
    <t>Damage and Broken DB Type tpwer cross arm pieces</t>
  </si>
  <si>
    <t>kg</t>
  </si>
  <si>
    <t>Double tension fitting 120 KN Panther</t>
  </si>
  <si>
    <t>Single tension fitting 120 KN Panther</t>
  </si>
  <si>
    <t>Tension Fitting for GI Earthwire</t>
  </si>
  <si>
    <t>ACSR Panther Conductor(Damaged)</t>
  </si>
  <si>
    <t>Damage and Broken GI tower pieces</t>
  </si>
  <si>
    <t>Disc Insulator</t>
  </si>
  <si>
    <t>FF0F050031</t>
  </si>
  <si>
    <t>Damage &amp; broken GI gantry Pieces</t>
  </si>
  <si>
    <t>FF0F050044</t>
  </si>
  <si>
    <t>DCR type Tower cross arm pieces</t>
  </si>
  <si>
    <t>T&amp;P at 132 KV Substation Bageshwar (Line)</t>
  </si>
  <si>
    <t>PP0P015015</t>
  </si>
  <si>
    <t>Polymide or Braided white nylon rope 12 mm</t>
  </si>
  <si>
    <t>Polymide or Braided white nylon rope 14 mm</t>
  </si>
  <si>
    <t>Bolted type come along clamp 7 bolts for ACSR Panther conductor</t>
  </si>
  <si>
    <t>Come along clamp 4 bolted type suitable for 7/10 earth wire</t>
  </si>
  <si>
    <t>PP0P021012</t>
  </si>
  <si>
    <t>Single sleeve pully open type 5 ton capacity</t>
  </si>
  <si>
    <t>PP0P021008</t>
  </si>
  <si>
    <t>Double sleeve pully open type 5 ton capacity</t>
  </si>
  <si>
    <t>12 MM Steel rope</t>
  </si>
  <si>
    <t>D-Shackle 3 ton</t>
  </si>
  <si>
    <t>D-Shackle 6.5 ton</t>
  </si>
  <si>
    <t>Helmet yellow</t>
  </si>
  <si>
    <t>Sefety belt PN 17 full body</t>
  </si>
  <si>
    <t>PP0P015003</t>
  </si>
  <si>
    <t>Poly propylene rope 24 mm ,220 Mtr.</t>
  </si>
  <si>
    <t>Bundle</t>
  </si>
  <si>
    <t>PP0P015008</t>
  </si>
  <si>
    <t>Poly propylene rope 20 mm ,220 Mtr.</t>
  </si>
  <si>
    <t>PP0P017010</t>
  </si>
  <si>
    <t>Steel rope endless siling 10 ton capacity 1.5 mtr.</t>
  </si>
  <si>
    <t>PP0P017008</t>
  </si>
  <si>
    <t>Steel rope endless siling 10 ton capacity 3 mtr</t>
  </si>
  <si>
    <t>Name of Circle/ Zone :- Haldwani/Kumaon                                                                                                                                 Name of Substation :-220  KV S/s Haldwani</t>
  </si>
  <si>
    <t>Name of  Division:- 220 KV O&amp;M Haldwani                                                                                                                                                                       Month : 30 April 2026</t>
  </si>
  <si>
    <t xml:space="preserve"> Physical Stock Material upto 30 April- 2026 of Sri Naveen Chandra Arya  J.E.  At 220  KV Sub Division Haldwani</t>
  </si>
  <si>
    <t>S.N.</t>
  </si>
  <si>
    <t>Unservi
cable</t>
  </si>
  <si>
    <t>Non 
Moving</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</si>
  <si>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</si>
  <si>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</si>
  <si>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</si>
  <si>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</si>
  <si>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</si>
  <si>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</si>
  <si>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</si>
  <si>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Cumalong Clamp</t>
  </si>
  <si>
    <t>Isolator connector for trumtulla</t>
  </si>
  <si>
    <t>TER Bushing CT 3 core</t>
  </si>
  <si>
    <t>NEUTRAL BUSHING CT 1 CORE</t>
  </si>
  <si>
    <t>Current Transformar Nutral bushing (Old &amp; Used)</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</si>
  <si>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</si>
  <si>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</si>
  <si>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</si>
  <si>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</si>
  <si>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</si>
  <si>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</si>
  <si>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</si>
  <si>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</si>
  <si>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</si>
  <si>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</si>
  <si>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Lighting Arrestor 220 KV new PSDF</t>
  </si>
  <si>
    <t>KK4K401003</t>
  </si>
  <si>
    <t>Post Insulator Solid core - 145 KV</t>
  </si>
  <si>
    <t>NO</t>
  </si>
  <si>
    <t>II0I002001</t>
  </si>
  <si>
    <t>Disc Insulator  70KN</t>
  </si>
  <si>
    <t>II8I801004</t>
  </si>
  <si>
    <t>Single Tension Fitting   Zebra</t>
  </si>
  <si>
    <t>II8I804004</t>
  </si>
  <si>
    <t>Single Tension H/W Fitting for Zebra</t>
  </si>
  <si>
    <t>Single Tension W/O Jumper</t>
  </si>
  <si>
    <t>FF0F002007</t>
  </si>
  <si>
    <t>FF4F402025</t>
  </si>
  <si>
    <t>HOT dipped Galvanised-16x45 mm</t>
  </si>
  <si>
    <t>FF4F402024</t>
  </si>
  <si>
    <t>HOT dipped Galvanised-16x40 mm Nut bolt</t>
  </si>
  <si>
    <t>VV1V102005</t>
  </si>
  <si>
    <t xml:space="preserve"> Transformer  Bushing  40 MVA</t>
  </si>
  <si>
    <t>VV1V102004</t>
  </si>
  <si>
    <t xml:space="preserve"> Transformer  Bushing 220</t>
  </si>
  <si>
    <t xml:space="preserve"> Transformer  Bushing  132</t>
  </si>
  <si>
    <t>GI Earth wire 7/9 swg</t>
  </si>
  <si>
    <t>FF7F702003</t>
  </si>
  <si>
    <t>MS Flat- 50x6mm</t>
  </si>
  <si>
    <t>Intermediate upright with cleat</t>
  </si>
  <si>
    <t>Stay with cleat</t>
  </si>
  <si>
    <t>FF8F802001</t>
  </si>
  <si>
    <t xml:space="preserve">Rail- 105 LBS </t>
  </si>
  <si>
    <t>MSC Joint for zebra</t>
  </si>
  <si>
    <t>YY1Y101005</t>
  </si>
  <si>
    <t>Battery Cell 2 V   300AH  lead acid (Damage)</t>
  </si>
  <si>
    <t>NN2N205001</t>
  </si>
  <si>
    <t>C&amp;R PANEL - 33 KV - Control relay panel tripple feedar -( old &amp; defective )</t>
  </si>
  <si>
    <t>no</t>
  </si>
  <si>
    <t>JJ8J802001</t>
  </si>
  <si>
    <t>Empty Cylinder  10 KG Scrap</t>
  </si>
  <si>
    <t>132KV Control relay panel old &amp; Scrap</t>
  </si>
  <si>
    <t>ACDB (Old &amp; Scrap)</t>
  </si>
  <si>
    <t>DCDB (Old &amp; Scrap)</t>
  </si>
  <si>
    <t>70 kn DISC Insulator</t>
  </si>
  <si>
    <t>Street light old &amp; used &amp; Scrap fitting</t>
  </si>
  <si>
    <t>Battery Bank 2V*55 No 300 AH (Old &amp; Scrap)</t>
  </si>
  <si>
    <t>Transformer Oil (Old &amp; used)</t>
  </si>
  <si>
    <t>Transformer Oil Drum (Old &amp; used)</t>
  </si>
  <si>
    <t>2.5 PVC Control Cable  - Armoured Control Cable (10 core)</t>
  </si>
  <si>
    <t>Alstom S/C-1 Haldwani SEB Panel (old &amp; used)</t>
  </si>
  <si>
    <t xml:space="preserve"> No.</t>
  </si>
  <si>
    <t>Distance Protection for Haldwani-Il (old &amp; used)</t>
  </si>
  <si>
    <t xml:space="preserve">
RTV-I Alstom Haldwani (old &amp; used)</t>
  </si>
  <si>
    <t>220 KV Substation Feeder Relay Panei-in Haldwani (Scrap)</t>
  </si>
  <si>
    <t>Synchro Ning Panel (Scrap)</t>
  </si>
  <si>
    <t>Pin Insulator (Scrap)</t>
  </si>
  <si>
    <t>IBS Rail (Scrap)</t>
  </si>
  <si>
    <t xml:space="preserve"> Kg.</t>
  </si>
  <si>
    <t>Surge Counter (Scrap)</t>
  </si>
  <si>
    <t>Chemical Fire ending fome Type Cylinder (Scrap)</t>
  </si>
  <si>
    <t>SF-6 Cylinder 05 Kg (Scrap)</t>
  </si>
  <si>
    <t xml:space="preserve"> No</t>
  </si>
  <si>
    <t>Silica Gel Breather (Scrap)</t>
  </si>
  <si>
    <t>MW Meter (Scrap)</t>
  </si>
  <si>
    <t>MVAR, Meter (Scrap)</t>
  </si>
  <si>
    <t>KV Meter (Scrap)</t>
  </si>
  <si>
    <t>Energy Meter (Scrap)</t>
  </si>
  <si>
    <t>Tep Changer Meter (Scrap)</t>
  </si>
  <si>
    <t>Amp. Meter (Scrap)</t>
  </si>
  <si>
    <t>Digital Panel Meter (MTC) (Scrap)</t>
  </si>
  <si>
    <t>Street Light (Scrap)</t>
  </si>
  <si>
    <t>Starter Three Phase (Scrap)</t>
  </si>
  <si>
    <t>Lugs. (Scrap)</t>
  </si>
  <si>
    <t>Mechanical Relay (Scrap)</t>
  </si>
  <si>
    <t>10 Core 2.5 09 mm cable old &amp; Used (Scrap)</t>
  </si>
  <si>
    <t>LA 132 KV Scrap (Scrap)</t>
  </si>
  <si>
    <t>Hydent Pipe Scrap Meter (Scrap)</t>
  </si>
  <si>
    <t>Hydent Scrap Iron (Scrap)</t>
  </si>
  <si>
    <t>Isolater pad clamps (Zebra)</t>
  </si>
  <si>
    <t>CT Clamps (Zebra)</t>
  </si>
  <si>
    <t>Circuit Breaker (Zebra)</t>
  </si>
  <si>
    <t>CRC</t>
  </si>
  <si>
    <t>Total (A)-</t>
  </si>
  <si>
    <t>220 KV S/s Kamluwaganja:- (N.C.Arya) CAPITAL STOCK</t>
  </si>
  <si>
    <t>JJ0J003001</t>
  </si>
  <si>
    <t>Circuit Breaker   132KV   SF-6 old &amp; used Scrap</t>
  </si>
  <si>
    <t>JJ0J005002</t>
  </si>
  <si>
    <t>Circuit Breaker    33KV    old &amp; used scrap</t>
  </si>
  <si>
    <t>VV8V810003</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</si>
  <si>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</si>
  <si>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</si>
  <si>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</si>
  <si>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</si>
  <si>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</si>
  <si>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</si>
  <si>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</si>
  <si>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</si>
  <si>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Earth wire &amp; hard wire old and Defective</t>
  </si>
  <si>
    <t>220 KV PT class 0.2</t>
  </si>
  <si>
    <t>132 KV CT 1200/800/1 class-0.2</t>
  </si>
  <si>
    <t>132 KV CT 800/400/1 class-0.2</t>
  </si>
  <si>
    <t>132 KV CT 400/200/1 class-0.2</t>
  </si>
  <si>
    <t>132 Kv CVT 132/110 verson 100 Va</t>
  </si>
  <si>
    <t>Battery Bank 300 AH 110 Volt</t>
  </si>
  <si>
    <t xml:space="preserve"> Set.</t>
  </si>
  <si>
    <t>Battery Charger 110 Volt 300 Ah</t>
  </si>
  <si>
    <t>Total -</t>
  </si>
  <si>
    <r>
      <t>Armoured control cable 10Cx2.5mm</t>
    </r>
    <r>
      <rPr>
        <vertAlign val="superscript"/>
        <sz val="12"/>
        <color theme="1"/>
        <rFont val="Calibri"/>
        <family val="2"/>
        <scheme val="minor"/>
      </rPr>
      <t>2</t>
    </r>
  </si>
  <si>
    <r>
      <t>Armoured control cable 4Cx2.5mm</t>
    </r>
    <r>
      <rPr>
        <vertAlign val="superscript"/>
        <sz val="12"/>
        <color theme="1"/>
        <rFont val="Calibri"/>
        <family val="2"/>
        <scheme val="minor"/>
      </rPr>
      <t>3</t>
    </r>
    <r>
      <rPr>
        <sz val="11"/>
        <color theme="1"/>
        <rFont val="Calibri"/>
        <family val="2"/>
        <scheme val="minor"/>
      </rPr>
      <t/>
    </r>
  </si>
  <si>
    <r>
      <t>Armoured control cable 2Cx2.5mm</t>
    </r>
    <r>
      <rPr>
        <vertAlign val="superscript"/>
        <sz val="12"/>
        <color theme="1"/>
        <rFont val="Calibri"/>
        <family val="2"/>
        <scheme val="minor"/>
      </rPr>
      <t>4</t>
    </r>
    <r>
      <rPr>
        <sz val="11"/>
        <color theme="1"/>
        <rFont val="Calibri"/>
        <family val="2"/>
        <scheme val="minor"/>
      </rPr>
      <t/>
    </r>
  </si>
  <si>
    <r>
      <rPr>
        <sz val="12"/>
        <color indexed="8"/>
        <rFont val="Calibri"/>
        <family val="2"/>
      </rPr>
      <t>BȽ</t>
    </r>
    <r>
      <rPr>
        <sz val="12"/>
        <color indexed="8"/>
        <rFont val="Arial"/>
        <family val="2"/>
      </rPr>
      <t>0 Type structure B type off size</t>
    </r>
  </si>
  <si>
    <t>Substation Stock Inventory Status for the month of April 2026</t>
  </si>
  <si>
    <t>Name of Circle/ Zone:- Kumaon Zone</t>
  </si>
  <si>
    <t>Name of Division:- 220 KV O&amp;M Division Pantnagar</t>
  </si>
  <si>
    <t>Name of Substation 220 KV Substation Pantnagar</t>
  </si>
  <si>
    <t>Name of Sub-Division:- 220 KV Sub-Division Pantnagar</t>
  </si>
  <si>
    <t>Month of April 2026</t>
  </si>
  <si>
    <t>Item Description</t>
  </si>
  <si>
    <t>Unit Rate in Rs.</t>
  </si>
  <si>
    <t>Dismantle/Incomplete/ Damage/Unservicable</t>
  </si>
  <si>
    <t>ACSR Conductor Moose</t>
  </si>
  <si>
    <t>ACSR Conductor Zebra</t>
  </si>
  <si>
    <t>ACSR Conductor Panther</t>
  </si>
  <si>
    <t>GI Earth Wire</t>
  </si>
  <si>
    <t>OPGW</t>
  </si>
  <si>
    <t>AA3A301004</t>
  </si>
  <si>
    <t>IPS Aluminium Tube 4"</t>
  </si>
  <si>
    <t>Earth wire &amp; Fitting Scrap</t>
  </si>
  <si>
    <t>Empty earth wire drum</t>
  </si>
  <si>
    <t>BB0B002002</t>
  </si>
  <si>
    <t>Capacitor Cell-  331kvar, 6.9kv</t>
  </si>
  <si>
    <t>PVC Control Cable  - W/o Armoured- 10x2.5mm</t>
  </si>
  <si>
    <t>PVC Control Cable  - W/o Armoured- 2x2.5mm</t>
  </si>
  <si>
    <t>CC1C103012</t>
  </si>
  <si>
    <t>Power Cable - 440V LT - - 3.5x35 Sq. mm</t>
  </si>
  <si>
    <t>CC2C201001</t>
  </si>
  <si>
    <t>HF Cable -75 Ohm HP CABLE-</t>
  </si>
  <si>
    <t>FF0F033006</t>
  </si>
  <si>
    <t>Stub for 132KV D/c  B Type</t>
  </si>
  <si>
    <t>FF0F042008</t>
  </si>
  <si>
    <t>Template A Type for 220KV Single Circuit</t>
  </si>
  <si>
    <t>FF0F050002</t>
  </si>
  <si>
    <t>Strcture- Pipe</t>
  </si>
  <si>
    <t>FF0F050028</t>
  </si>
  <si>
    <t>Strcture-HT</t>
  </si>
  <si>
    <t>FF0F050029</t>
  </si>
  <si>
    <t>Strcture-MT</t>
  </si>
  <si>
    <t>FF0F050042</t>
  </si>
  <si>
    <t>Strcture-33KV Isolator</t>
  </si>
  <si>
    <t>Tower Parts- GI</t>
  </si>
  <si>
    <t>Tower Parts- GI (220KV)</t>
  </si>
  <si>
    <t>Tower Parts- GI (132KV)</t>
  </si>
  <si>
    <t>Gantry -GI (132KV)</t>
  </si>
  <si>
    <t>Galvanised Nuts &amp; Bolts-12x70 mm</t>
  </si>
  <si>
    <t>FF4F401044</t>
  </si>
  <si>
    <t>Galvanised Nuts &amp; Bolts-12x50 mm</t>
  </si>
  <si>
    <t>Galvanised Nuts &amp; Bolts-10X70 mm</t>
  </si>
  <si>
    <t>FF4F401054</t>
  </si>
  <si>
    <t>Galvanised Nuts &amp; Bolts-10X50 mm</t>
  </si>
  <si>
    <t>HOT dipped Galvanised-16x45 mm/ (5/8"x1*3/4</t>
  </si>
  <si>
    <t>FF1F101027</t>
  </si>
  <si>
    <t>HOT dipped Galvanised-16x35 mm</t>
  </si>
  <si>
    <t>FF9F904003</t>
  </si>
  <si>
    <t>Copper -Bond Round</t>
  </si>
  <si>
    <t>132 KV Line Fitting old &amp; used</t>
  </si>
  <si>
    <t>GG0G001001</t>
  </si>
  <si>
    <t>Maintenance material Petrolleum Jelly</t>
  </si>
  <si>
    <t>GG0G001003</t>
  </si>
  <si>
    <t>Maintenance material CRC 400 ML Bottle</t>
  </si>
  <si>
    <t>GG0G001007</t>
  </si>
  <si>
    <t>Maintenance material Grease</t>
  </si>
  <si>
    <t>220 KV Isolator Male Arm</t>
  </si>
  <si>
    <t>220 KV Isolator Female Arm</t>
  </si>
  <si>
    <t>SS0S002001</t>
  </si>
  <si>
    <t>220 KV Isolator (old &amp; used)</t>
  </si>
  <si>
    <t>SS0S005003</t>
  </si>
  <si>
    <t>Bus Isolator 33 KV 800 Amp Double break without Earth switch</t>
  </si>
  <si>
    <t>132 KV Isolator Spare Blade Male contact</t>
  </si>
  <si>
    <t>132 KV Isolator Spare Blade Female Contact</t>
  </si>
  <si>
    <t>SS4S402001</t>
  </si>
  <si>
    <t>33 KV Isolater Spare Jaws  800 Amp.</t>
  </si>
  <si>
    <t>33 KV Isolater Spare Blade  800 Amp.</t>
  </si>
  <si>
    <t>SS5S501002</t>
  </si>
  <si>
    <t>Isolator Clamp  Rigid terminal connector 4" AL tube  (33KV)</t>
  </si>
  <si>
    <t>SS5S501003</t>
  </si>
  <si>
    <t>Isolator Clamp  Through type for 4” IPS Al tube (132KV)</t>
  </si>
  <si>
    <t>SS5S501008</t>
  </si>
  <si>
    <t>Isolator Clamp  Twin moose</t>
  </si>
  <si>
    <t>SS5S501009</t>
  </si>
  <si>
    <t>Isolator Clamp  Single moose</t>
  </si>
  <si>
    <t>132 KV Isolater Spare 1600 A Blade Male contact</t>
  </si>
  <si>
    <t>132 KV Isolater Spare 1600 A Blade Female Contact</t>
  </si>
  <si>
    <t>220 KV Isolator clamp for moose to 30 mm</t>
  </si>
  <si>
    <t>132 KV Isolator clamp for Moose to 40 mm</t>
  </si>
  <si>
    <t>33 KV Isolater Spare Blade 1600 Amp.</t>
  </si>
  <si>
    <t>33 KV Isolater Spare Jaws  1600 Amp.</t>
  </si>
  <si>
    <t>4" IPS Tube Clamp for Single Moose</t>
  </si>
  <si>
    <t>Aluminium Scrap(Burnt Clamp/Isolator Jaw/blade)</t>
  </si>
  <si>
    <t>Aluminium Scrap (220KV Burnt Isolator)</t>
  </si>
  <si>
    <t>Copper Scrap (33KV Burnt Isolator)</t>
  </si>
  <si>
    <t>Copper Scrap (220KV Burnt Isolator Arm)</t>
  </si>
  <si>
    <t>Disc Insulator  160 KN   Porceline</t>
  </si>
  <si>
    <t>Disc Insulator  120 KN   Porceline</t>
  </si>
  <si>
    <t>Disc Insulator   70 KN</t>
  </si>
  <si>
    <t>220KV Old Disc Insulator</t>
  </si>
  <si>
    <t>132KV Old Disc Insulator</t>
  </si>
  <si>
    <t>II0I001002</t>
  </si>
  <si>
    <t>Disc Insulator Polymer 160 KN</t>
  </si>
  <si>
    <t>II0I003001</t>
  </si>
  <si>
    <t>PG Clamp  Moose-  Moose</t>
  </si>
  <si>
    <t>C-wedge Clamp  Moose-  Moose</t>
  </si>
  <si>
    <t>C-wedge Clamp  Zebra-  Zebra</t>
  </si>
  <si>
    <t>C-wedge Clamp  Zebra-  Panther</t>
  </si>
  <si>
    <t>C-wedge Clamp  Panther-  Panther</t>
  </si>
  <si>
    <t>II1I107001</t>
  </si>
  <si>
    <t>T-Connector   Moose-  Moose</t>
  </si>
  <si>
    <t>Earth Wire Tension Clamp   7/9 SWG</t>
  </si>
  <si>
    <t>II2I203001</t>
  </si>
  <si>
    <t>Earth Wire Suspension Clamp   7/9 SWG</t>
  </si>
  <si>
    <t>II3I301001</t>
  </si>
  <si>
    <t>Moose Conductor Mid Span Joint</t>
  </si>
  <si>
    <t>II3I301003</t>
  </si>
  <si>
    <t>Mid Span Joint Zebra</t>
  </si>
  <si>
    <t>Mid Span Joint Panther</t>
  </si>
  <si>
    <t>II3I301008</t>
  </si>
  <si>
    <t>Mid Span Joint   7/9 SWG</t>
  </si>
  <si>
    <t>Mid Span Joint   7/10 SWG</t>
  </si>
  <si>
    <t>II3I302001</t>
  </si>
  <si>
    <t>Repair Sleeve   Moose</t>
  </si>
  <si>
    <t>II3I302003</t>
  </si>
  <si>
    <t>Repair Sleeve Zebra</t>
  </si>
  <si>
    <t>Repair Sleeve   7/10 SWG</t>
  </si>
  <si>
    <t>II3I303003</t>
  </si>
  <si>
    <t>Vibration Damper Zebra</t>
  </si>
  <si>
    <t>Vibration Damper Panther</t>
  </si>
  <si>
    <t>II3I303008</t>
  </si>
  <si>
    <t>Vibration Damper 7/9 SWG</t>
  </si>
  <si>
    <t>Vibration Damper 7/10 SWG</t>
  </si>
  <si>
    <t>Bird guard</t>
  </si>
  <si>
    <t>Armour Rod   Panther</t>
  </si>
  <si>
    <t>II7I704004</t>
  </si>
  <si>
    <t>Spacers Twin Moose</t>
  </si>
  <si>
    <t>II5I501004</t>
  </si>
  <si>
    <t>Single Tension Fitting   Panther</t>
  </si>
  <si>
    <t>II5I501009</t>
  </si>
  <si>
    <t>Single Tension Fitting   7/9 SWG</t>
  </si>
  <si>
    <t>Single Tension Fitting   7/10 SWG</t>
  </si>
  <si>
    <t>II5I502004</t>
  </si>
  <si>
    <t>Double Tension Fitting   Zebra</t>
  </si>
  <si>
    <t>Double Tension Fitting   Panther</t>
  </si>
  <si>
    <t>II5I504004</t>
  </si>
  <si>
    <t>Single Suspension Fitting   Zebra</t>
  </si>
  <si>
    <t>Single Suspension Fitting   7/10 SWG</t>
  </si>
  <si>
    <t>Pilot fitting for Zebra</t>
  </si>
  <si>
    <t>Bolted tension fitting for ACSR Moose</t>
  </si>
  <si>
    <t>Bolted tension fitting for ACSR Zebra</t>
  </si>
  <si>
    <t>T Clamp 40mm for Moose</t>
  </si>
  <si>
    <t>JJ0J002001</t>
  </si>
  <si>
    <t>Circuit Breaker   220KV   Air Blast</t>
  </si>
  <si>
    <t>Circuit Breaker    33KV    220V DC SF-6</t>
  </si>
  <si>
    <t>Circuit Breaker    33KV    110V DC SF-6</t>
  </si>
  <si>
    <t>JJ2J201001</t>
  </si>
  <si>
    <t>Circuit Breaker Sapres   220KV  220V DC Trip Coil (ABB make)</t>
  </si>
  <si>
    <t>Circuit Breaker Sapres   220KV  220V DC Trip Coil (CGL make)</t>
  </si>
  <si>
    <t>JJ2J201003</t>
  </si>
  <si>
    <t>Circuit Breaker Sapres   220KV  220V DC Closing Coil (CGL make)</t>
  </si>
  <si>
    <t>Circuit Breaker Sapres   220KV  220V DC Closing Coil (ABB make)</t>
  </si>
  <si>
    <t>JJ3J301001</t>
  </si>
  <si>
    <t>Circuit Breaker Sapres   132KV   220V DC Trip Coil (CGL make)</t>
  </si>
  <si>
    <t>JJ3J301003</t>
  </si>
  <si>
    <t>Circuit Breaker Sapres   132KV    220V DC  Closing Coil (CGL make)</t>
  </si>
  <si>
    <t>JJ5J501001</t>
  </si>
  <si>
    <t>Circuit Breaker Sapres   33KV   220V DC Trip Coil (CGL make)</t>
  </si>
  <si>
    <t>JJ5J501003</t>
  </si>
  <si>
    <t>Circuit Breaker Sapres   33KV   220V DC Closing Coil (CGL make)</t>
  </si>
  <si>
    <t>JJ5J501006</t>
  </si>
  <si>
    <t>Circuit Breaker Sapres   33KV   110V DC Trip Coil (ABB Make)</t>
  </si>
  <si>
    <t>Circuit Breaker Auxiliary switch   LOCAL/Remote Switch</t>
  </si>
  <si>
    <t>JJ7J701010</t>
  </si>
  <si>
    <t>Circuit Breaker Auxiliary switch   Density moniter switch</t>
  </si>
  <si>
    <t>Circuit Breaker connector 4"IPS Tube (220KV)</t>
  </si>
  <si>
    <t>JJ4J401003</t>
  </si>
  <si>
    <t>Circuit Breaker Connector   Moose</t>
  </si>
  <si>
    <t>JJ4J401004</t>
  </si>
  <si>
    <t>Circuit Breaker Connector   Twin Moose</t>
  </si>
  <si>
    <t>SF6 Gas</t>
  </si>
  <si>
    <t>Defective &amp; Damage CB</t>
  </si>
  <si>
    <t>JJ5J501014</t>
  </si>
  <si>
    <t>Circuit Breaker spare 33 KV SF6 Stationary arcing contact, CGL Make</t>
  </si>
  <si>
    <t>Lighting Arrestor 220 KV</t>
  </si>
  <si>
    <t>Lighting Arrestor 132 KV</t>
  </si>
  <si>
    <t>Lighting Arrestor 33 KV</t>
  </si>
  <si>
    <t>LL6L603001</t>
  </si>
  <si>
    <t>Lighting Spares  Lighting Junction Box.</t>
  </si>
  <si>
    <t>MM0M008001</t>
  </si>
  <si>
    <t>Relay - Trip circuit supervision relay - Trip ckt supervision relay (ABB make 220 V DC)</t>
  </si>
  <si>
    <t>MM0M009004</t>
  </si>
  <si>
    <t>Relay - Trip circuit supervision relay - Trip ckt supervision relay (JVS make 220 V DC)</t>
  </si>
  <si>
    <t>MM0M001008</t>
  </si>
  <si>
    <t>Relay - Distance Relay (Faulty)</t>
  </si>
  <si>
    <t>MM0M019002</t>
  </si>
  <si>
    <t>Relay - Phase failure relay - Phase failure relay with UV/OV Relay (Minilec) auto reset, system voltage 415V AC</t>
  </si>
  <si>
    <t>MM0M011004</t>
  </si>
  <si>
    <t>Control panel Spares    Relay    Thermal Overload realy</t>
  </si>
  <si>
    <t>MM2M202005</t>
  </si>
  <si>
    <t>Digital Meter - Volt Meter - 220 KV Digital volt meter size 140 x 70 mm PTR-220 KV/110V range (0-300 KV), Auxiliary Supply 220V DC, A.E. make</t>
  </si>
  <si>
    <t>MM2M202007</t>
  </si>
  <si>
    <t>Digital Meter - Volt Meter - 132 KV Digital voltmeter size 140 x 70 mm PTR-132 KV/110V Range (0-160 KV), Auxiliary Supply 220V DC, A.E. Make</t>
  </si>
  <si>
    <t>MM2M202011</t>
  </si>
  <si>
    <t>Digital Meter - Volt Meter - 33 KV Digital voltmeter size 140 x 70 mm PTR-33 KV/110V, Auxiliary Supply 220V DC, A.E. Make</t>
  </si>
  <si>
    <t>MM2M203005</t>
  </si>
  <si>
    <t>Digital Meter - Ampere Meter - Digital panel meter to display current in Amp for C&amp;R panel range (0-1600 A), Auxiliary Supply 220V DC, Size 140 x 70 MM, A.E. Make</t>
  </si>
  <si>
    <t>MM2M204003</t>
  </si>
  <si>
    <t>Digital Meter - MW Meter - MW Meter 220 KV -size 140 x 70 mm PTR-220 KV/110V, CTR-1600/1 A, Auxiliary Supply 220V DC, A.E. Make</t>
  </si>
  <si>
    <t>Digital Meter - MVAR Meter - MVAR Meter 220 KV -size 140 x 70 mm PTR-220 KV/110V, CTR-1600/1 A, Auxiliary Supply 220V DC, A.E. Make</t>
  </si>
  <si>
    <t>NN4N401001</t>
  </si>
  <si>
    <t>Miscellaneous Panel Spare - Indication Lamp LED 220/110 V AC/DC - LED-Multycolour 110/220V Ac/Dc</t>
  </si>
  <si>
    <t>NN4N412002</t>
  </si>
  <si>
    <t>Miscellaneous Panel Spare - TNC -suitable for 220KV Control and relay panel.</t>
  </si>
  <si>
    <t>NN4N412004</t>
  </si>
  <si>
    <t>Miscellaneous Panel Spare - Trip transfer switch - TNC -suitable for 33KV Control and relay panel.</t>
  </si>
  <si>
    <t>NN5N504001</t>
  </si>
  <si>
    <t>Miscellaneous- - Contactor - power contactor 65A 440V</t>
  </si>
  <si>
    <t>Miscellaneous- - Contactor - power contactor 80A 440V</t>
  </si>
  <si>
    <t>Miscellaneous- - Contactor - power contactor 32A 440V</t>
  </si>
  <si>
    <t>NN5N506004</t>
  </si>
  <si>
    <t>Miscellaneous- - Resistor - variable</t>
  </si>
  <si>
    <t>NN5N506047</t>
  </si>
  <si>
    <t>Single Phasing and Unbalancing Preventor 415V</t>
  </si>
  <si>
    <t>SS2S201006</t>
  </si>
  <si>
    <t>Bus Post Insulator  (without corona ring) with creepage distance of 6125 mm. - 245 kV</t>
  </si>
  <si>
    <t>SS3S301016</t>
  </si>
  <si>
    <t>Bus Post Insulator  (without corona ring) with creepage distance of 3625 mm. - 145 kV</t>
  </si>
  <si>
    <t>SS6S605004</t>
  </si>
  <si>
    <t>Contactor  Air Break    16 Amp. 415 V Ac</t>
  </si>
  <si>
    <t>SS1S104006</t>
  </si>
  <si>
    <t>Contactor  415V AC  240 Volt A.C. Coils including frame for coil for 3ɸ Power Contactor  IC-65a &amp; IC-65a/4</t>
  </si>
  <si>
    <t>SS4S401001</t>
  </si>
  <si>
    <t>MCB  220V DC   Double Pole 32 Amp</t>
  </si>
  <si>
    <t>MCB  220V DC   Single Pole 32 Amp</t>
  </si>
  <si>
    <t>SS7S701002</t>
  </si>
  <si>
    <t>MCB  220V DC   Double Pole 20 Amp</t>
  </si>
  <si>
    <t>SS7S701003</t>
  </si>
  <si>
    <t>MCB  220V DC   10 Amp</t>
  </si>
  <si>
    <t>SS4S404001</t>
  </si>
  <si>
    <t>MCB  230V AC  Single Pole 32 Amp</t>
  </si>
  <si>
    <t>A. C. D. Box MCB 25 Amp</t>
  </si>
  <si>
    <t>SS7S705002</t>
  </si>
  <si>
    <t>MCB  415 AC  Four Pole C3.</t>
  </si>
  <si>
    <t>MCB  415 AC  Four Pole 40 Amp.</t>
  </si>
  <si>
    <t>SS7S705005</t>
  </si>
  <si>
    <t>MCB  415 AC  Four Pole 10 Amp.</t>
  </si>
  <si>
    <t>SS7S705007</t>
  </si>
  <si>
    <t>MCB  415 AC  Tripple Pole 3 Amp.</t>
  </si>
  <si>
    <t>SS7S704002</t>
  </si>
  <si>
    <t>MCB  230V AC  Double Pole 16 Amp</t>
  </si>
  <si>
    <t>SS7S704008</t>
  </si>
  <si>
    <t>MCB  230V AC  Double Pole 1 Amp</t>
  </si>
  <si>
    <t>SS7S705008</t>
  </si>
  <si>
    <t>MCB  415 AC  Tripple Pole 1 Amp.</t>
  </si>
  <si>
    <t>NN4N407001</t>
  </si>
  <si>
    <t>Timer  delay block Time delay block</t>
  </si>
  <si>
    <t>Fan Control Switch</t>
  </si>
  <si>
    <t>SS6S617008</t>
  </si>
  <si>
    <t>TPN Main Switch 415V 200A</t>
  </si>
  <si>
    <t>Auxiliary Connector</t>
  </si>
  <si>
    <t>Auxiliary contactor 12 A 230V</t>
  </si>
  <si>
    <t>VV1V101010</t>
  </si>
  <si>
    <t>Transformer  Bushing  -220/132 KV  HV-160 MVA</t>
  </si>
  <si>
    <t>VV1V101011</t>
  </si>
  <si>
    <t>Transformer  Bushing  -220/132 KV  LV-160 MVA</t>
  </si>
  <si>
    <t>VV1V101031</t>
  </si>
  <si>
    <t>Transformer  Bushing  -132/33KV  HV-80 MVA</t>
  </si>
  <si>
    <t>VV1V101032</t>
  </si>
  <si>
    <t>Transformer  Bushing  -132/33KV  LV-80 MVA</t>
  </si>
  <si>
    <t>VV1V101033</t>
  </si>
  <si>
    <t>Transformer  Bushing  -132/33KV  Neutral-80 MVA</t>
  </si>
  <si>
    <t>VV2V201001</t>
  </si>
  <si>
    <t>Transformer Gasket,  Breather, Silica gel &amp; Connector Gasket  Nitril gasket 10mm</t>
  </si>
  <si>
    <t>VV2V202007</t>
  </si>
  <si>
    <t>Silica Gel  Breather  Capacity 1 kg.</t>
  </si>
  <si>
    <t>Silica Gel   Blue crystal</t>
  </si>
  <si>
    <t>Transformer Bushing 36KV/200A</t>
  </si>
  <si>
    <t>Oil  Transformer Oil</t>
  </si>
  <si>
    <t>VV2V204003</t>
  </si>
  <si>
    <t>Oil  Oil sample Bottle 2Ltr</t>
  </si>
  <si>
    <t>VV2V204004</t>
  </si>
  <si>
    <t>Oil  Oil sample Bottle 1Ltr</t>
  </si>
  <si>
    <t>Oil Empty Oil Drums</t>
  </si>
  <si>
    <t>Bushing CT for 160 MVA T/F</t>
  </si>
  <si>
    <t>HV Bushing CT for 80 MVA T/F</t>
  </si>
  <si>
    <t>MM0M007001</t>
  </si>
  <si>
    <t>Bucholz Relay for 160 MVA T/F</t>
  </si>
  <si>
    <t>HV Bushing WTI CT for 80 MVA T/F</t>
  </si>
  <si>
    <t>LV Bushing WTI CT for 80 MVA T/F</t>
  </si>
  <si>
    <t>Bushing CT for 80 MVA T/F</t>
  </si>
  <si>
    <t>MM0M007002</t>
  </si>
  <si>
    <t>Bucholz Relay for 80 MVA T/F</t>
  </si>
  <si>
    <t>MOG with float arm for 80 MVA T/F</t>
  </si>
  <si>
    <t>Flow Indicator</t>
  </si>
  <si>
    <t>VV1V103007</t>
  </si>
  <si>
    <t>160 MVA T/F HV Bushing Clamp</t>
  </si>
  <si>
    <t>160 MVA T/F LV Bushing Clamp</t>
  </si>
  <si>
    <t>80 MVA T/F LV Bushing Clamp</t>
  </si>
  <si>
    <t>50 MVA T/F HV Bushing Clamp</t>
  </si>
  <si>
    <t>50 MVA T/F LV Bushing Clamp</t>
  </si>
  <si>
    <t>VV2V206001</t>
  </si>
  <si>
    <t>Transformer Spare Oil Temperature indicator   Meter (0-120 0C )</t>
  </si>
  <si>
    <t>VV2V207001</t>
  </si>
  <si>
    <t>Transformer Spare Winding Temperature indicator Winding Temperature indicator   Meter</t>
  </si>
  <si>
    <t>VV2V208001</t>
  </si>
  <si>
    <t>Transformer Spare Level Gauge Magnetic oil Level Guage</t>
  </si>
  <si>
    <t>VV2V209001</t>
  </si>
  <si>
    <t>Transformer Spare PRV Pressure Relief Vent</t>
  </si>
  <si>
    <t>VV2V213003</t>
  </si>
  <si>
    <t>Transformer Spare Tap Position Indicator  SR.No. TPC 2001/12050</t>
  </si>
  <si>
    <t>VV3V302001</t>
  </si>
  <si>
    <t>Current Transformer  245KV   1600/800/1A  5 core Accuracy 0.2</t>
  </si>
  <si>
    <t>Current Transformer  245KV   1200/600/1A 5 core Accuracy 0.2</t>
  </si>
  <si>
    <t>VV3V302006</t>
  </si>
  <si>
    <t>Current Transformer  245KV   600/300/1 A  5 core Accuracy 0.2</t>
  </si>
  <si>
    <t>Current Transformer  245KV   200/100/1 A  5 core Accuracy 0.2</t>
  </si>
  <si>
    <t>Current Transformer  145KV   1200/800/1A 5 core Accuracy 0.2</t>
  </si>
  <si>
    <t>Current Transformer  145KV   1200/600/1A 5 core Accuracy 0.2</t>
  </si>
  <si>
    <t>Current Transformer   145KV  800/400/1 A  5 core Accuracy 0.2</t>
  </si>
  <si>
    <t>Current Transformer   145KV  800/400/1 A  3 core Accuracy 0.2</t>
  </si>
  <si>
    <t>Current Transformer   145KV 200/100/1A 5 core Accuracy 0.2</t>
  </si>
  <si>
    <t>VV3V305001</t>
  </si>
  <si>
    <t>Current Transformer   33 KV  1600/800/1A 5 Core Accuracy 0.2</t>
  </si>
  <si>
    <t>VV3V305005</t>
  </si>
  <si>
    <t>Current Transformer   33 KV   800/400/1A 3 core Accuracy 0.2</t>
  </si>
  <si>
    <t>Current Transformer   33 KV   400/200/1A  3 core Accuracy 0.2</t>
  </si>
  <si>
    <t>Current Transformer   33 KV   1200/600/1A  3 core Accuracy 0.2</t>
  </si>
  <si>
    <t>Current Transformer   33 KV   1200/800/1A  3 core Accuracy 0.2</t>
  </si>
  <si>
    <t>VV7V701013</t>
  </si>
  <si>
    <t>Twin  Moose  Current Transformer Clamp</t>
  </si>
  <si>
    <t>VV7V701014</t>
  </si>
  <si>
    <t>Single Moose Current Transformer Clamp</t>
  </si>
  <si>
    <t>VV7V701025</t>
  </si>
  <si>
    <t>Current Transformer   Terminal Connectors 33 KV CT clamp having 20 mm dia bore</t>
  </si>
  <si>
    <t>CT clamp Panther to 30 mm Dia</t>
  </si>
  <si>
    <t>CT clamp Panther to 20 mm Dia</t>
  </si>
  <si>
    <t>33 KV Clamp 4"IPS to Twin Moose</t>
  </si>
  <si>
    <t>33 KV Clamp 4"IPS to Single Moose</t>
  </si>
  <si>
    <t>132 KV CT Clamp Suitable for Moose/4" AI Pipe</t>
  </si>
  <si>
    <t>132 KV CT Clamp for 4"IPS Tube to Single Moose</t>
  </si>
  <si>
    <t>132 KV CT Clamp 30mm to single moose</t>
  </si>
  <si>
    <t>VV6V502001</t>
  </si>
  <si>
    <t>PT (Potential Transformer) PT 220 KV/110 Volt with 0.2 accuracy</t>
  </si>
  <si>
    <t>PT (Potential Transformer) 145 KV CVT 3 core with one 0.2 accuracy</t>
  </si>
  <si>
    <t>VV6V503002</t>
  </si>
  <si>
    <t>PT (Potential Transformer) 145 KV PT 3 core with one 0.2 accuracy</t>
  </si>
  <si>
    <t>PT (Potential Transformer) PT 1-phase, 33KV/110 Volt -</t>
  </si>
  <si>
    <t>VV6V507002</t>
  </si>
  <si>
    <t>CVT CVT  220 KV/110 Volt -</t>
  </si>
  <si>
    <t>CVT CVT - CVT 132 KV/110 Volt - 145kv</t>
  </si>
  <si>
    <t>YY0Y003004</t>
  </si>
  <si>
    <t>Battery Cell 2 V 400AH  lead acid</t>
  </si>
  <si>
    <t>YY1Y101003</t>
  </si>
  <si>
    <t>Battery Charger 220 Volt DC   for 400AH Battery set</t>
  </si>
  <si>
    <t>Ceiling Fan Old &amp; Used</t>
  </si>
  <si>
    <t>Total in Rs.</t>
  </si>
  <si>
    <t>P- Group (T&amp;P)</t>
  </si>
  <si>
    <t>Steel Almera</t>
  </si>
  <si>
    <t>PP4P406006</t>
  </si>
  <si>
    <t>Steel Rack</t>
  </si>
  <si>
    <t>Chair</t>
  </si>
  <si>
    <t>PP4P408012</t>
  </si>
  <si>
    <t>chair PCH 9003</t>
  </si>
  <si>
    <t>PP4P409009</t>
  </si>
  <si>
    <t>Easy Chair PCN 500/T</t>
  </si>
  <si>
    <t>PP4P408017</t>
  </si>
  <si>
    <t>Computer Chair</t>
  </si>
  <si>
    <t>PP4P409004</t>
  </si>
  <si>
    <t>Chair PCH 1007</t>
  </si>
  <si>
    <t>Wheel chair</t>
  </si>
  <si>
    <t>Godrej chair 7003</t>
  </si>
  <si>
    <t>PP4P409006</t>
  </si>
  <si>
    <t>Godrej Visitor Chair 1007</t>
  </si>
  <si>
    <t>Table</t>
  </si>
  <si>
    <t>PP4P433011</t>
  </si>
  <si>
    <t>PP4P433008</t>
  </si>
  <si>
    <t>Godrej Table T-9</t>
  </si>
  <si>
    <t>PP4P424001</t>
  </si>
  <si>
    <t>Office Table 1800X900X760</t>
  </si>
  <si>
    <t>Computer Table</t>
  </si>
  <si>
    <t>PP4P414003</t>
  </si>
  <si>
    <t>Book Case Rack</t>
  </si>
  <si>
    <t>PP4P424022</t>
  </si>
  <si>
    <t>Table with 3 drawer</t>
  </si>
  <si>
    <t>PP4P429003</t>
  </si>
  <si>
    <t>Dining V1</t>
  </si>
  <si>
    <t>PP4P427007</t>
  </si>
  <si>
    <t>Center Table sonata</t>
  </si>
  <si>
    <t>PP4P432005</t>
  </si>
  <si>
    <t>Table wt711</t>
  </si>
  <si>
    <t>T&amp;C Equipments</t>
  </si>
  <si>
    <t>AC and other electrical/Electranics items</t>
  </si>
  <si>
    <t>PP2P217002</t>
  </si>
  <si>
    <t>Voltas water cooler with aquaflow eyreaforebs storage capacity 20 ltr.</t>
  </si>
  <si>
    <t>PP2P216002</t>
  </si>
  <si>
    <t>AC Votas 1.5 Ton</t>
  </si>
  <si>
    <t>Ropes</t>
  </si>
  <si>
    <t>Para Para Rope 24 mm</t>
  </si>
  <si>
    <t xml:space="preserve">Other T&amp;P </t>
  </si>
  <si>
    <t>PP2P201001</t>
  </si>
  <si>
    <t>Tong tester</t>
  </si>
  <si>
    <t>PP1P118027</t>
  </si>
  <si>
    <t>Screw driver Large  (Standard Quality)</t>
  </si>
  <si>
    <t>PP1P118028</t>
  </si>
  <si>
    <t>screw driver medium  (Standard Quality)</t>
  </si>
  <si>
    <t>PP1P110003</t>
  </si>
  <si>
    <t>Nose Plier  (Standard Quality)</t>
  </si>
  <si>
    <t>PP2P211001</t>
  </si>
  <si>
    <t>Vaccum cleaner with blower and suction</t>
  </si>
  <si>
    <t>Visitor chairs without arm (Godrej make)</t>
  </si>
  <si>
    <t>Portable SF6 Gas Leak Detector.</t>
  </si>
  <si>
    <t>PP1P138007</t>
  </si>
  <si>
    <t>Hydrolic Jack with gauge &amp; house pipe</t>
  </si>
  <si>
    <t>PP1P117015</t>
  </si>
  <si>
    <t>Open Jaw spanner</t>
  </si>
  <si>
    <t>PP1P117016</t>
  </si>
  <si>
    <t>double end tubeler box</t>
  </si>
  <si>
    <t>PP1P121003</t>
  </si>
  <si>
    <t>Adjestable wriench 200 mm Long</t>
  </si>
  <si>
    <t>PP1P119002</t>
  </si>
  <si>
    <t>Pipe wrinch 450 mm Long</t>
  </si>
  <si>
    <t>PP1P109009</t>
  </si>
  <si>
    <t>Gasket punch set</t>
  </si>
  <si>
    <t>PP1P107013</t>
  </si>
  <si>
    <t>Flat file</t>
  </si>
  <si>
    <t>PP1P113017</t>
  </si>
  <si>
    <t>Lather mallet</t>
  </si>
  <si>
    <t>PP1P136001</t>
  </si>
  <si>
    <t>Cold chiesel</t>
  </si>
  <si>
    <t>PP4P411007</t>
  </si>
  <si>
    <t>Stool</t>
  </si>
  <si>
    <t>Teak wood bed (singel)</t>
  </si>
  <si>
    <t>PP4P433014</t>
  </si>
  <si>
    <t>Table S1070</t>
  </si>
  <si>
    <t>DD0D001017</t>
  </si>
  <si>
    <t>Desktop PC</t>
  </si>
  <si>
    <t>DD0D004003</t>
  </si>
  <si>
    <t>TFT Monitor</t>
  </si>
  <si>
    <t>DD1D101006</t>
  </si>
  <si>
    <t>UPS 1 KVA</t>
  </si>
  <si>
    <t>DD0D007004</t>
  </si>
  <si>
    <t>Laser Printer</t>
  </si>
  <si>
    <t>PP2P226003</t>
  </si>
  <si>
    <t>Laser Fax</t>
  </si>
  <si>
    <t>PP0P020001</t>
  </si>
  <si>
    <t>Trafer 10T</t>
  </si>
  <si>
    <t>PP0P021016</t>
  </si>
  <si>
    <t>Single pully block</t>
  </si>
  <si>
    <t>PP0P021015</t>
  </si>
  <si>
    <t>Double pully block</t>
  </si>
  <si>
    <t>PP0P021013</t>
  </si>
  <si>
    <t>Four Pully block</t>
  </si>
  <si>
    <t>PP1P148010</t>
  </si>
  <si>
    <t>Al Lader 15 Feet</t>
  </si>
  <si>
    <t>PP1P148001</t>
  </si>
  <si>
    <t>Al Lader 24 Feet</t>
  </si>
  <si>
    <t>DD0D007019</t>
  </si>
  <si>
    <t>Printer Samsung</t>
  </si>
  <si>
    <t>PP4P408009</t>
  </si>
  <si>
    <t>Chair PCH5002T</t>
  </si>
  <si>
    <t>PP4P409017</t>
  </si>
  <si>
    <t>Chair PCH 1004</t>
  </si>
  <si>
    <t>Store well Plain Godrej</t>
  </si>
  <si>
    <t>DD1D106001</t>
  </si>
  <si>
    <t>Broad band modem</t>
  </si>
  <si>
    <t>PP1P148003</t>
  </si>
  <si>
    <t>Al Tower lader</t>
  </si>
  <si>
    <t>30 Watt LED rechargeable portable light</t>
  </si>
  <si>
    <t>PP2P222004</t>
  </si>
  <si>
    <t>Desert cooler with Stand</t>
  </si>
  <si>
    <t>PP1P126014</t>
  </si>
  <si>
    <t>MRI Instrument</t>
  </si>
  <si>
    <t>PP2P223014</t>
  </si>
  <si>
    <t>Cell Phone LM6</t>
  </si>
  <si>
    <t>PP2P223007</t>
  </si>
  <si>
    <t>Cell Phone 2630</t>
  </si>
  <si>
    <t>Cell Phone 2626</t>
  </si>
  <si>
    <t>PP2P223009</t>
  </si>
  <si>
    <t>Karbon Cell Phone (A101)</t>
  </si>
  <si>
    <t>PP2P223008</t>
  </si>
  <si>
    <t>Micromax Cell Phone (A60)</t>
  </si>
  <si>
    <t>PP2P223001</t>
  </si>
  <si>
    <t>Samsung Cell Phone (grand)</t>
  </si>
  <si>
    <t>DD0D001001</t>
  </si>
  <si>
    <t>Desktop Computer System</t>
  </si>
  <si>
    <t>DD0D007012</t>
  </si>
  <si>
    <t>Printer HP pro</t>
  </si>
  <si>
    <t>DD1D101012</t>
  </si>
  <si>
    <t>UPS 600VA</t>
  </si>
  <si>
    <t>DD0D007024</t>
  </si>
  <si>
    <t>Photo copier machine</t>
  </si>
  <si>
    <t>Hydraulic Compressor of 100 Ton Capacity</t>
  </si>
  <si>
    <t>PP0P006006</t>
  </si>
  <si>
    <t>Compression die sets suitable for jointing ACSR Zebra (Steel Portion)</t>
  </si>
  <si>
    <t>Compression die sets suitable for jointing ACSR Zebra (Aluminium Portion)</t>
  </si>
  <si>
    <t>Bolted type come along clamp, 7 bolts for Zebra Conductor</t>
  </si>
  <si>
    <t>D Shackle 3 Ton</t>
  </si>
  <si>
    <t>PP0P018004</t>
  </si>
  <si>
    <t>D Shackle 6.5 Ton</t>
  </si>
  <si>
    <t>Helmet Yellow (Karam Make)</t>
  </si>
  <si>
    <t>PP1P122001</t>
  </si>
  <si>
    <t>Gas Filling Device</t>
  </si>
  <si>
    <t>PP1P125001</t>
  </si>
  <si>
    <t>Connecting Pipe HP to LP</t>
  </si>
  <si>
    <t>Godrej Storewel Plain 4SH</t>
  </si>
  <si>
    <t>Godrej 4 Drawers Vertical Filling Cabinet</t>
  </si>
  <si>
    <t>Printer Canon IR 2625 with Duplex &amp; DADF</t>
  </si>
  <si>
    <t>PP3P301011</t>
  </si>
  <si>
    <t>Water Cooler</t>
  </si>
  <si>
    <t>PP2P218005</t>
  </si>
  <si>
    <t>Kent RO Water filter</t>
  </si>
  <si>
    <t>PP2P223016</t>
  </si>
  <si>
    <t>Mobile Phone (OS Ram SIngh Adhikari)</t>
  </si>
  <si>
    <t xml:space="preserve">Format of Monthly Inventory for Uploading on PTCUL Website </t>
  </si>
  <si>
    <t>Name of Circle/ Zone:- O&amp;M Kumaon Zone Haldwani</t>
  </si>
  <si>
    <t>Name of Substation 132 KV S/s Ranikhet</t>
  </si>
  <si>
    <t>Name of Division O&amp;M Div. Almora</t>
  </si>
  <si>
    <t>Month till 22 April 2026</t>
  </si>
  <si>
    <t xml:space="preserve">Book Value Per Unit </t>
  </si>
  <si>
    <t>Capital Items</t>
  </si>
  <si>
    <t>Structure - ATM</t>
  </si>
  <si>
    <t>FF0F050020</t>
  </si>
  <si>
    <t>Structure - CGR</t>
  </si>
  <si>
    <t>FF0F050022</t>
  </si>
  <si>
    <t>Structure - CCR</t>
  </si>
  <si>
    <t>FF0F050032</t>
  </si>
  <si>
    <t>132 kv Peak type structure XPM</t>
  </si>
  <si>
    <t>MS Earthing rod - 36mm Dia</t>
  </si>
  <si>
    <t>II0I001004</t>
  </si>
  <si>
    <t>120KN Polymer Disc Insulator</t>
  </si>
  <si>
    <t>70KN Disc Insulator</t>
  </si>
  <si>
    <t xml:space="preserve">ACSR Zebra Single Tension Fitting </t>
  </si>
  <si>
    <t>ACSR Panther Single Tension Fitting</t>
  </si>
  <si>
    <t>ACSR Zebra Single Suspension Fitting</t>
  </si>
  <si>
    <t>132 KV LA (Old and Used)</t>
  </si>
  <si>
    <t>33 KV LA (Old and Used)</t>
  </si>
  <si>
    <t>VV0V003007</t>
  </si>
  <si>
    <t>132 KV /33KV 5MVA Power TF (GEC) Defective</t>
  </si>
  <si>
    <t>VV1V101034</t>
  </si>
  <si>
    <t>132/33 KV HV-40 MVA Transformer Bushing</t>
  </si>
  <si>
    <t>145 KV (5 core) CT (200/100/1A)</t>
  </si>
  <si>
    <t>33 KV CT 400/200/1A 3 Core</t>
  </si>
  <si>
    <t>VV4V305012</t>
  </si>
  <si>
    <t>33KV CT 300/150/1 A</t>
  </si>
  <si>
    <t>33 KV CT 200-100/1 Amp 3 Core</t>
  </si>
  <si>
    <t>145 KV CVT (Accuracy Class 0.5)</t>
  </si>
  <si>
    <t>M&amp;R</t>
  </si>
  <si>
    <t>Acsr Conductor Panther</t>
  </si>
  <si>
    <t>ACSR Conductor Weasel</t>
  </si>
  <si>
    <t>AA1A102002</t>
  </si>
  <si>
    <t>Stay wire set</t>
  </si>
  <si>
    <t>AA1A102003</t>
  </si>
  <si>
    <t>GI wire 8 No.</t>
  </si>
  <si>
    <t>4C x 2.5 Sqmm armoured control cable (copper)</t>
  </si>
  <si>
    <t>Kmtr</t>
  </si>
  <si>
    <t>CC1C103010</t>
  </si>
  <si>
    <t>3.5C x 70 Sqmm armoured power cable (Al)</t>
  </si>
  <si>
    <t>CC1C103014</t>
  </si>
  <si>
    <t>4C x 16 Sqmm armoured power cable (Al)</t>
  </si>
  <si>
    <t>CC3C307002</t>
  </si>
  <si>
    <t xml:space="preserve">33 KV Heat Shrink Cable termination kit outdoor type for 3-ph 300 sqmm XLPE cable </t>
  </si>
  <si>
    <t>CC3C317002</t>
  </si>
  <si>
    <t>HT Tape roll suitable for 11 KV to 33 KV</t>
  </si>
  <si>
    <t>FF1F101068</t>
  </si>
  <si>
    <t>steel nut&amp;bolt of different size</t>
  </si>
  <si>
    <t>FF1F108003</t>
  </si>
  <si>
    <t>U Type bolt- with Nuts and Washer</t>
  </si>
  <si>
    <t>FF3F301007</t>
  </si>
  <si>
    <t>S.T. Round Pole (6.5Mtr cut piece)</t>
  </si>
  <si>
    <t>FF4F403011</t>
  </si>
  <si>
    <t>copper bond</t>
  </si>
  <si>
    <t>Petrollium Jelly</t>
  </si>
  <si>
    <t>CRC Bottle 500 ml</t>
  </si>
  <si>
    <t>GG0G001006</t>
  </si>
  <si>
    <t>Grease Standard Quality</t>
  </si>
  <si>
    <t>Disc Insulator (Line 2S account)</t>
  </si>
  <si>
    <t>PG Clamp Zebra to Panther</t>
  </si>
  <si>
    <t>C-Wedge Clamp Zebra to Panther</t>
  </si>
  <si>
    <t>C-Wedge Clamp Panther to Panther</t>
  </si>
  <si>
    <t>II2I201001</t>
  </si>
  <si>
    <t>SP Pole Stay Clamp</t>
  </si>
  <si>
    <t>II2I204005</t>
  </si>
  <si>
    <t>PG Clamp for HV transformer Bushing for 5MVA 132/33KV Transformer</t>
  </si>
  <si>
    <t>PG Clamp for HV Transformer Bushing for 20MVA 132/33KV Transformer</t>
  </si>
  <si>
    <t>Panther Conductor Mid Span Joint</t>
  </si>
  <si>
    <t>7/10 SWG Conductor Repair Sleeve</t>
  </si>
  <si>
    <t>7/10 SWG Wire Vibration Damper</t>
  </si>
  <si>
    <t>II2I204006</t>
  </si>
  <si>
    <t>Clamp for 33 KV Post Insulator for Panther Conductor</t>
  </si>
  <si>
    <t>PG Clamp for 33KV Post Insulator for Panther Conductor</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</si>
  <si>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</si>
  <si>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</si>
  <si>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</si>
  <si>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</si>
  <si>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</si>
  <si>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</si>
  <si>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</si>
  <si>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33 KV SF6 Circuit Breaker 110V DC Trip Coil</t>
  </si>
  <si>
    <t>33 KV SF6 Circuit Breaker 110V DC Closing Coil</t>
  </si>
  <si>
    <t>JJ7J701004</t>
  </si>
  <si>
    <t xml:space="preserve">Limit switch 110VDC CB Auxiliary Switch for spring </t>
  </si>
  <si>
    <t>Local/Remote Switch CB Auxiliary Switch</t>
  </si>
  <si>
    <t>JJ7J701013</t>
  </si>
  <si>
    <t>14NO+14NC CB Auxiliary Switch</t>
  </si>
  <si>
    <t>JJ7J701020</t>
  </si>
  <si>
    <t xml:space="preserve">Auxiliary Power Contact for 
132KV ABB Make Breaker </t>
  </si>
  <si>
    <t>JJ7J710028</t>
  </si>
  <si>
    <t>Circuit Breaker Operation Counter</t>
  </si>
  <si>
    <t>T&amp;C Selector switch</t>
  </si>
  <si>
    <t>JJ3J301009</t>
  </si>
  <si>
    <t>Interlocking relay for ABB 132 KV Breaker 110 VDC</t>
  </si>
  <si>
    <t>Air Break Contactor LC -1 250 Volt aux contacts 1 NO + 1 NC 25 Amp</t>
  </si>
  <si>
    <t>JJ3J302030</t>
  </si>
  <si>
    <t xml:space="preserve">Supply  of Anti pumping relay for 33KV ABB Make Breaker </t>
  </si>
  <si>
    <t xml:space="preserve">Antipumping Relay for 132KV ABB Make Breaker </t>
  </si>
  <si>
    <t>132 KV Lighting Arrestor</t>
  </si>
  <si>
    <t>33 KV Lighting Arrestor</t>
  </si>
  <si>
    <t>132 KV Voltmeter</t>
  </si>
  <si>
    <t>33 KV Voltmeter</t>
  </si>
  <si>
    <t>MM2M202015</t>
  </si>
  <si>
    <t>Voltmeter 0-500 V AC</t>
  </si>
  <si>
    <t>MM3M303007</t>
  </si>
  <si>
    <t>Digital Ampere Meter (0-400A)</t>
  </si>
  <si>
    <t>Digital Ampere Meter (0-200A)</t>
  </si>
  <si>
    <t>MM3M304015</t>
  </si>
  <si>
    <t>MW meter (-25 MW to 25 MW)</t>
  </si>
  <si>
    <t>MM2M205016</t>
  </si>
  <si>
    <t>MVAR meter (-12.5 MVAR to +12.5 MVAr)</t>
  </si>
  <si>
    <t>NN4N403001</t>
  </si>
  <si>
    <t>Indication lamp red colour LED 110VDC</t>
  </si>
  <si>
    <t>NN4N403002</t>
  </si>
  <si>
    <t>Indication Lamp Yellow colour LED 110 VDC</t>
  </si>
  <si>
    <t>NN4N403003</t>
  </si>
  <si>
    <t>Indication Lamp Green colour LED 110 VDC</t>
  </si>
  <si>
    <t>NN4N411005</t>
  </si>
  <si>
    <t>63 Amp 250 V Rotary Switch</t>
  </si>
  <si>
    <t>PP1P141005</t>
  </si>
  <si>
    <t>Submersible pump 5HP</t>
  </si>
  <si>
    <t>GI D-Shackle</t>
  </si>
  <si>
    <t>PP0P010002</t>
  </si>
  <si>
    <t>Heavy duty turn buckle for transmission lines 5 Ton</t>
  </si>
  <si>
    <t>132KV Isolator Male contact blade</t>
  </si>
  <si>
    <t>132KV Isolator Female contact blade</t>
  </si>
  <si>
    <t>132KV Isolator supporting Insulator</t>
  </si>
  <si>
    <t>33KV Isolator Jaw</t>
  </si>
  <si>
    <t>SS4S402015</t>
  </si>
  <si>
    <t>33 KV Isolator Blade Copper tube</t>
  </si>
  <si>
    <t>SS5S501017</t>
  </si>
  <si>
    <t>132 KV isolator clamp</t>
  </si>
  <si>
    <t>Isolator Clamp 132 KV for ACSR Panther Conductor</t>
  </si>
  <si>
    <t>SS5S501021</t>
  </si>
  <si>
    <t>Single Panther Isolator Clamp(33 KV Terminal Pad type)</t>
  </si>
  <si>
    <t>SS5S501026</t>
  </si>
  <si>
    <t>Single Dog Isolator Clamp</t>
  </si>
  <si>
    <t>SS6S606006</t>
  </si>
  <si>
    <t xml:space="preserve">Power Contact for 132KV
 ABB Make Breaker </t>
  </si>
  <si>
    <t>SS6S610020</t>
  </si>
  <si>
    <t xml:space="preserve">HRC Fuse 10 AMP </t>
  </si>
  <si>
    <t>SS6S610022</t>
  </si>
  <si>
    <t xml:space="preserve">HRC Fuse 6 AMP </t>
  </si>
  <si>
    <t>SS6S610026</t>
  </si>
  <si>
    <t xml:space="preserve">HRC Fuse 4 AMP </t>
  </si>
  <si>
    <t>SS6S610027</t>
  </si>
  <si>
    <t xml:space="preserve">HRC Fuse 2 AMP </t>
  </si>
  <si>
    <t>SS7S702002</t>
  </si>
  <si>
    <t>Double Pole MCB 10 Amp 110 Volt</t>
  </si>
  <si>
    <t xml:space="preserve">Dc MCB 2pole Rating 10A 110V DC </t>
  </si>
  <si>
    <t>SS7S702004</t>
  </si>
  <si>
    <t xml:space="preserve">Dc MCB 2pole Rating 6A 110V DC </t>
  </si>
  <si>
    <t>SS7S702006</t>
  </si>
  <si>
    <t xml:space="preserve">Dc MCB 2pole Rating 4A 110V DC </t>
  </si>
  <si>
    <t>SS7S702007</t>
  </si>
  <si>
    <t xml:space="preserve">MCB  2pole 2A 110V DC </t>
  </si>
  <si>
    <t xml:space="preserve">Double Pole MCB 02 Amp </t>
  </si>
  <si>
    <t xml:space="preserve">MCB  2 Pole Rating 2A 240VAc </t>
  </si>
  <si>
    <t>SS7S705001</t>
  </si>
  <si>
    <t xml:space="preserve">3 Pole 440 Volt LT Circuit Breaker
 rated current 60A breaking Capacity Ics-37KA with  Lugs  of C&amp;S make </t>
  </si>
  <si>
    <t>Transformer Oil Sampling stainless steel Bottle 2 Ltr</t>
  </si>
  <si>
    <t>Transformer Oil Sampling stainless steel Bottle 1 Ltr</t>
  </si>
  <si>
    <t>Transformer Oil Old &amp; Used</t>
  </si>
  <si>
    <t>Transformer Drms Old &amp; Used</t>
  </si>
  <si>
    <t>VV2V210001</t>
  </si>
  <si>
    <t>TF conservator shutoff valve 75mm bore</t>
  </si>
  <si>
    <t>CT clamp</t>
  </si>
  <si>
    <t>CT clamp suitable for panther conductor</t>
  </si>
  <si>
    <t>CT clamp 132 KV for ACSR Panther Conductor</t>
  </si>
  <si>
    <t>VV2V205001</t>
  </si>
  <si>
    <t>Online leakage arrester kit</t>
  </si>
  <si>
    <t>Silica gel in blue colour</t>
  </si>
  <si>
    <t>ZZ2Z005004</t>
  </si>
  <si>
    <t>AC Ampere meter size 65x65 mm range 0-25 Amp</t>
  </si>
  <si>
    <t>Thermal over load relay Make Telemechanic</t>
  </si>
  <si>
    <t>Premium Butain gas bottle 300gm</t>
  </si>
  <si>
    <t xml:space="preserve">Surge Counter for LA </t>
  </si>
  <si>
    <t>Foundation Bolt 25mm</t>
  </si>
  <si>
    <t>ZZ1Z001001</t>
  </si>
  <si>
    <t>Fire Fighting Foam type 50 Ltr</t>
  </si>
  <si>
    <t>TF oil Empty oil drum</t>
  </si>
  <si>
    <t>CO2 Type Fire Ext. 2.2 Kg. Capacity scrap</t>
  </si>
  <si>
    <t>CO2 Type Fire Ext. 4.5 Kg. Capacity scrap</t>
  </si>
  <si>
    <t>CO2 Type Fire Ext. 9 Kg. Capacity scrap</t>
  </si>
  <si>
    <t>CO2 Type Fire Ext. 22.5 Kg. Capacity scrap</t>
  </si>
  <si>
    <t>AFFF mechanical foam type 9 Ltr Capacity Fire Ext. Scrap</t>
  </si>
  <si>
    <t>Stored pressure type 10 Kg Capacity Fire Ext. Scrap</t>
  </si>
  <si>
    <t>Stored pressure type 25 Kg Capacity Fire Ext. Scrap</t>
  </si>
  <si>
    <t xml:space="preserve"> (WTI) Scrap</t>
  </si>
  <si>
    <t>Oil Surge Relay Transformer Relay (Scrap)</t>
  </si>
  <si>
    <t>UB+0 type tower part galv. Damaged</t>
  </si>
  <si>
    <t>300 AH Tubular lead acid battery cell 2 Volt</t>
  </si>
  <si>
    <t>33 KV CB (Defective)</t>
  </si>
  <si>
    <t>Shri Pawan Lohani</t>
  </si>
  <si>
    <t>Shri Sunil Singh</t>
  </si>
  <si>
    <t xml:space="preserve"> Shri Manish Kumar Tamta</t>
  </si>
  <si>
    <t>Name of Circle/ Zone :- Haldwani / Kumaon                                                                                                                Name of Substation :- 132 KV S/s Pithoragarh</t>
  </si>
  <si>
    <t>Name of  Division:- O&amp;M Almora                                                                                                                                                                                                                                                                        Month : July 2025</t>
  </si>
  <si>
    <t xml:space="preserve"> Stock &amp; T&amp;P  Material Up To : 22 April-2026 of Sri Anand Singh Gobari J.E.  At 132 KV Substation Pithoragarh</t>
  </si>
  <si>
    <t xml:space="preserve">ACSR Conductor Moose </t>
  </si>
  <si>
    <t>ACSR Conductor Zebra Conductor in pieces</t>
  </si>
  <si>
    <t>BB0B002001</t>
  </si>
  <si>
    <t xml:space="preserve"> 552.50 KVARCapacitor Cell suitable for2X5 MVAR CAPACITOR Bank</t>
  </si>
  <si>
    <t>PVC Control Cable  6core</t>
  </si>
  <si>
    <t>CC0C002011</t>
  </si>
  <si>
    <t>PVC Control Cable  4 core</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</si>
  <si>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</si>
  <si>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</si>
  <si>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</si>
  <si>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</si>
  <si>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</si>
  <si>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</si>
  <si>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</si>
  <si>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</si>
  <si>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</si>
  <si>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</si>
  <si>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</si>
  <si>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</si>
  <si>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</si>
  <si>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</si>
  <si>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</si>
  <si>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</si>
  <si>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</si>
  <si>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</si>
  <si>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</si>
  <si>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</si>
  <si>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</si>
  <si>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</si>
  <si>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</si>
  <si>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</si>
  <si>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</si>
  <si>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PG Clamp  Moose-  Panther 3 bolted type</t>
  </si>
  <si>
    <t>Old &amp; Used PG Clamp  Moose-  Panther</t>
  </si>
  <si>
    <t>PG Clamp  Deer-  Panther</t>
  </si>
  <si>
    <t>PG Clamp  Zebra-  Panther</t>
  </si>
  <si>
    <t>Old &amp; Used PG Clamp  Zebra-  Panther</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</si>
  <si>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</si>
  <si>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</si>
  <si>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</si>
  <si>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</si>
  <si>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</si>
  <si>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</si>
  <si>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</si>
  <si>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</si>
  <si>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</si>
  <si>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</si>
  <si>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</si>
  <si>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</si>
  <si>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JJ1J103005</t>
  </si>
  <si>
    <t>Tripping coil of 132 Kv SF6 Ckt. Breaker of AREVA make</t>
  </si>
  <si>
    <t>Tripping coil of 132 Kv SF6 Ckt. Breaker of ABB make</t>
  </si>
  <si>
    <t>JJ1J105005</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</si>
  <si>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</si>
  <si>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</si>
  <si>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</si>
  <si>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</si>
  <si>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</si>
  <si>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</si>
  <si>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</si>
  <si>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</si>
  <si>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</si>
  <si>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</si>
  <si>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</si>
  <si>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</si>
  <si>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</si>
  <si>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</si>
  <si>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</si>
  <si>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</si>
  <si>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</si>
  <si>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</si>
  <si>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</si>
  <si>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</si>
  <si>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</si>
  <si>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</si>
  <si>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</si>
  <si>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</si>
  <si>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</si>
  <si>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</si>
  <si>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</si>
  <si>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</si>
  <si>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</si>
  <si>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</si>
  <si>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</si>
  <si>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</si>
  <si>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</si>
  <si>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</si>
  <si>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</si>
  <si>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Transformer oil old &amp; used(Centrifuged)</t>
  </si>
  <si>
    <t>VV3V301007</t>
  </si>
  <si>
    <t>Empty Trasformer oil Drum</t>
  </si>
  <si>
    <t>Transformer oil drums old &amp;used</t>
  </si>
  <si>
    <t>VV3V301003</t>
  </si>
  <si>
    <t xml:space="preserve">   Stainless steel T/F Oil Sampling Container of 2 Ltr. Capacity</t>
  </si>
  <si>
    <t>VV3V301004</t>
  </si>
  <si>
    <t xml:space="preserve"> Stainless steel T/F Oil Sampling Container of 1 Ltr. Capacity</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</si>
  <si>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</si>
  <si>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</si>
  <si>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</si>
  <si>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</si>
  <si>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</si>
  <si>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</si>
  <si>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</si>
  <si>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</si>
  <si>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</si>
  <si>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PG Clamp Zebra to Zebra Conductor</t>
  </si>
  <si>
    <t>FF4F401043</t>
  </si>
  <si>
    <t>12 mm Thickness 2.5 inches long GI Nuts &amp; bolts with two washer</t>
  </si>
  <si>
    <t>Aluminum cable 3.5 X 35 Sqmm</t>
  </si>
  <si>
    <t>132 KV LA(Old &amp; Used)</t>
  </si>
  <si>
    <t>Online oil leakage Arrestor Kit</t>
  </si>
  <si>
    <t xml:space="preserve"> silica gel in blue colour crystal</t>
  </si>
  <si>
    <t>33 KV outdoor termination kit 3 X 300 sqmm</t>
  </si>
  <si>
    <t>Galvnizing coating spraywith zinc of 400 ml pack</t>
  </si>
  <si>
    <t>Old &amp; used 20 MVA T/F (NGEF Make)</t>
  </si>
  <si>
    <t>Obselet &amp; Scrap Material -</t>
  </si>
  <si>
    <t>AA0A004002</t>
  </si>
  <si>
    <t>Damaged ACSR Conductor Zebra Conductor in pieces</t>
  </si>
  <si>
    <t>JJ1J105019</t>
  </si>
  <si>
    <t>Defective Spring charge motor of 33 kv ckt. Breaker (ABB)</t>
  </si>
  <si>
    <t xml:space="preserve">Battery set 110V, 60AH, old used and unserviceable   </t>
  </si>
  <si>
    <t>YY1Y101006</t>
  </si>
  <si>
    <t>02 V 300 AH Battery Cell Old &amp; Used Damaged</t>
  </si>
  <si>
    <t xml:space="preserve">Battery set 110V, 300 AH Tubular lead acid, old used and unserviceable   </t>
  </si>
  <si>
    <t>CT Junction Box</t>
  </si>
  <si>
    <t>PT Junction Box</t>
  </si>
  <si>
    <t xml:space="preserve">145KV C.V.T. ABB make  </t>
  </si>
  <si>
    <t>CC5C506002</t>
  </si>
  <si>
    <t xml:space="preserve">11 KV Cable box XLPE 3X400 Sq.mm outdoor type   </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</si>
  <si>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</si>
  <si>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</si>
  <si>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</si>
  <si>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</si>
  <si>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</si>
  <si>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</si>
  <si>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</si>
  <si>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VV5V505021</t>
  </si>
  <si>
    <t>Old &amp; Used 33 KV CT 400/200/1 Amp,2 core</t>
  </si>
  <si>
    <t>Old and used 132 KV CT 400/200/100/1A (SCT make)</t>
  </si>
  <si>
    <t>Old &amp; used 145 Kv CVT (ABB Make)</t>
  </si>
  <si>
    <t>Old &amp; Used 33 KV Ckt. Breaker (VCB) ABB Make</t>
  </si>
  <si>
    <t>Old &amp; used 145 KV CVT Alstom Make</t>
  </si>
  <si>
    <t>old &amp; used 33 KV CT,(Ratio-400/200/1A)</t>
  </si>
  <si>
    <t>old &amp; used 33 KV CT,(Ratio-200/100/1A)</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</si>
  <si>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</si>
  <si>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</si>
  <si>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</si>
  <si>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</si>
  <si>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</si>
  <si>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</si>
  <si>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</si>
  <si>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</si>
  <si>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</si>
  <si>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</si>
  <si>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</si>
  <si>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</si>
  <si>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</si>
  <si>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</si>
  <si>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</si>
  <si>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</si>
  <si>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</si>
  <si>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</si>
  <si>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</si>
  <si>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</si>
  <si>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</si>
  <si>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</si>
  <si>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</si>
  <si>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</si>
  <si>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</si>
  <si>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</si>
  <si>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</si>
  <si>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</si>
  <si>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</si>
  <si>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</si>
  <si>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</si>
  <si>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</si>
  <si>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</si>
  <si>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</si>
  <si>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</si>
  <si>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</si>
  <si>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</si>
  <si>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</si>
  <si>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</si>
  <si>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</si>
  <si>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</si>
  <si>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</si>
  <si>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</si>
  <si>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</si>
  <si>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</si>
  <si>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</si>
  <si>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</si>
  <si>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</si>
  <si>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</si>
  <si>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</si>
  <si>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</si>
  <si>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</si>
  <si>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</si>
  <si>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</si>
  <si>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</si>
  <si>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</si>
  <si>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</si>
  <si>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</si>
  <si>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</si>
  <si>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</si>
  <si>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</si>
  <si>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</si>
  <si>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</si>
  <si>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</si>
  <si>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</si>
  <si>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</si>
  <si>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</si>
  <si>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</si>
  <si>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</si>
  <si>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</si>
  <si>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</si>
  <si>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</si>
  <si>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</si>
  <si>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</si>
  <si>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Tong Tester Make- Motwane</t>
  </si>
  <si>
    <t xml:space="preserve"> PP1P144006 </t>
  </si>
  <si>
    <t>Discharge rod having 4.5 mtr. In 3peices1.5 mtr. Each &amp;25 mtr.long cable</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</si>
  <si>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</si>
  <si>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</si>
  <si>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</si>
  <si>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</si>
  <si>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</si>
  <si>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</si>
  <si>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</si>
  <si>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</si>
  <si>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</si>
  <si>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</si>
  <si>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</si>
  <si>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</si>
  <si>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</si>
  <si>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</si>
  <si>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</si>
  <si>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</si>
  <si>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</si>
  <si>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</si>
  <si>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</si>
  <si>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</si>
  <si>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</si>
  <si>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</si>
  <si>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</si>
  <si>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</si>
  <si>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</si>
  <si>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</si>
  <si>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</si>
  <si>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</si>
  <si>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</si>
  <si>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</si>
  <si>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</si>
  <si>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</si>
  <si>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</si>
  <si>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</si>
  <si>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</si>
  <si>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</si>
  <si>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</si>
  <si>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</si>
  <si>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</si>
  <si>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</si>
  <si>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</si>
  <si>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</si>
  <si>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</si>
  <si>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</si>
  <si>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April 2026 of Sri Jitendra Joshi J.E.  At 132 KV Sub Division Pithoragarh</t>
  </si>
  <si>
    <t>AA0A005001</t>
  </si>
  <si>
    <t>271</t>
  </si>
  <si>
    <t>1.3</t>
  </si>
  <si>
    <t>AA1A102001</t>
  </si>
  <si>
    <t>old &amp; used 7/10 SWG earth wire in pieces</t>
  </si>
  <si>
    <t>42.65</t>
  </si>
  <si>
    <t>AA0A008001</t>
  </si>
  <si>
    <t xml:space="preserve">ACSR dog conductor </t>
  </si>
  <si>
    <t>km</t>
  </si>
  <si>
    <t>FF2F233012</t>
  </si>
  <si>
    <t>Template for “C” type tower</t>
  </si>
  <si>
    <t>M.T.</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</si>
  <si>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</si>
  <si>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</si>
  <si>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</si>
  <si>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</si>
  <si>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</si>
  <si>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</si>
  <si>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</si>
  <si>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</si>
  <si>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</si>
  <si>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</si>
  <si>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</si>
  <si>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</si>
  <si>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</si>
  <si>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</si>
  <si>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</si>
  <si>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</si>
  <si>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</si>
  <si>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</si>
  <si>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</si>
  <si>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</si>
  <si>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</si>
  <si>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</si>
  <si>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</si>
  <si>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</si>
  <si>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</si>
  <si>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</si>
  <si>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</si>
  <si>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</si>
  <si>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</si>
  <si>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</si>
  <si>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</si>
  <si>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</si>
  <si>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</si>
  <si>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</si>
  <si>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</si>
  <si>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</si>
  <si>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</si>
  <si>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</si>
  <si>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</si>
  <si>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</si>
  <si>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</si>
  <si>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</si>
  <si>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</si>
  <si>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100</t>
  </si>
  <si>
    <t>Repair Sleeve for Panther</t>
  </si>
  <si>
    <t>62</t>
  </si>
  <si>
    <t>Mid Span Joint for Earth wire</t>
  </si>
  <si>
    <t>23</t>
  </si>
  <si>
    <t>II0I002002</t>
  </si>
  <si>
    <t>120 KN silicon rubber/polymer disc insulator including cross arm &amp; conductor end fitting</t>
  </si>
  <si>
    <t>2</t>
  </si>
  <si>
    <t>PG clamp moose to panther 4 bolted type</t>
  </si>
  <si>
    <t>15</t>
  </si>
  <si>
    <t>PG clamp moose to moose</t>
  </si>
  <si>
    <t>disc insulator</t>
  </si>
  <si>
    <t>118</t>
  </si>
  <si>
    <t>II0I004001</t>
  </si>
  <si>
    <t xml:space="preserve"> 70 KN 11kv disc insulator</t>
  </si>
  <si>
    <t>555</t>
  </si>
  <si>
    <t>II8I801005</t>
  </si>
  <si>
    <t>Tension Fitting (120Kn) for Panther conductor complete</t>
  </si>
  <si>
    <t>Steel  rope ½” dia best quality ISI mark</t>
  </si>
  <si>
    <t>Dismantled old &amp; damaged tower parts</t>
  </si>
  <si>
    <t>3.24947</t>
  </si>
  <si>
    <t>MS angel size 65*65*6 mm for bracing of SP-72 pole</t>
  </si>
  <si>
    <t>0.3574</t>
  </si>
  <si>
    <t>old &amp; used tower parts</t>
  </si>
  <si>
    <t>7.6325</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</si>
  <si>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</si>
  <si>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</si>
  <si>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</si>
  <si>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</si>
  <si>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</si>
  <si>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</si>
  <si>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</si>
  <si>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II8I802005</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</si>
  <si>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</si>
  <si>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</si>
  <si>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</si>
  <si>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</si>
  <si>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</si>
  <si>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</si>
  <si>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</si>
  <si>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</si>
  <si>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</si>
  <si>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</si>
  <si>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</si>
  <si>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</si>
  <si>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</si>
  <si>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</si>
  <si>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</si>
  <si>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MSJ for modifiedearth wire (7/4 m.m.)</t>
  </si>
  <si>
    <t>vibration damper for modified earth wire (7/4 m.m.)</t>
  </si>
  <si>
    <t>Compression type tension fitting for modified earth wire (7/4 m.m.)</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</si>
  <si>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</si>
  <si>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</si>
  <si>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</si>
  <si>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</si>
  <si>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</si>
  <si>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</si>
  <si>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Bolted type come along clamp,7 bolts for ACSR Panther conductor</t>
  </si>
  <si>
    <t xml:space="preserve"> come along clamp,4 bolted type suitable for 7/10 SWG Earth wire,</t>
  </si>
  <si>
    <t>Single sheave pulley open type of 5 ton capacity,</t>
  </si>
  <si>
    <t>Safety belt  PN 17 full body,</t>
  </si>
  <si>
    <t>Hydraulic conductor cutter,</t>
  </si>
  <si>
    <t>PP0P017021</t>
  </si>
  <si>
    <t>Steel rope endless sling 10 ton capacity 12 mm 1.5 Mtr,</t>
  </si>
  <si>
    <t>Steel rope endless sling 10 ton capacity 12 mm 3 Mtr,</t>
  </si>
  <si>
    <t>Physical Verification of Stock Material at 132 KV S/S Sitarganj</t>
  </si>
  <si>
    <t>Month Apr./2026</t>
  </si>
  <si>
    <t>AA0A002002</t>
  </si>
  <si>
    <t>ACSR  Moose Conductor(In bits)</t>
  </si>
  <si>
    <t>Metre</t>
  </si>
  <si>
    <t>…</t>
  </si>
  <si>
    <t>Zebra Conductor Old&amp; Used (In Bits)</t>
  </si>
  <si>
    <t>ACSR Panther Conductor old &amp;used(in bits)</t>
  </si>
  <si>
    <t>..</t>
  </si>
  <si>
    <t>AA0A002006</t>
  </si>
  <si>
    <t>ACSR  wolf Conductor old &amp;used(in bits)</t>
  </si>
  <si>
    <t>FF0F013006</t>
  </si>
  <si>
    <t>GI Angle of (different size) TD 30 B Type D/C Tower(old &amp; used)</t>
  </si>
  <si>
    <t>FF0F013013</t>
  </si>
  <si>
    <t xml:space="preserve">Double Circuit Dismantial Tower C+6 Type(Old &amp; Used) </t>
  </si>
  <si>
    <t>FF0F043003</t>
  </si>
  <si>
    <t xml:space="preserve">TD 30 B type tower stub setting templates
(old used) </t>
  </si>
  <si>
    <t>FF0F043006</t>
  </si>
  <si>
    <t>Template foe 132 KV D/C C+9  Type Tower Lattice Structure Stub Template(Old&amp; Used)</t>
  </si>
  <si>
    <t xml:space="preserve">Mt </t>
  </si>
  <si>
    <t>FF4F402001</t>
  </si>
  <si>
    <t>AL Scrap</t>
  </si>
  <si>
    <t>120KN Disc insulator (old used)</t>
  </si>
  <si>
    <t xml:space="preserve">No </t>
  </si>
  <si>
    <t>P.G. Clamp Zebra to Zebra( Old &amp; Uded)</t>
  </si>
  <si>
    <t>II0I008001</t>
  </si>
  <si>
    <t>P.G. Clamp for ACSR Wolf to Wolf Conductor</t>
  </si>
  <si>
    <t>II1I101001</t>
  </si>
  <si>
    <t>Supply of C Wedge Clamp For  AAAC Tarantulla  -  AAAC Tarantulla Conductor.</t>
  </si>
  <si>
    <t>C Wedge clamp moose to moose</t>
  </si>
  <si>
    <t>P.I.Clamp Single Moose</t>
  </si>
  <si>
    <t>Mid Span joint for panther conductor</t>
  </si>
  <si>
    <t>Repair Sleeve for ACSR  Panther Conductor</t>
  </si>
  <si>
    <t>Vibration Dampers for ACSR Panther Conductor (Old&amp; Used)</t>
  </si>
  <si>
    <t>Armrd rod for panther</t>
  </si>
  <si>
    <t>II4I404004</t>
  </si>
  <si>
    <t>Rigid Spacer for ACSR Moose</t>
  </si>
  <si>
    <t>Tension clamp for earth wire 7/10 SWG</t>
  </si>
  <si>
    <t>II5I504002</t>
  </si>
  <si>
    <t>Single Suspension bolted type fitting (120 KN) Twin moose</t>
  </si>
  <si>
    <t>sets</t>
  </si>
  <si>
    <t xml:space="preserve"> Suspention Clamp for ACSR Zebra  conductor (Old&amp; Used)</t>
  </si>
  <si>
    <t>Single Suspention fitting for ACSR panther conductor</t>
  </si>
  <si>
    <t>Suspension fitting for GS Earth wire 7/10 SWG</t>
  </si>
  <si>
    <t>Gun  Fitting Zebra conductor (Old &amp; Used)</t>
  </si>
  <si>
    <t>132 KV Feeder Trip coil/Close coil ( CGL Breaker)</t>
  </si>
  <si>
    <t>Tripping/Closing Coil 132 KV ABB CB</t>
  </si>
  <si>
    <t>Circuit Breaker control switch</t>
  </si>
  <si>
    <t>JJ5J501010</t>
  </si>
  <si>
    <t>Spring charge motor</t>
  </si>
  <si>
    <t>Density monitor switch</t>
  </si>
  <si>
    <t>JJ7J702003</t>
  </si>
  <si>
    <t>Contactor for spring charge motor CGL Breaker</t>
  </si>
  <si>
    <t>Sulphur Hex Fluoride (SF-6) Gas .</t>
  </si>
  <si>
    <t>JJ7J707005</t>
  </si>
  <si>
    <t>SF6 Gas Empty Cylinder</t>
  </si>
  <si>
    <t>JJ8J801002</t>
  </si>
  <si>
    <t>33 KV  CB Connector with  AAAC Tarantulla conductor .</t>
  </si>
  <si>
    <t>132 Lighting Arrester(Old&amp; Used)</t>
  </si>
  <si>
    <t>33 Kv LA Old&amp; Used</t>
  </si>
  <si>
    <t>PP0P001001</t>
  </si>
  <si>
    <t xml:space="preserve">Single Testionbolted type Fitting twin moose conductorWith 350 mmY strap </t>
  </si>
  <si>
    <t>PP2P220003</t>
  </si>
  <si>
    <t>1200 MM Ceiling fans (Defective &amp; Scrap)</t>
  </si>
  <si>
    <t>QQ1Q102001</t>
  </si>
  <si>
    <t>Fencing Scrap</t>
  </si>
  <si>
    <t>Aluminium alloy made isolator Female Arm assambly of HCB 132 KV Volatge Level 1200 Ampere current .</t>
  </si>
  <si>
    <t>Aluminium alloy made isolator Female Arm assambly of HCB isolator  with good and heavy duty copper finger complete in all respect suitable for isolator of 145 KV voltage level, 1200 ampere current  ( as per sample. )</t>
  </si>
  <si>
    <t>Aluminium alloy made isolator Male Arm assambly of HCB 132 KV Volatge Level 1200 Ampere current</t>
  </si>
  <si>
    <t xml:space="preserve">Aluminium alloy made isolator Male Arm assambly of HCB isolator  with good and heavy duty copper finger complete in all respect suitable for isolator of 145 KV voltage level, 1200 ampere current  ( as per sample.) </t>
  </si>
  <si>
    <t>SS3S301011</t>
  </si>
  <si>
    <t>Rotatary Bearing for 132 KV Isolator</t>
  </si>
  <si>
    <t>145 KV Post insulator</t>
  </si>
  <si>
    <t xml:space="preserve"> 33 KV isolator terminal pad Connector  suitable for  single AAAC Tarantulla conductor </t>
  </si>
  <si>
    <t>132 KV Isolator Clamp Single Moose</t>
  </si>
  <si>
    <t>SS5S501015</t>
  </si>
  <si>
    <t>Isolater Clamp Zebra Conductor (Old&amp; Used)</t>
  </si>
  <si>
    <t>132 KV  isolator clamp ACSR Panther conductor.</t>
  </si>
  <si>
    <t>TT1T101029</t>
  </si>
  <si>
    <t>Log sheet register .32 Pages.</t>
  </si>
  <si>
    <t>40 MVA T/F HV Side Bushing  clamp For Zebra conductor</t>
  </si>
  <si>
    <t>40 MVA T/F LV Side Bushing  clamp For Tarantula conductor</t>
  </si>
  <si>
    <t>VV1V103045</t>
  </si>
  <si>
    <t>132 KV  CB Pad Connector with  ACSR Zebra conductor</t>
  </si>
  <si>
    <t>VV2V202005</t>
  </si>
  <si>
    <t>Standard quality transparent silica gel breather 8Kg capacity as per sample</t>
  </si>
  <si>
    <t>Standard quality transparent silica gel breather 5 Kg capacity as per sample</t>
  </si>
  <si>
    <t>EHV Grade Transformer Oil</t>
  </si>
  <si>
    <t>T/F oil Empty Drums</t>
  </si>
  <si>
    <t>VV2V207002</t>
  </si>
  <si>
    <t>Winding temrature indicator 0-120 *C 40 MVA T/F</t>
  </si>
  <si>
    <t>PRV For 40 MVA T/F</t>
  </si>
  <si>
    <t>VV3V303002</t>
  </si>
  <si>
    <t>132 kv CT Damaged &amp; Burned (01.02.2021) Rece. Back Scrap</t>
  </si>
  <si>
    <t>VV3V303006</t>
  </si>
  <si>
    <t xml:space="preserve"> 132 KV 200/100/1,1,1 Amp CT old &amp; Used</t>
  </si>
  <si>
    <t>132 KV CT 200/100/1A 0.2 class</t>
  </si>
  <si>
    <t>VV3V305004</t>
  </si>
  <si>
    <t>33 KV CT 800/400/111</t>
  </si>
  <si>
    <t>33 KV CT Defective Scrap(old &amp; Used)</t>
  </si>
  <si>
    <t>VV5V406003</t>
  </si>
  <si>
    <t xml:space="preserve">Supply of powder coted 45*30*15 cm matellic junction box of 16 gauge sheet including din rail for 45 connectors </t>
  </si>
  <si>
    <t>VV5V406008</t>
  </si>
  <si>
    <t>CT junction box terminal link.</t>
  </si>
  <si>
    <t>VV5V407012</t>
  </si>
  <si>
    <t>33 KV    CT terminal Connector rod with   AAAC Tarantulla conductor .</t>
  </si>
  <si>
    <t xml:space="preserve">  132 KV CT terminal Connector ACSR zebra conductor.</t>
  </si>
  <si>
    <t>VV5V407028</t>
  </si>
  <si>
    <t>33kv one side 13 mm grove with cu sleeve ct clamp other side panther conductor</t>
  </si>
  <si>
    <t>VV6V505001</t>
  </si>
  <si>
    <t xml:space="preserve">  3-Phase 33KV110 Volt PT (Old&amp; Used)</t>
  </si>
  <si>
    <t>PT (Potential Transformer )Single Phase 33 KV/110 Volt</t>
  </si>
  <si>
    <t>Old&amp; Used 145 KV CVT 3 Core Accurecy Class .5 132 KV /110Volt132 KV CVT(Received Back from to switch yard)</t>
  </si>
  <si>
    <t>Old&amp; Used 145 KV CVT 3 Core Accurecy Class .2 132 KV /110Volt132 KV CVT(Received Back from to switch yard)</t>
  </si>
  <si>
    <t>VV6V601005</t>
  </si>
  <si>
    <t>PT junction box terminal link.</t>
  </si>
  <si>
    <t>33kv PT Clamp for panther conductor</t>
  </si>
  <si>
    <t>2 Volt 300 AH 10 Hr.LeadAcod Cells</t>
  </si>
  <si>
    <t>YY1Y102002</t>
  </si>
  <si>
    <t>110 Volt D.C. Charger Make Caldyne Automatics LTD</t>
  </si>
  <si>
    <t>….</t>
  </si>
  <si>
    <t xml:space="preserve"> 132 KV 500/250/1,1,1 Amp CT old &amp; Used18.04.2026 Receved Back Swith Yard</t>
  </si>
  <si>
    <t xml:space="preserve"> 132 KV 500/250/1,1,1 Amp CT Burned &amp; Scrap18.04.2026 Receved Back Swith Yard</t>
  </si>
  <si>
    <t>PP4P412002</t>
  </si>
  <si>
    <t>Iron packing case scrap (old&amp; Used)</t>
  </si>
  <si>
    <t xml:space="preserve"> Total (in Rs)</t>
  </si>
  <si>
    <t>Total Amt. of Obsolete</t>
  </si>
  <si>
    <t>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</si>
</sst>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00"/>
    <numFmt numFmtId="166" formatCode="0.0"/>
    <numFmt numFmtId="167" formatCode="0.00_ "/>
    <numFmt numFmtId="168" formatCode="0.00000"/>
    <numFmt numFmtId="169" formatCode="_(* #,##0_);_(* \(#,##0\);_(* &quot;-&quot;??_);_(@_)"/>
    <numFmt numFmtId="170" formatCode="_(* #,##0.000_);_(* \(#,##0.000\);_(* &quot;-&quot;??_);_(@_)"/>
  </numFmts>
  <fonts count="99">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theme="1"/>
      <name val="Arial"/>
      <family val="2"/>
    </font>
    <font>
      <b/>
      <sz val="14"/>
      <color theme="1"/>
      <name val="Calibri"/>
      <family val="2"/>
      <scheme val="minor"/>
    </font>
    <font>
      <b/>
      <sz val="10"/>
      <color theme="1"/>
      <name val="Calibri"/>
      <family val="2"/>
      <scheme val="minor"/>
    </font>
    <font>
      <sz val="11"/>
      <name val="Calibri"/>
      <family val="2"/>
      <scheme val="minor"/>
    </font>
    <font>
      <sz val="10"/>
      <name val="Arial"/>
      <family val="2"/>
    </font>
    <font>
      <b/>
      <sz val="11"/>
      <color theme="1"/>
      <name val="Times New Roman"/>
      <family val="1"/>
    </font>
    <font>
      <sz val="14"/>
      <color theme="1"/>
      <name val="Times New Roman"/>
      <family val="1"/>
    </font>
    <font>
      <b/>
      <u/>
      <sz val="12"/>
      <color theme="1"/>
      <name val="Times New Roman"/>
      <family val="1"/>
    </font>
    <font>
      <b/>
      <sz val="12"/>
      <color theme="1"/>
      <name val="Times New Roman"/>
      <family val="1"/>
    </font>
    <font>
      <sz val="11"/>
      <color theme="1"/>
      <name val="Times New Roman"/>
      <family val="1"/>
    </font>
    <font>
      <sz val="12"/>
      <name val="Calibri"/>
      <family val="2"/>
      <scheme val="minor"/>
    </font>
    <font>
      <sz val="11"/>
      <name val="Times New Roman"/>
      <family val="1"/>
    </font>
    <font>
      <sz val="12"/>
      <name val="Arial"/>
      <family val="2"/>
    </font>
    <font>
      <sz val="12"/>
      <color theme="1"/>
      <name val="Times New Roman"/>
      <family val="1"/>
    </font>
    <font>
      <b/>
      <sz val="14"/>
      <color theme="1"/>
      <name val="Times New Roman"/>
      <family val="1"/>
    </font>
    <font>
      <b/>
      <u/>
      <sz val="18"/>
      <color theme="1"/>
      <name val="Times New Roman"/>
      <charset val="134"/>
    </font>
    <font>
      <b/>
      <sz val="11"/>
      <color theme="1"/>
      <name val="Times New Roman"/>
      <charset val="134"/>
    </font>
    <font>
      <sz val="11"/>
      <color theme="1"/>
      <name val="Times New Roman"/>
      <charset val="134"/>
    </font>
    <font>
      <sz val="11"/>
      <name val="Calibri"/>
      <charset val="134"/>
      <scheme val="minor"/>
    </font>
    <font>
      <sz val="12"/>
      <name val="Calibri"/>
      <charset val="134"/>
      <scheme val="minor"/>
    </font>
    <font>
      <b/>
      <sz val="12"/>
      <name val="Calibri"/>
      <charset val="134"/>
      <scheme val="minor"/>
    </font>
    <font>
      <b/>
      <sz val="12"/>
      <color theme="1"/>
      <name val="Calibri"/>
      <charset val="134"/>
      <scheme val="minor"/>
    </font>
    <font>
      <sz val="12"/>
      <color indexed="8"/>
      <name val="Calibri"/>
      <charset val="134"/>
      <scheme val="minor"/>
    </font>
    <font>
      <b/>
      <sz val="12"/>
      <color indexed="8"/>
      <name val="Calibri"/>
      <charset val="134"/>
      <scheme val="minor"/>
    </font>
    <font>
      <b/>
      <sz val="12"/>
      <color theme="1"/>
      <name val="Times New Roman"/>
      <charset val="134"/>
    </font>
    <font>
      <sz val="12"/>
      <color theme="1"/>
      <name val="Calibri"/>
      <charset val="134"/>
      <scheme val="minor"/>
    </font>
    <font>
      <sz val="11"/>
      <color theme="1"/>
      <name val="Calibri"/>
      <family val="2"/>
      <scheme val="minor"/>
    </font>
    <font>
      <b/>
      <sz val="11"/>
      <name val="Times New Roman"/>
      <family val="1"/>
    </font>
    <font>
      <sz val="12"/>
      <name val="Times New Roman"/>
      <family val="1"/>
    </font>
    <font>
      <sz val="12"/>
      <name val="Calibri Light"/>
      <family val="1"/>
      <scheme val="major"/>
    </font>
    <font>
      <sz val="12"/>
      <color indexed="8"/>
      <name val="Times New Roman"/>
      <family val="1"/>
    </font>
    <font>
      <sz val="11"/>
      <color rgb="FF000000"/>
      <name val="Calibri"/>
      <family val="2"/>
    </font>
    <font>
      <sz val="13"/>
      <color theme="1"/>
      <name val="Times New Roman"/>
      <family val="1"/>
    </font>
    <font>
      <b/>
      <sz val="13"/>
      <color theme="1"/>
      <name val="Times New Roman"/>
      <family val="1"/>
    </font>
    <font>
      <b/>
      <sz val="10"/>
      <color theme="1"/>
      <name val="Times New Roman"/>
      <family val="1"/>
    </font>
    <font>
      <sz val="10"/>
      <color theme="1"/>
      <name val="Times New Roman"/>
      <family val="1"/>
    </font>
    <font>
      <b/>
      <sz val="10"/>
      <name val="Times New Roman"/>
      <family val="1"/>
    </font>
    <font>
      <sz val="10"/>
      <name val="Times New Roman"/>
      <family val="1"/>
    </font>
    <font>
      <sz val="10"/>
      <color theme="1"/>
      <name val="Calibri"/>
      <family val="2"/>
      <scheme val="minor"/>
    </font>
    <font>
      <b/>
      <sz val="11"/>
      <name val="Calibri"/>
      <family val="2"/>
      <scheme val="minor"/>
    </font>
    <font>
      <b/>
      <sz val="12"/>
      <name val="Calibri"/>
      <family val="2"/>
      <scheme val="minor"/>
    </font>
    <font>
      <b/>
      <sz val="14"/>
      <color theme="1"/>
      <name val="Arial"/>
      <family val="2"/>
    </font>
    <font>
      <shadow/>
      <sz val="12"/>
      <color theme="1"/>
      <name val="Calibri"/>
      <family val="2"/>
      <scheme val="minor"/>
    </font>
    <font>
      <b/>
      <sz val="12"/>
      <name val="Arial"/>
      <family val="2"/>
    </font>
    <font>
      <vertAlign val="superscript"/>
      <sz val="12"/>
      <color theme="1"/>
      <name val="Calibri"/>
      <family val="2"/>
      <scheme val="minor"/>
    </font>
    <font>
      <b/>
      <u/>
      <sz val="12"/>
      <color theme="1"/>
      <name val="Times New Roman"/>
      <charset val="134"/>
    </font>
    <font>
      <sz val="12"/>
      <color theme="1"/>
      <name val="Times New Roman"/>
      <charset val="134"/>
    </font>
    <font>
      <b/>
      <sz val="12"/>
      <name val="Times New Roman"/>
      <family val="1"/>
    </font>
    <font>
      <b/>
      <sz val="12"/>
      <color rgb="FF000000"/>
      <name val="Calibri"/>
      <family val="2"/>
    </font>
    <font>
      <b/>
      <u/>
      <sz val="12"/>
      <name val="Arial"/>
      <family val="2"/>
    </font>
    <font>
      <sz val="12"/>
      <color rgb="FF000000"/>
      <name val="Calibri"/>
      <family val="2"/>
    </font>
    <font>
      <b/>
      <u/>
      <sz val="12"/>
      <color rgb="FF000000"/>
      <name val="Calibri"/>
      <family val="2"/>
    </font>
    <font>
      <sz val="12"/>
      <color rgb="FF000000"/>
      <name val="Times New Roman"/>
      <family val="1"/>
    </font>
    <font>
      <b/>
      <sz val="12"/>
      <color rgb="FF000000"/>
      <name val="Times New Roman"/>
      <family val="1"/>
    </font>
    <font>
      <b/>
      <sz val="12"/>
      <color theme="1"/>
      <name val="Arial"/>
      <family val="2"/>
    </font>
    <font>
      <sz val="12"/>
      <color indexed="8"/>
      <name val="Arial"/>
      <family val="2"/>
    </font>
    <font>
      <sz val="12"/>
      <color indexed="8"/>
      <name val="Calibri"/>
      <family val="2"/>
    </font>
    <font>
      <b/>
      <sz val="12"/>
      <color indexed="8"/>
      <name val="Arial"/>
      <family val="2"/>
    </font>
    <font>
      <b/>
      <u/>
      <sz val="18"/>
      <color rgb="FFFF0000"/>
      <name val="Times New Roman"/>
      <charset val="134"/>
    </font>
    <font>
      <sz val="11"/>
      <color rgb="FFFF0000"/>
      <name val="Times New Roman"/>
      <charset val="134"/>
    </font>
    <font>
      <b/>
      <sz val="12"/>
      <color rgb="FFFF0000"/>
      <name val="Times New Roman"/>
      <charset val="134"/>
    </font>
    <font>
      <sz val="12"/>
      <color indexed="8"/>
      <name val="Times New Roman"/>
      <charset val="134"/>
    </font>
    <font>
      <sz val="12"/>
      <name val="Times New Roman"/>
      <charset val="134"/>
    </font>
    <font>
      <sz val="12"/>
      <color rgb="FFC00000"/>
      <name val="Times New Roman"/>
      <charset val="134"/>
    </font>
    <font>
      <sz val="12"/>
      <color rgb="FFFF0000"/>
      <name val="Times New Roman"/>
      <charset val="134"/>
    </font>
    <font>
      <sz val="12"/>
      <color theme="4" tint="-0.249977111117893"/>
      <name val="Times New Roman"/>
      <charset val="134"/>
    </font>
    <font>
      <sz val="12"/>
      <color theme="1"/>
      <name val="Times New Roman Regular"/>
      <charset val="134"/>
    </font>
    <font>
      <sz val="12"/>
      <name val="Times New Roman Regular"/>
      <charset val="134"/>
    </font>
    <font>
      <sz val="11"/>
      <color theme="1"/>
      <name val="Times New Roman Regular"/>
      <charset val="134"/>
    </font>
    <font>
      <sz val="12"/>
      <color rgb="FFFF0000"/>
      <name val="Times New Roman Regular"/>
      <charset val="134"/>
    </font>
    <font>
      <sz val="12"/>
      <color theme="3"/>
      <name val="Times New Roman"/>
      <charset val="134"/>
    </font>
    <font>
      <sz val="11"/>
      <color theme="3"/>
      <name val="Calibri"/>
      <charset val="134"/>
      <scheme val="minor"/>
    </font>
    <font>
      <sz val="11"/>
      <color rgb="FFFF0000"/>
      <name val="Calibri"/>
      <charset val="134"/>
      <scheme val="minor"/>
    </font>
    <font>
      <b/>
      <sz val="12"/>
      <name val="Times New Roman Bold"/>
      <charset val="134"/>
    </font>
    <font>
      <b/>
      <sz val="12"/>
      <color rgb="FFFF0000"/>
      <name val="Times New Roman Bold"/>
      <charset val="134"/>
    </font>
    <font>
      <b/>
      <sz val="12"/>
      <name val="Times New Roman"/>
      <charset val="134"/>
    </font>
    <font>
      <b/>
      <u/>
      <sz val="18"/>
      <name val="Times New Roman"/>
      <family val="1"/>
    </font>
    <font>
      <sz val="11"/>
      <name val="Calibri"/>
      <family val="2"/>
    </font>
    <font>
      <b/>
      <sz val="11"/>
      <name val="Calibri"/>
      <family val="2"/>
    </font>
    <font>
      <b/>
      <sz val="18"/>
      <color theme="1"/>
      <name val="Times New Roman"/>
      <family val="1"/>
    </font>
    <font>
      <sz val="13"/>
      <color indexed="8"/>
      <name val="Times New Roman"/>
      <family val="1"/>
    </font>
    <font>
      <sz val="13"/>
      <name val="Times New Roman"/>
      <family val="1"/>
    </font>
    <font>
      <b/>
      <sz val="11"/>
      <color indexed="8"/>
      <name val="Calibri"/>
      <family val="2"/>
    </font>
    <font>
      <sz val="9"/>
      <color theme="1"/>
      <name val="Calibri"/>
      <family val="2"/>
      <scheme val="minor"/>
    </font>
    <font>
      <b/>
      <sz val="9"/>
      <color indexed="8"/>
      <name val="Calibri"/>
      <family val="2"/>
    </font>
    <font>
      <sz val="9"/>
      <color indexed="8"/>
      <name val="Calibri"/>
      <family val="2"/>
    </font>
    <font>
      <b/>
      <sz val="9"/>
      <color theme="1"/>
      <name val="Calibri"/>
      <family val="2"/>
      <scheme val="minor"/>
    </font>
    <font>
      <b/>
      <sz val="20"/>
      <color theme="1"/>
      <name val="Calibri"/>
      <family val="2"/>
      <scheme val="minor"/>
    </font>
    <font>
      <sz val="10"/>
      <name val="Calibri"/>
      <family val="2"/>
      <scheme val="minor"/>
    </font>
    <font>
      <b/>
      <sz val="16"/>
      <color theme="1"/>
      <name val="Calibri"/>
      <family val="2"/>
      <scheme val="minor"/>
    </font>
    <font>
      <b/>
      <sz val="14"/>
      <name val="Calibri"/>
      <family val="2"/>
      <scheme val="minor"/>
    </font>
    <font>
      <b/>
      <sz val="11"/>
      <color theme="1"/>
      <name val="Arial"/>
      <family val="2"/>
    </font>
    <font>
      <b/>
      <sz val="14"/>
      <name val="Times New Roman"/>
      <family val="1"/>
    </font>
    <font>
      <b/>
      <sz val="16"/>
      <color theme="1"/>
      <name val="Times New Roman"/>
      <family val="1"/>
    </font>
    <font>
      <sz val="16"/>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92D050"/>
        <bgColor indexed="64"/>
      </patternFill>
    </fill>
    <fill>
      <patternFill patternType="solid">
        <fgColor theme="0" tint="-0.14996795556505021"/>
        <bgColor indexed="64"/>
      </patternFill>
    </fill>
    <fill>
      <patternFill patternType="solid">
        <fgColor rgb="FF00B050"/>
        <bgColor indexed="64"/>
      </patternFill>
    </fill>
    <fill>
      <patternFill patternType="solid">
        <fgColor rgb="FF00B0F0"/>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
      <patternFill patternType="solid">
        <fgColor theme="8" tint="0.79998168889431442"/>
        <bgColor indexed="64"/>
      </patternFill>
    </fill>
    <fill>
      <patternFill patternType="solid">
        <fgColor theme="0" tint="-0.14999847407452621"/>
        <bgColor rgb="FFD8D8D8"/>
      </patternFill>
    </fill>
    <fill>
      <patternFill patternType="solid">
        <fgColor theme="0" tint="-0.14999847407452621"/>
        <bgColor rgb="FFBFBFBF"/>
      </patternFill>
    </fill>
    <fill>
      <patternFill patternType="solid">
        <fgColor rgb="FFD8D8D8"/>
        <bgColor rgb="FFD8D8D8"/>
      </patternFill>
    </fill>
    <fill>
      <patternFill patternType="solid">
        <fgColor theme="0" tint="-0.14999847407452621"/>
        <bgColor indexed="64"/>
      </patternFill>
    </fill>
  </fills>
  <borders count="2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bottom/>
      <diagonal/>
    </border>
    <border>
      <left/>
      <right style="thin">
        <color indexed="64"/>
      </right>
      <top/>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35" fillId="0" borderId="0">
      <protection locked="0"/>
    </xf>
    <xf numFmtId="0" fontId="8" fillId="0" borderId="0"/>
    <xf numFmtId="169" fontId="8" fillId="0" borderId="0" applyFont="0" applyFill="0" applyBorder="0" applyAlignment="0" applyProtection="0"/>
  </cellStyleXfs>
  <cellXfs count="1093">
    <xf numFmtId="0" fontId="0" fillId="0" borderId="0" xfId="0"/>
    <xf numFmtId="2"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wrapText="1"/>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164" fontId="3"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wrapText="1"/>
    </xf>
    <xf numFmtId="0" fontId="2" fillId="2" borderId="6" xfId="0" applyFont="1" applyFill="1" applyBorder="1" applyAlignment="1">
      <alignment vertical="center" wrapText="1"/>
    </xf>
    <xf numFmtId="0" fontId="2" fillId="2" borderId="6" xfId="0" applyFont="1" applyFill="1" applyBorder="1" applyAlignment="1">
      <alignment vertical="top" wrapText="1"/>
    </xf>
    <xf numFmtId="0" fontId="3" fillId="2" borderId="6" xfId="0" applyFont="1" applyFill="1" applyBorder="1" applyAlignment="1">
      <alignment horizontal="left" vertical="center" wrapText="1"/>
    </xf>
    <xf numFmtId="0" fontId="0" fillId="0" borderId="2" xfId="0" applyBorder="1" applyAlignment="1">
      <alignment vertical="center"/>
    </xf>
    <xf numFmtId="0" fontId="3" fillId="0" borderId="6" xfId="0" applyFont="1" applyBorder="1" applyAlignment="1">
      <alignment horizontal="left" vertical="center" wrapText="1"/>
    </xf>
    <xf numFmtId="0" fontId="3" fillId="2" borderId="0" xfId="0" applyFont="1" applyFill="1" applyAlignment="1">
      <alignment horizontal="center" wrapText="1"/>
    </xf>
    <xf numFmtId="0" fontId="3" fillId="0" borderId="2" xfId="0" applyFont="1" applyBorder="1" applyAlignment="1">
      <alignment horizontal="left" vertical="top" wrapText="1"/>
    </xf>
    <xf numFmtId="0" fontId="3" fillId="0" borderId="0" xfId="0" applyFont="1"/>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3" fillId="2" borderId="0" xfId="0" applyFont="1" applyFill="1"/>
    <xf numFmtId="0" fontId="3" fillId="2" borderId="6" xfId="0" applyFont="1" applyFill="1" applyBorder="1" applyAlignment="1">
      <alignment wrapText="1"/>
    </xf>
    <xf numFmtId="0" fontId="3" fillId="0" borderId="6" xfId="0" applyFont="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wrapText="1"/>
    </xf>
    <xf numFmtId="0" fontId="3" fillId="3" borderId="0" xfId="0" applyFont="1" applyFill="1"/>
    <xf numFmtId="0" fontId="2" fillId="0" borderId="7" xfId="0" applyFont="1" applyBorder="1" applyAlignment="1">
      <alignment horizontal="center" wrapText="1"/>
    </xf>
    <xf numFmtId="0" fontId="3" fillId="0" borderId="0" xfId="0" applyFont="1" applyAlignment="1">
      <alignment horizontal="center" vertical="center"/>
    </xf>
    <xf numFmtId="0" fontId="2" fillId="3" borderId="5" xfId="0" applyFont="1" applyFill="1" applyBorder="1" applyAlignment="1">
      <alignment horizontal="center" vertical="center" wrapText="1"/>
    </xf>
    <xf numFmtId="0" fontId="2" fillId="3" borderId="2" xfId="0" applyFont="1" applyFill="1" applyBorder="1" applyAlignment="1">
      <alignment vertical="center" wrapText="1"/>
    </xf>
    <xf numFmtId="0" fontId="4" fillId="3" borderId="2" xfId="0" applyFont="1" applyFill="1" applyBorder="1" applyAlignment="1">
      <alignment horizontal="center" vertical="center"/>
    </xf>
    <xf numFmtId="0" fontId="3" fillId="2" borderId="2" xfId="0" applyFont="1" applyFill="1" applyBorder="1" applyAlignment="1">
      <alignment vertical="center" wrapText="1"/>
    </xf>
    <xf numFmtId="0" fontId="3" fillId="0" borderId="3" xfId="0" applyFont="1" applyBorder="1" applyAlignment="1">
      <alignment horizontal="center" vertical="center" wrapText="1"/>
    </xf>
    <xf numFmtId="0" fontId="4" fillId="0" borderId="2" xfId="0" applyFont="1" applyBorder="1" applyAlignment="1">
      <alignment horizontal="left" vertical="center" wrapText="1"/>
    </xf>
    <xf numFmtId="0" fontId="2" fillId="0" borderId="7" xfId="0" applyFont="1" applyFill="1" applyBorder="1" applyAlignment="1">
      <alignment horizontal="center" vertical="center" wrapText="1"/>
    </xf>
    <xf numFmtId="0" fontId="3" fillId="0" borderId="0" xfId="0" applyFont="1" applyAlignment="1">
      <alignment horizontal="center"/>
    </xf>
    <xf numFmtId="0" fontId="2" fillId="0" borderId="2" xfId="0" applyFont="1" applyBorder="1" applyAlignment="1">
      <alignment horizontal="center" wrapText="1"/>
    </xf>
    <xf numFmtId="0" fontId="2" fillId="0" borderId="5" xfId="0" applyFont="1" applyBorder="1" applyAlignment="1">
      <alignment horizontal="center" vertical="center" wrapText="1"/>
    </xf>
    <xf numFmtId="0" fontId="11" fillId="2" borderId="0" xfId="0" applyFont="1" applyFill="1" applyAlignment="1">
      <alignment horizontal="center" vertical="center"/>
    </xf>
    <xf numFmtId="0" fontId="3"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2" fontId="13" fillId="2" borderId="2" xfId="0" applyNumberFormat="1" applyFont="1" applyFill="1" applyBorder="1" applyAlignment="1">
      <alignment horizontal="center" vertical="center"/>
    </xf>
    <xf numFmtId="2" fontId="14" fillId="2" borderId="2" xfId="0" applyNumberFormat="1" applyFont="1" applyFill="1" applyBorder="1" applyAlignment="1">
      <alignment horizontal="center" vertical="center" wrapText="1"/>
    </xf>
    <xf numFmtId="0" fontId="14" fillId="2" borderId="2" xfId="0" applyFont="1" applyFill="1" applyBorder="1" applyAlignment="1">
      <alignment horizontal="left" vertical="center" wrapText="1"/>
    </xf>
    <xf numFmtId="1" fontId="14" fillId="2" borderId="2" xfId="0" applyNumberFormat="1" applyFont="1" applyFill="1" applyBorder="1" applyAlignment="1">
      <alignment horizontal="center" vertical="center" wrapText="1"/>
    </xf>
    <xf numFmtId="1" fontId="16" fillId="2" borderId="2" xfId="0" applyNumberFormat="1" applyFont="1" applyFill="1" applyBorder="1" applyAlignment="1">
      <alignment horizontal="center" vertical="center" wrapText="1"/>
    </xf>
    <xf numFmtId="0" fontId="17" fillId="2" borderId="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3" fillId="2" borderId="2" xfId="0" applyFont="1" applyFill="1" applyBorder="1" applyAlignment="1">
      <alignment horizontal="left" vertical="center"/>
    </xf>
    <xf numFmtId="0" fontId="12" fillId="2" borderId="4" xfId="0" applyFont="1" applyFill="1" applyBorder="1" applyAlignment="1">
      <alignment horizontal="center" vertical="center"/>
    </xf>
    <xf numFmtId="2" fontId="12" fillId="2" borderId="2" xfId="0" applyNumberFormat="1" applyFont="1" applyFill="1" applyBorder="1" applyAlignment="1">
      <alignment horizontal="center" vertical="center"/>
    </xf>
    <xf numFmtId="0" fontId="12" fillId="2" borderId="9" xfId="0" applyFont="1" applyFill="1" applyBorder="1" applyAlignment="1">
      <alignment horizontal="center" vertical="center"/>
    </xf>
    <xf numFmtId="2" fontId="3" fillId="2" borderId="2" xfId="0" applyNumberFormat="1" applyFont="1" applyFill="1" applyBorder="1" applyAlignment="1">
      <alignment horizontal="center" vertical="center"/>
    </xf>
    <xf numFmtId="0" fontId="2" fillId="2" borderId="0" xfId="0" applyFont="1" applyFill="1" applyAlignment="1">
      <alignment horizontal="center" wrapText="1"/>
    </xf>
    <xf numFmtId="0" fontId="5" fillId="0" borderId="2" xfId="0" applyFont="1" applyBorder="1" applyAlignment="1">
      <alignment horizontal="center" vertical="center"/>
    </xf>
    <xf numFmtId="0" fontId="5" fillId="2" borderId="2" xfId="0"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0" fontId="5" fillId="0" borderId="2" xfId="0" applyFont="1" applyBorder="1" applyAlignment="1">
      <alignment horizontal="center"/>
    </xf>
    <xf numFmtId="0" fontId="5" fillId="3" borderId="2" xfId="0" applyFont="1" applyFill="1" applyBorder="1" applyAlignment="1">
      <alignment horizontal="center" vertical="center"/>
    </xf>
    <xf numFmtId="0" fontId="23" fillId="0" borderId="2" xfId="0" applyFont="1" applyBorder="1" applyAlignment="1">
      <alignment horizontal="center" vertical="center" wrapText="1"/>
    </xf>
    <xf numFmtId="2" fontId="24" fillId="0" borderId="2" xfId="0" applyNumberFormat="1" applyFont="1" applyBorder="1" applyAlignment="1">
      <alignment horizontal="right" vertical="center" wrapText="1"/>
    </xf>
    <xf numFmtId="2" fontId="24" fillId="0" borderId="2" xfId="0" applyNumberFormat="1" applyFont="1" applyFill="1" applyBorder="1" applyAlignment="1">
      <alignment horizontal="right" vertical="center" wrapText="1"/>
    </xf>
    <xf numFmtId="0" fontId="23" fillId="0" borderId="2" xfId="0" applyFont="1" applyBorder="1" applyAlignment="1">
      <alignment horizontal="center" vertical="center"/>
    </xf>
    <xf numFmtId="0" fontId="25" fillId="0" borderId="2" xfId="0" applyFont="1" applyFill="1" applyBorder="1" applyAlignment="1">
      <alignment horizontal="center" vertical="center"/>
    </xf>
    <xf numFmtId="0" fontId="26" fillId="3" borderId="2" xfId="0" applyFont="1" applyFill="1" applyBorder="1" applyAlignment="1">
      <alignment horizontal="center" vertical="center"/>
    </xf>
    <xf numFmtId="0" fontId="25" fillId="0" borderId="2" xfId="0" applyFont="1" applyBorder="1" applyAlignment="1">
      <alignment horizontal="center" vertical="center"/>
    </xf>
    <xf numFmtId="0" fontId="27" fillId="3" borderId="2" xfId="0" applyFont="1" applyFill="1" applyBorder="1" applyAlignment="1">
      <alignment horizontal="center" vertical="center"/>
    </xf>
    <xf numFmtId="0" fontId="23" fillId="0" borderId="2" xfId="0" applyFont="1" applyFill="1" applyBorder="1" applyAlignment="1">
      <alignment horizontal="center" vertical="center"/>
    </xf>
    <xf numFmtId="0" fontId="29" fillId="0" borderId="2" xfId="0" applyFont="1" applyFill="1" applyBorder="1" applyAlignment="1">
      <alignment horizontal="left"/>
    </xf>
    <xf numFmtId="0" fontId="29" fillId="0" borderId="2" xfId="0" applyFont="1" applyBorder="1" applyAlignment="1">
      <alignment horizontal="center" vertical="center"/>
    </xf>
    <xf numFmtId="0" fontId="24" fillId="0" borderId="2" xfId="0" applyFont="1" applyFill="1" applyBorder="1" applyAlignment="1">
      <alignment horizontal="center" wrapText="1"/>
    </xf>
    <xf numFmtId="2" fontId="25" fillId="0" borderId="2" xfId="0" applyNumberFormat="1" applyFont="1" applyBorder="1" applyAlignment="1">
      <alignment vertical="center"/>
    </xf>
    <xf numFmtId="0" fontId="26" fillId="3" borderId="2" xfId="0" applyFont="1" applyFill="1" applyBorder="1" applyAlignment="1">
      <alignment horizontal="center"/>
    </xf>
    <xf numFmtId="0" fontId="29" fillId="0" borderId="2" xfId="0" applyFont="1" applyBorder="1" applyAlignment="1">
      <alignment horizontal="left"/>
    </xf>
    <xf numFmtId="0" fontId="24" fillId="2" borderId="2" xfId="0" applyFont="1" applyFill="1" applyBorder="1" applyAlignment="1">
      <alignment horizontal="center" wrapText="1"/>
    </xf>
    <xf numFmtId="0" fontId="28" fillId="0" borderId="5" xfId="0" applyFont="1" applyBorder="1" applyAlignment="1">
      <alignment horizontal="center"/>
    </xf>
    <xf numFmtId="0" fontId="28" fillId="0" borderId="6" xfId="0" applyFont="1" applyBorder="1" applyAlignment="1">
      <alignment horizontal="center"/>
    </xf>
    <xf numFmtId="0" fontId="12" fillId="2" borderId="0" xfId="0" applyFont="1" applyFill="1" applyAlignment="1">
      <alignment horizontal="left" vertical="center"/>
    </xf>
    <xf numFmtId="0" fontId="9" fillId="2" borderId="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2" fillId="0" borderId="2" xfId="0" applyFont="1" applyBorder="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2" fontId="3" fillId="0" borderId="0" xfId="0" applyNumberFormat="1" applyFont="1" applyAlignment="1">
      <alignment horizontal="center"/>
    </xf>
    <xf numFmtId="0" fontId="3" fillId="0" borderId="0" xfId="0" applyFont="1" applyAlignment="1">
      <alignment horizontal="center"/>
    </xf>
    <xf numFmtId="0" fontId="15" fillId="0" borderId="0" xfId="0" applyFont="1"/>
    <xf numFmtId="0" fontId="15" fillId="0" borderId="0" xfId="0" applyFont="1" applyAlignment="1">
      <alignment horizontal="left"/>
    </xf>
    <xf numFmtId="0" fontId="12" fillId="0" borderId="0" xfId="0" applyFont="1" applyAlignment="1">
      <alignment horizontal="left" vertical="center"/>
    </xf>
    <xf numFmtId="0" fontId="31" fillId="0" borderId="2" xfId="0" applyFont="1" applyBorder="1" applyAlignment="1">
      <alignment horizontal="center" vertical="center"/>
    </xf>
    <xf numFmtId="0" fontId="32" fillId="2" borderId="2"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2" fontId="14" fillId="0" borderId="5" xfId="0" applyNumberFormat="1" applyFont="1" applyBorder="1" applyAlignment="1">
      <alignment horizontal="right" vertical="center" wrapText="1"/>
    </xf>
    <xf numFmtId="0" fontId="14" fillId="2" borderId="5" xfId="0" applyFont="1" applyFill="1" applyBorder="1" applyAlignment="1">
      <alignment horizontal="center" vertical="center"/>
    </xf>
    <xf numFmtId="165" fontId="14" fillId="0" borderId="2" xfId="0" applyNumberFormat="1" applyFont="1" applyBorder="1" applyAlignment="1">
      <alignment horizontal="center" vertical="center"/>
    </xf>
    <xf numFmtId="164" fontId="14" fillId="0" borderId="2" xfId="0" applyNumberFormat="1" applyFont="1" applyBorder="1" applyAlignment="1">
      <alignment horizontal="center" vertical="center"/>
    </xf>
    <xf numFmtId="49" fontId="32" fillId="2" borderId="2" xfId="0" applyNumberFormat="1" applyFont="1" applyFill="1" applyBorder="1" applyAlignment="1">
      <alignment horizontal="center" vertical="center" wrapText="1"/>
    </xf>
    <xf numFmtId="2" fontId="14" fillId="0" borderId="5" xfId="0" applyNumberFormat="1" applyFont="1" applyBorder="1" applyAlignment="1">
      <alignment horizontal="right" vertical="center"/>
    </xf>
    <xf numFmtId="0" fontId="14" fillId="0" borderId="3" xfId="0" applyFont="1" applyBorder="1" applyAlignment="1">
      <alignment horizontal="left" vertical="center" wrapText="1"/>
    </xf>
    <xf numFmtId="0" fontId="32" fillId="2" borderId="3" xfId="0" applyFont="1" applyFill="1" applyBorder="1" applyAlignment="1">
      <alignment horizontal="center" vertical="center"/>
    </xf>
    <xf numFmtId="2" fontId="14" fillId="0" borderId="2" xfId="0" applyNumberFormat="1" applyFont="1" applyBorder="1" applyAlignment="1">
      <alignment horizontal="center" vertical="center"/>
    </xf>
    <xf numFmtId="49" fontId="32" fillId="2" borderId="3" xfId="0" applyNumberFormat="1" applyFont="1" applyFill="1" applyBorder="1" applyAlignment="1">
      <alignment horizontal="center" vertical="center" wrapText="1"/>
    </xf>
    <xf numFmtId="0" fontId="32" fillId="2" borderId="7" xfId="0" applyFont="1" applyFill="1" applyBorder="1" applyAlignment="1">
      <alignment horizontal="center" vertical="center"/>
    </xf>
    <xf numFmtId="0" fontId="14" fillId="0" borderId="7" xfId="0" applyFont="1" applyBorder="1" applyAlignment="1">
      <alignment horizontal="left" vertical="center" wrapText="1"/>
    </xf>
    <xf numFmtId="0" fontId="17" fillId="2" borderId="5" xfId="0" applyFont="1" applyFill="1" applyBorder="1" applyAlignment="1">
      <alignment horizontal="center" vertical="center"/>
    </xf>
    <xf numFmtId="0" fontId="16" fillId="0" borderId="2" xfId="0" applyFont="1" applyBorder="1" applyAlignment="1">
      <alignment horizontal="center" vertical="center" wrapText="1"/>
    </xf>
    <xf numFmtId="0" fontId="14" fillId="0" borderId="2" xfId="0" applyFont="1" applyBorder="1" applyAlignment="1">
      <alignment wrapText="1"/>
    </xf>
    <xf numFmtId="0" fontId="14" fillId="0" borderId="3" xfId="0" applyFont="1" applyBorder="1" applyAlignment="1">
      <alignment wrapText="1"/>
    </xf>
    <xf numFmtId="0" fontId="14" fillId="0" borderId="3" xfId="0" applyFont="1" applyBorder="1" applyAlignment="1">
      <alignment horizontal="center" vertical="center"/>
    </xf>
    <xf numFmtId="2" fontId="14" fillId="0" borderId="11" xfId="0" applyNumberFormat="1" applyFont="1" applyBorder="1" applyAlignment="1">
      <alignment horizontal="right" vertical="center" wrapText="1"/>
    </xf>
    <xf numFmtId="0" fontId="3" fillId="0" borderId="2" xfId="0" applyFont="1" applyBorder="1" applyAlignment="1">
      <alignment horizontal="right" vertical="center"/>
    </xf>
    <xf numFmtId="2" fontId="3" fillId="0" borderId="2" xfId="0" applyNumberFormat="1" applyFont="1" applyBorder="1" applyAlignment="1">
      <alignment horizontal="right" vertical="center"/>
    </xf>
    <xf numFmtId="2" fontId="3" fillId="0" borderId="2" xfId="0" applyNumberFormat="1" applyFont="1" applyBorder="1" applyAlignment="1">
      <alignment vertical="center"/>
    </xf>
    <xf numFmtId="0" fontId="17" fillId="2" borderId="11" xfId="0" applyFont="1" applyFill="1" applyBorder="1" applyAlignment="1">
      <alignment horizontal="center" vertical="center"/>
    </xf>
    <xf numFmtId="0" fontId="17" fillId="0" borderId="2" xfId="0" applyFont="1" applyBorder="1"/>
    <xf numFmtId="0" fontId="17" fillId="2" borderId="3" xfId="0" applyFont="1" applyFill="1" applyBorder="1" applyAlignment="1">
      <alignment horizontal="center" vertical="center"/>
    </xf>
    <xf numFmtId="2" fontId="3" fillId="0" borderId="2" xfId="0" applyNumberFormat="1" applyFont="1" applyBorder="1" applyAlignment="1">
      <alignment horizontal="right" vertical="center" wrapText="1"/>
    </xf>
    <xf numFmtId="0" fontId="17" fillId="2" borderId="4" xfId="0" applyFont="1" applyFill="1" applyBorder="1" applyAlignment="1">
      <alignment horizontal="center" vertical="center"/>
    </xf>
    <xf numFmtId="0" fontId="3" fillId="0" borderId="3" xfId="0" applyFont="1" applyBorder="1" applyAlignment="1">
      <alignment wrapText="1"/>
    </xf>
    <xf numFmtId="2" fontId="3" fillId="0" borderId="2" xfId="0" applyNumberFormat="1" applyFont="1" applyBorder="1" applyAlignment="1">
      <alignment horizontal="center" vertical="center" wrapText="1"/>
    </xf>
    <xf numFmtId="0" fontId="17" fillId="2" borderId="12" xfId="0" applyFont="1" applyFill="1" applyBorder="1" applyAlignment="1">
      <alignment horizontal="center" vertical="center"/>
    </xf>
    <xf numFmtId="0" fontId="17" fillId="0" borderId="3" xfId="0" applyFont="1" applyBorder="1"/>
    <xf numFmtId="0" fontId="17" fillId="2" borderId="2" xfId="0" applyFont="1" applyFill="1" applyBorder="1" applyAlignment="1">
      <alignment horizontal="center" vertical="center"/>
    </xf>
    <xf numFmtId="0" fontId="3" fillId="0" borderId="2" xfId="0" applyFont="1" applyBorder="1" applyAlignment="1">
      <alignment wrapText="1"/>
    </xf>
    <xf numFmtId="2" fontId="14" fillId="0" borderId="2" xfId="0" applyNumberFormat="1" applyFont="1" applyBorder="1" applyAlignment="1">
      <alignment horizontal="center"/>
    </xf>
    <xf numFmtId="2" fontId="3" fillId="0" borderId="2" xfId="0" applyNumberFormat="1" applyFont="1" applyBorder="1" applyAlignment="1">
      <alignment horizont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3" fillId="0" borderId="2" xfId="0" applyFont="1" applyBorder="1" applyAlignment="1">
      <alignment horizontal="center"/>
    </xf>
    <xf numFmtId="0" fontId="33" fillId="0" borderId="2" xfId="0" applyFont="1" applyBorder="1" applyAlignment="1">
      <alignment horizontal="center" vertical="center"/>
    </xf>
    <xf numFmtId="1" fontId="33" fillId="0" borderId="2" xfId="0" applyNumberFormat="1" applyFont="1" applyBorder="1" applyAlignment="1">
      <alignment horizontal="center" vertical="center"/>
    </xf>
    <xf numFmtId="0" fontId="32" fillId="2" borderId="12" xfId="0" applyFont="1" applyFill="1" applyBorder="1" applyAlignment="1">
      <alignment horizontal="center" vertical="center"/>
    </xf>
    <xf numFmtId="0" fontId="33" fillId="0" borderId="2" xfId="0" applyFont="1" applyBorder="1" applyAlignment="1">
      <alignment horizontal="justify" vertical="center" wrapText="1"/>
    </xf>
    <xf numFmtId="0" fontId="33" fillId="0" borderId="2" xfId="0" applyFont="1" applyBorder="1" applyAlignment="1">
      <alignment horizontal="center" vertical="center" wrapText="1"/>
    </xf>
    <xf numFmtId="0" fontId="33" fillId="0" borderId="3" xfId="0" applyFont="1" applyBorder="1" applyAlignment="1">
      <alignment horizontal="justify" vertical="center" wrapText="1"/>
    </xf>
    <xf numFmtId="2" fontId="14" fillId="0" borderId="2" xfId="0" applyNumberFormat="1" applyFont="1" applyBorder="1" applyAlignment="1">
      <alignment horizontal="right" vertical="center"/>
    </xf>
    <xf numFmtId="0" fontId="34" fillId="2" borderId="3" xfId="0" applyFont="1" applyFill="1" applyBorder="1" applyAlignment="1">
      <alignment horizontal="center" vertical="center"/>
    </xf>
    <xf numFmtId="0" fontId="33" fillId="0" borderId="2" xfId="0" applyFont="1" applyBorder="1" applyAlignment="1">
      <alignment horizontal="justify" vertical="center"/>
    </xf>
    <xf numFmtId="0" fontId="33" fillId="2" borderId="2" xfId="0" applyFont="1" applyFill="1" applyBorder="1" applyAlignment="1">
      <alignment horizontal="center" vertical="center"/>
    </xf>
    <xf numFmtId="0" fontId="14" fillId="0" borderId="3"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top" wrapText="1"/>
    </xf>
    <xf numFmtId="0" fontId="3" fillId="0" borderId="3" xfId="0" applyFont="1" applyBorder="1" applyAlignment="1">
      <alignment vertical="top" wrapText="1"/>
    </xf>
    <xf numFmtId="0" fontId="3" fillId="0" borderId="2" xfId="0" applyFont="1" applyBorder="1" applyAlignment="1">
      <alignment vertical="top" wrapText="1"/>
    </xf>
    <xf numFmtId="0" fontId="17" fillId="2" borderId="10" xfId="0" applyFont="1" applyFill="1" applyBorder="1" applyAlignment="1">
      <alignment horizontal="center" vertical="center"/>
    </xf>
    <xf numFmtId="0" fontId="14" fillId="0" borderId="7" xfId="0" applyFont="1" applyBorder="1" applyAlignment="1">
      <alignment wrapText="1"/>
    </xf>
    <xf numFmtId="0" fontId="3" fillId="0" borderId="10" xfId="0" applyFont="1" applyBorder="1" applyAlignment="1">
      <alignment horizontal="center" vertical="center"/>
    </xf>
    <xf numFmtId="0" fontId="17" fillId="0" borderId="10" xfId="0" applyFont="1" applyBorder="1"/>
    <xf numFmtId="0" fontId="3" fillId="0" borderId="10" xfId="0" applyFont="1" applyBorder="1" applyAlignment="1">
      <alignment horizontal="right" vertical="center"/>
    </xf>
    <xf numFmtId="0" fontId="3" fillId="0" borderId="2" xfId="0" applyFont="1" applyBorder="1" applyAlignment="1">
      <alignment horizontal="right"/>
    </xf>
    <xf numFmtId="0" fontId="12" fillId="0" borderId="5" xfId="0" applyFont="1" applyBorder="1" applyAlignment="1">
      <alignment horizontal="right" vertical="center"/>
    </xf>
    <xf numFmtId="0" fontId="12" fillId="0" borderId="4" xfId="0" applyFont="1" applyBorder="1" applyAlignment="1">
      <alignment horizontal="right" vertical="center"/>
    </xf>
    <xf numFmtId="0" fontId="12" fillId="0" borderId="6" xfId="0" applyFont="1" applyBorder="1" applyAlignment="1">
      <alignment horizontal="right" vertical="center"/>
    </xf>
    <xf numFmtId="2" fontId="12" fillId="0" borderId="2" xfId="0" applyNumberFormat="1" applyFont="1" applyBorder="1" applyAlignment="1">
      <alignment vertical="center"/>
    </xf>
    <xf numFmtId="0" fontId="12" fillId="0" borderId="5" xfId="0" applyFont="1" applyBorder="1" applyAlignment="1">
      <alignment horizontal="left"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left" vertical="center"/>
    </xf>
    <xf numFmtId="2" fontId="3" fillId="0" borderId="6" xfId="0" applyNumberFormat="1" applyFont="1" applyBorder="1" applyAlignment="1">
      <alignment horizontal="right"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3" fillId="0" borderId="2" xfId="0" applyFont="1" applyBorder="1"/>
    <xf numFmtId="0" fontId="3" fillId="0" borderId="7" xfId="0" applyFont="1" applyBorder="1" applyAlignment="1">
      <alignment horizontal="center" vertical="center"/>
    </xf>
    <xf numFmtId="0" fontId="12" fillId="0" borderId="5" xfId="0" applyFont="1" applyBorder="1" applyAlignment="1">
      <alignment horizontal="left" vertical="center"/>
    </xf>
    <xf numFmtId="0" fontId="12" fillId="0" borderId="2" xfId="0" applyFont="1" applyBorder="1" applyAlignment="1">
      <alignment horizontal="right" vertical="center"/>
    </xf>
    <xf numFmtId="2" fontId="2" fillId="0" borderId="6" xfId="0" applyNumberFormat="1" applyFont="1" applyBorder="1" applyAlignment="1">
      <alignment horizontal="right" vertical="center"/>
    </xf>
    <xf numFmtId="49" fontId="32" fillId="2" borderId="7" xfId="0" applyNumberFormat="1" applyFont="1" applyFill="1" applyBorder="1" applyAlignment="1">
      <alignment horizontal="center"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2" fillId="0" borderId="4" xfId="0" applyFont="1" applyBorder="1" applyAlignment="1">
      <alignment horizontal="left" vertical="center"/>
    </xf>
    <xf numFmtId="0" fontId="14" fillId="0" borderId="10" xfId="0" applyFont="1" applyBorder="1" applyAlignment="1">
      <alignment horizontal="center" vertical="center" wrapText="1"/>
    </xf>
    <xf numFmtId="49" fontId="17" fillId="2" borderId="2" xfId="0" applyNumberFormat="1" applyFont="1" applyFill="1" applyBorder="1" applyAlignment="1">
      <alignment horizontal="center" vertical="center"/>
    </xf>
    <xf numFmtId="0" fontId="14" fillId="0" borderId="3" xfId="0" applyFont="1" applyBorder="1" applyAlignment="1">
      <alignment horizontal="center" vertical="center" wrapText="1"/>
    </xf>
    <xf numFmtId="0" fontId="36" fillId="2" borderId="3" xfId="0" applyFont="1" applyFill="1" applyBorder="1" applyAlignment="1">
      <alignment horizontal="center" vertical="center"/>
    </xf>
    <xf numFmtId="0" fontId="36" fillId="2" borderId="11" xfId="0" applyFont="1" applyFill="1" applyBorder="1" applyAlignment="1">
      <alignment horizontal="center" vertical="center"/>
    </xf>
    <xf numFmtId="0" fontId="36" fillId="2" borderId="2"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3" xfId="0" applyFont="1" applyFill="1" applyBorder="1" applyAlignment="1">
      <alignment horizontal="center" vertical="center" wrapText="1"/>
    </xf>
    <xf numFmtId="0" fontId="36" fillId="2" borderId="10" xfId="0" applyFont="1" applyFill="1" applyBorder="1" applyAlignment="1">
      <alignment horizontal="center" vertical="center"/>
    </xf>
    <xf numFmtId="0" fontId="36" fillId="2" borderId="13" xfId="0" applyFont="1" applyFill="1" applyBorder="1" applyAlignment="1">
      <alignment horizontal="center" vertical="center"/>
    </xf>
    <xf numFmtId="0" fontId="37" fillId="2" borderId="2" xfId="0" applyFont="1" applyFill="1" applyBorder="1" applyAlignment="1">
      <alignment vertical="center"/>
    </xf>
    <xf numFmtId="0" fontId="38" fillId="2" borderId="2" xfId="0" applyFont="1" applyFill="1" applyBorder="1" applyAlignment="1">
      <alignment horizontal="center" vertical="center"/>
    </xf>
    <xf numFmtId="0" fontId="39" fillId="2" borderId="2" xfId="0" applyFont="1" applyFill="1" applyBorder="1" applyAlignment="1">
      <alignment horizontal="center" vertical="center"/>
    </xf>
    <xf numFmtId="0" fontId="13" fillId="2" borderId="10" xfId="0" applyFont="1" applyFill="1" applyBorder="1" applyAlignment="1">
      <alignment horizontal="center" vertical="center" wrapText="1"/>
    </xf>
    <xf numFmtId="2" fontId="42" fillId="0" borderId="2" xfId="0" applyNumberFormat="1" applyFont="1" applyBorder="1" applyAlignment="1">
      <alignment horizontal="center" vertical="center"/>
    </xf>
    <xf numFmtId="0" fontId="18" fillId="2" borderId="5" xfId="0" applyFont="1" applyFill="1" applyBorder="1" applyAlignment="1">
      <alignment horizontal="left" vertical="center"/>
    </xf>
    <xf numFmtId="0" fontId="18" fillId="2" borderId="4" xfId="0" applyFont="1" applyFill="1" applyBorder="1" applyAlignment="1">
      <alignment horizontal="left" vertical="center"/>
    </xf>
    <xf numFmtId="0" fontId="18" fillId="2" borderId="6" xfId="0" applyFont="1" applyFill="1" applyBorder="1" applyAlignment="1">
      <alignment horizontal="left" vertical="center"/>
    </xf>
    <xf numFmtId="1" fontId="0" fillId="0" borderId="2" xfId="0" applyNumberFormat="1" applyBorder="1" applyAlignment="1"/>
    <xf numFmtId="0" fontId="0" fillId="0" borderId="5" xfId="0" applyBorder="1" applyAlignment="1">
      <alignment horizontal="center"/>
    </xf>
    <xf numFmtId="0" fontId="6" fillId="2" borderId="5" xfId="0" applyFont="1" applyFill="1" applyBorder="1" applyAlignment="1">
      <alignment horizontal="center" vertical="center"/>
    </xf>
    <xf numFmtId="0" fontId="0" fillId="0" borderId="2" xfId="0" applyFont="1" applyFill="1" applyBorder="1" applyAlignment="1">
      <alignment horizontal="center" vertical="center"/>
    </xf>
    <xf numFmtId="0" fontId="6" fillId="0" borderId="5" xfId="0" applyFont="1" applyBorder="1" applyAlignment="1">
      <alignment horizontal="center" vertical="center"/>
    </xf>
    <xf numFmtId="0" fontId="44" fillId="0" borderId="3" xfId="0" applyFont="1" applyBorder="1" applyAlignment="1">
      <alignment horizontal="center" vertical="center" wrapText="1"/>
    </xf>
    <xf numFmtId="1" fontId="0" fillId="0" borderId="2" xfId="0" applyNumberFormat="1" applyBorder="1" applyAlignment="1">
      <alignment horizontal="center"/>
    </xf>
    <xf numFmtId="0" fontId="1" fillId="0" borderId="2" xfId="0" applyFont="1" applyBorder="1" applyAlignment="1">
      <alignment horizontal="center"/>
    </xf>
    <xf numFmtId="0" fontId="3" fillId="0" borderId="2" xfId="0" applyFont="1" applyBorder="1" applyAlignment="1">
      <alignment horizontal="center" wrapText="1"/>
    </xf>
    <xf numFmtId="0" fontId="3" fillId="0" borderId="2" xfId="0" applyFont="1" applyBorder="1" applyAlignment="1">
      <alignment horizontal="left" wrapText="1"/>
    </xf>
    <xf numFmtId="0" fontId="3" fillId="0" borderId="6" xfId="0" applyFont="1" applyBorder="1" applyAlignment="1">
      <alignment horizontal="center" vertical="top"/>
    </xf>
    <xf numFmtId="0" fontId="36" fillId="2" borderId="2" xfId="0" applyFont="1" applyFill="1" applyBorder="1"/>
    <xf numFmtId="0" fontId="3" fillId="0" borderId="2" xfId="0" applyFont="1" applyBorder="1" applyAlignment="1">
      <alignment horizontal="center" vertical="top"/>
    </xf>
    <xf numFmtId="0" fontId="36" fillId="2" borderId="0" xfId="0" applyFont="1" applyFill="1"/>
    <xf numFmtId="0" fontId="3" fillId="0" borderId="2" xfId="0" applyFont="1" applyBorder="1" applyAlignment="1">
      <alignment vertical="center"/>
    </xf>
    <xf numFmtId="0" fontId="3" fillId="2" borderId="6" xfId="0" applyFont="1" applyFill="1" applyBorder="1" applyAlignment="1">
      <alignment horizontal="left" vertical="top" wrapText="1"/>
    </xf>
    <xf numFmtId="0" fontId="2" fillId="2" borderId="2" xfId="0" applyFont="1" applyFill="1" applyBorder="1" applyAlignment="1">
      <alignment horizontal="center" wrapText="1"/>
    </xf>
    <xf numFmtId="0" fontId="3" fillId="0" borderId="6" xfId="0" applyFont="1" applyBorder="1" applyAlignment="1">
      <alignment wrapText="1"/>
    </xf>
    <xf numFmtId="0" fontId="3" fillId="0" borderId="4" xfId="0" applyFont="1" applyBorder="1" applyAlignment="1">
      <alignment vertical="top" wrapText="1"/>
    </xf>
    <xf numFmtId="0" fontId="3" fillId="0" borderId="2" xfId="0" applyFont="1" applyBorder="1" applyAlignment="1">
      <alignment horizontal="left" vertical="center"/>
    </xf>
    <xf numFmtId="0" fontId="3" fillId="2" borderId="6" xfId="0" applyFont="1" applyFill="1" applyBorder="1" applyAlignment="1">
      <alignment vertical="center" wrapText="1"/>
    </xf>
    <xf numFmtId="0" fontId="16" fillId="0" borderId="2" xfId="0" applyFont="1" applyBorder="1" applyAlignment="1">
      <alignment horizontal="left" vertical="top" wrapText="1"/>
    </xf>
    <xf numFmtId="0" fontId="46" fillId="0" borderId="2" xfId="0" applyFont="1" applyBorder="1" applyAlignment="1">
      <alignment horizontal="center" vertical="center" wrapText="1"/>
    </xf>
    <xf numFmtId="0" fontId="3" fillId="3" borderId="6" xfId="0" applyFont="1" applyFill="1" applyBorder="1" applyAlignment="1">
      <alignment vertical="top" wrapText="1"/>
    </xf>
    <xf numFmtId="49" fontId="3" fillId="2" borderId="2" xfId="0" applyNumberFormat="1" applyFont="1" applyFill="1" applyBorder="1" applyAlignment="1">
      <alignment horizontal="left" vertical="center" wrapText="1"/>
    </xf>
    <xf numFmtId="0" fontId="3" fillId="2" borderId="2" xfId="0" applyFont="1" applyFill="1" applyBorder="1" applyAlignment="1">
      <alignment horizontal="center"/>
    </xf>
    <xf numFmtId="0" fontId="2" fillId="0" borderId="2" xfId="0" applyFont="1" applyBorder="1" applyAlignment="1">
      <alignment vertical="center"/>
    </xf>
    <xf numFmtId="0" fontId="12" fillId="2" borderId="2" xfId="0" applyFont="1" applyFill="1" applyBorder="1" applyAlignment="1">
      <alignment horizontal="left" vertical="center" wrapText="1"/>
    </xf>
    <xf numFmtId="0" fontId="47" fillId="0" borderId="2" xfId="0" applyFont="1" applyBorder="1" applyAlignment="1">
      <alignment horizontal="center" vertical="center" wrapText="1"/>
    </xf>
    <xf numFmtId="0" fontId="16" fillId="0" borderId="8" xfId="0" applyFont="1" applyBorder="1" applyAlignment="1">
      <alignment horizontal="left" vertical="top" wrapText="1"/>
    </xf>
    <xf numFmtId="1" fontId="14" fillId="0" borderId="2" xfId="0" applyNumberFormat="1" applyFont="1" applyBorder="1" applyAlignment="1">
      <alignment horizontal="center" vertical="center" wrapText="1"/>
    </xf>
    <xf numFmtId="0" fontId="47" fillId="0" borderId="8" xfId="0" applyFont="1" applyBorder="1" applyAlignment="1">
      <alignment horizontal="left" vertical="top" wrapText="1"/>
    </xf>
    <xf numFmtId="0" fontId="47" fillId="0" borderId="2" xfId="0" applyFont="1" applyBorder="1" applyAlignment="1">
      <alignment horizontal="left" vertical="top" wrapText="1"/>
    </xf>
    <xf numFmtId="0" fontId="17" fillId="0" borderId="2" xfId="0" applyFont="1" applyBorder="1" applyAlignment="1">
      <alignment horizontal="left" vertical="top" wrapText="1"/>
    </xf>
    <xf numFmtId="0" fontId="3" fillId="0" borderId="0" xfId="0" applyFont="1" applyAlignment="1">
      <alignment wrapText="1"/>
    </xf>
    <xf numFmtId="0" fontId="2" fillId="2" borderId="1" xfId="0" applyFont="1" applyFill="1" applyBorder="1" applyAlignment="1">
      <alignment horizontal="center" wrapText="1"/>
    </xf>
    <xf numFmtId="0" fontId="2" fillId="2" borderId="0" xfId="0" applyFont="1" applyFill="1" applyAlignment="1">
      <alignment horizontal="center" wrapText="1"/>
    </xf>
    <xf numFmtId="0" fontId="2" fillId="2" borderId="2" xfId="0" applyFont="1" applyFill="1" applyBorder="1" applyAlignment="1">
      <alignment horizontal="center" vertical="center" wrapText="1"/>
    </xf>
    <xf numFmtId="2" fontId="2" fillId="2" borderId="5" xfId="0" applyNumberFormat="1" applyFont="1" applyFill="1" applyBorder="1" applyAlignment="1">
      <alignment horizontal="center" wrapText="1"/>
    </xf>
    <xf numFmtId="2" fontId="2" fillId="2" borderId="6" xfId="0" applyNumberFormat="1" applyFont="1" applyFill="1" applyBorder="1" applyAlignment="1">
      <alignment horizontal="center" wrapText="1"/>
    </xf>
    <xf numFmtId="2" fontId="2" fillId="2" borderId="2" xfId="0" applyNumberFormat="1" applyFont="1" applyFill="1" applyBorder="1" applyAlignment="1">
      <alignment horizontal="center" wrapText="1"/>
    </xf>
    <xf numFmtId="164" fontId="2" fillId="2" borderId="5" xfId="0" applyNumberFormat="1" applyFont="1" applyFill="1" applyBorder="1" applyAlignment="1">
      <alignment horizontal="center" wrapText="1"/>
    </xf>
    <xf numFmtId="164" fontId="2" fillId="2" borderId="6" xfId="0" applyNumberFormat="1" applyFont="1" applyFill="1" applyBorder="1" applyAlignment="1">
      <alignment horizontal="center" wrapText="1"/>
    </xf>
    <xf numFmtId="0" fontId="2" fillId="2" borderId="0" xfId="0" applyFont="1" applyFill="1" applyAlignment="1">
      <alignment wrapText="1"/>
    </xf>
    <xf numFmtId="0" fontId="2" fillId="2" borderId="0" xfId="0" applyFont="1" applyFill="1" applyAlignment="1">
      <alignment horizontal="left" vertical="center" wrapText="1"/>
    </xf>
    <xf numFmtId="164" fontId="2" fillId="2" borderId="0" xfId="0" applyNumberFormat="1" applyFont="1" applyFill="1" applyAlignment="1">
      <alignment wrapText="1"/>
    </xf>
    <xf numFmtId="0" fontId="11" fillId="2" borderId="0" xfId="0" applyFont="1" applyFill="1" applyAlignment="1">
      <alignment horizontal="center" vertical="center"/>
    </xf>
    <xf numFmtId="0" fontId="1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9" xfId="0" applyFont="1" applyFill="1" applyBorder="1" applyAlignment="1">
      <alignment horizontal="left" vertical="center"/>
    </xf>
    <xf numFmtId="17" fontId="12" fillId="2" borderId="0" xfId="0" applyNumberFormat="1" applyFont="1" applyFill="1" applyAlignment="1">
      <alignment horizontal="center" vertical="center"/>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2" fontId="17" fillId="2" borderId="2" xfId="0" applyNumberFormat="1" applyFont="1" applyFill="1" applyBorder="1" applyAlignment="1">
      <alignment horizontal="center" vertical="center"/>
    </xf>
    <xf numFmtId="164" fontId="14" fillId="2" borderId="2" xfId="0" applyNumberFormat="1" applyFont="1" applyFill="1" applyBorder="1" applyAlignment="1">
      <alignment horizontal="center" vertical="center" wrapText="1"/>
    </xf>
    <xf numFmtId="49" fontId="32" fillId="2" borderId="2" xfId="0" applyNumberFormat="1" applyFont="1" applyFill="1" applyBorder="1" applyAlignment="1">
      <alignment horizontal="left" vertical="center" wrapText="1"/>
    </xf>
    <xf numFmtId="0" fontId="17" fillId="2" borderId="2" xfId="0" applyFont="1" applyFill="1" applyBorder="1" applyAlignment="1">
      <alignment vertical="center"/>
    </xf>
    <xf numFmtId="164" fontId="17" fillId="2" borderId="2"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164" fontId="3" fillId="2" borderId="2" xfId="0" applyNumberFormat="1" applyFont="1" applyFill="1" applyBorder="1" applyAlignment="1">
      <alignment horizontal="center" vertical="center"/>
    </xf>
    <xf numFmtId="0" fontId="3" fillId="2" borderId="3" xfId="0" applyFont="1" applyFill="1" applyBorder="1" applyAlignment="1">
      <alignment horizontal="left" wrapText="1"/>
    </xf>
    <xf numFmtId="0" fontId="3" fillId="2" borderId="3" xfId="0" applyFont="1" applyFill="1" applyBorder="1" applyAlignment="1">
      <alignment wrapText="1"/>
    </xf>
    <xf numFmtId="2" fontId="17" fillId="2" borderId="3" xfId="0" applyNumberFormat="1" applyFont="1" applyFill="1" applyBorder="1" applyAlignment="1">
      <alignment horizontal="center" vertical="center"/>
    </xf>
    <xf numFmtId="0" fontId="3" fillId="2" borderId="2" xfId="0" applyFont="1" applyFill="1" applyBorder="1" applyAlignment="1">
      <alignment wrapText="1"/>
    </xf>
    <xf numFmtId="0" fontId="3" fillId="2" borderId="0" xfId="0" applyFont="1" applyFill="1" applyAlignment="1">
      <alignment wrapText="1"/>
    </xf>
    <xf numFmtId="0" fontId="12" fillId="2" borderId="0" xfId="0" applyFont="1" applyFill="1" applyAlignment="1">
      <alignment horizontal="left"/>
    </xf>
    <xf numFmtId="0" fontId="12" fillId="2" borderId="0" xfId="0" applyFont="1" applyFill="1" applyAlignment="1">
      <alignment horizontal="left"/>
    </xf>
    <xf numFmtId="0" fontId="17" fillId="2" borderId="0" xfId="0" applyFont="1" applyFill="1" applyAlignment="1"/>
    <xf numFmtId="0" fontId="17" fillId="2" borderId="0" xfId="0" applyFont="1" applyFill="1"/>
    <xf numFmtId="0" fontId="11" fillId="2" borderId="0" xfId="0" applyFont="1" applyFill="1"/>
    <xf numFmtId="0" fontId="12" fillId="2" borderId="0" xfId="0" applyFont="1" applyFill="1" applyAlignment="1">
      <alignment horizontal="center"/>
    </xf>
    <xf numFmtId="2" fontId="17" fillId="2" borderId="0" xfId="0" applyNumberFormat="1" applyFont="1" applyFill="1"/>
    <xf numFmtId="0" fontId="12" fillId="2" borderId="0" xfId="0" applyFont="1" applyFill="1"/>
    <xf numFmtId="0" fontId="12" fillId="2" borderId="9" xfId="0" applyFont="1" applyFill="1" applyBorder="1" applyAlignment="1">
      <alignment horizontal="left"/>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2" fontId="12" fillId="2" borderId="2" xfId="0" applyNumberFormat="1" applyFont="1" applyFill="1" applyBorder="1" applyAlignment="1">
      <alignment horizontal="center" wrapText="1"/>
    </xf>
    <xf numFmtId="0" fontId="12" fillId="2" borderId="2" xfId="0" applyFont="1" applyFill="1" applyBorder="1" applyAlignment="1">
      <alignment vertical="center" wrapText="1"/>
    </xf>
    <xf numFmtId="0" fontId="17" fillId="0" borderId="2" xfId="0" applyFont="1" applyBorder="1" applyAlignment="1">
      <alignment horizontal="center" vertical="center" wrapText="1"/>
    </xf>
    <xf numFmtId="0" fontId="2" fillId="0" borderId="2" xfId="0" applyFont="1" applyBorder="1" applyAlignment="1">
      <alignment horizontal="center" vertical="center"/>
    </xf>
    <xf numFmtId="2" fontId="2" fillId="2" borderId="2" xfId="0" applyNumberFormat="1" applyFont="1" applyFill="1" applyBorder="1" applyAlignment="1">
      <alignment horizontal="center" vertical="center"/>
    </xf>
    <xf numFmtId="1" fontId="2" fillId="2" borderId="2"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0" fontId="2" fillId="2" borderId="2" xfId="0" applyFont="1" applyFill="1" applyBorder="1"/>
    <xf numFmtId="2" fontId="1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164" fontId="2" fillId="2" borderId="2" xfId="0" applyNumberFormat="1" applyFont="1" applyFill="1" applyBorder="1" applyAlignment="1">
      <alignment horizontal="center" vertical="center" wrapText="1"/>
    </xf>
    <xf numFmtId="0" fontId="2" fillId="0" borderId="2" xfId="0" applyFont="1" applyBorder="1" applyAlignment="1">
      <alignment horizontal="center"/>
    </xf>
    <xf numFmtId="0" fontId="2" fillId="2" borderId="2" xfId="0" applyFont="1" applyFill="1" applyBorder="1" applyAlignment="1">
      <alignment horizontal="left" vertical="top" wrapText="1"/>
    </xf>
    <xf numFmtId="0" fontId="2" fillId="2" borderId="2" xfId="0" applyFont="1" applyFill="1" applyBorder="1" applyAlignment="1">
      <alignment horizontal="left" wrapText="1"/>
    </xf>
    <xf numFmtId="0" fontId="2" fillId="3" borderId="2" xfId="0" applyFont="1" applyFill="1" applyBorder="1" applyAlignment="1">
      <alignment horizontal="center" vertical="center"/>
    </xf>
    <xf numFmtId="164" fontId="2" fillId="2" borderId="2" xfId="0" applyNumberFormat="1" applyFont="1" applyFill="1" applyBorder="1" applyAlignment="1">
      <alignment horizontal="center" vertical="center"/>
    </xf>
    <xf numFmtId="0" fontId="2" fillId="2" borderId="6" xfId="0" applyFont="1" applyFill="1" applyBorder="1" applyAlignment="1">
      <alignment horizontal="left" vertical="center" wrapText="1"/>
    </xf>
    <xf numFmtId="1" fontId="2" fillId="2" borderId="6" xfId="0" applyNumberFormat="1" applyFont="1" applyFill="1" applyBorder="1" applyAlignment="1">
      <alignment horizontal="center" vertical="center" wrapText="1"/>
    </xf>
    <xf numFmtId="2" fontId="2" fillId="2" borderId="5" xfId="0" applyNumberFormat="1" applyFont="1" applyFill="1" applyBorder="1" applyAlignment="1">
      <alignment horizontal="center" vertical="center"/>
    </xf>
    <xf numFmtId="0" fontId="2" fillId="2" borderId="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center" vertical="center" textRotation="90" wrapText="1"/>
    </xf>
    <xf numFmtId="0" fontId="2" fillId="2" borderId="10" xfId="0" applyFont="1" applyFill="1" applyBorder="1" applyAlignment="1">
      <alignment horizontal="left" vertical="center" wrapText="1"/>
    </xf>
    <xf numFmtId="0" fontId="2" fillId="3" borderId="2" xfId="0" applyFont="1" applyFill="1" applyBorder="1" applyAlignment="1">
      <alignment horizontal="center"/>
    </xf>
    <xf numFmtId="0" fontId="2" fillId="2" borderId="6" xfId="0" applyFont="1" applyFill="1" applyBorder="1" applyAlignment="1">
      <alignment horizontal="center" vertical="center" textRotation="90" wrapText="1"/>
    </xf>
    <xf numFmtId="2" fontId="2" fillId="2" borderId="5"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0" fontId="2" fillId="0" borderId="5" xfId="0" applyFont="1" applyBorder="1" applyAlignment="1">
      <alignment horizontal="center"/>
    </xf>
    <xf numFmtId="0" fontId="2" fillId="2" borderId="7" xfId="0" applyFont="1" applyFill="1" applyBorder="1" applyAlignment="1">
      <alignment wrapText="1"/>
    </xf>
    <xf numFmtId="2" fontId="2" fillId="2" borderId="4" xfId="0" applyNumberFormat="1" applyFont="1" applyFill="1" applyBorder="1" applyAlignment="1">
      <alignment horizontal="center" vertical="center" wrapText="1"/>
    </xf>
    <xf numFmtId="0" fontId="17" fillId="0" borderId="11" xfId="0" applyFont="1" applyBorder="1" applyAlignment="1">
      <alignment horizontal="center" wrapText="1"/>
    </xf>
    <xf numFmtId="0" fontId="2" fillId="2" borderId="3" xfId="0" applyFont="1" applyFill="1" applyBorder="1" applyAlignment="1">
      <alignment wrapText="1"/>
    </xf>
    <xf numFmtId="1" fontId="2" fillId="2" borderId="5" xfId="0" applyNumberFormat="1" applyFont="1" applyFill="1" applyBorder="1" applyAlignment="1">
      <alignment horizontal="center" vertical="center" wrapText="1"/>
    </xf>
    <xf numFmtId="0" fontId="2" fillId="2" borderId="2" xfId="0" applyFont="1" applyFill="1" applyBorder="1" applyAlignment="1">
      <alignment wrapText="1"/>
    </xf>
    <xf numFmtId="0" fontId="17" fillId="0" borderId="5" xfId="0" applyFont="1" applyBorder="1" applyAlignment="1">
      <alignment horizontal="center" wrapText="1"/>
    </xf>
    <xf numFmtId="2" fontId="17" fillId="2" borderId="2" xfId="0" applyNumberFormat="1" applyFont="1" applyFill="1" applyBorder="1" applyAlignment="1">
      <alignment horizontal="center" vertical="center" wrapText="1"/>
    </xf>
    <xf numFmtId="0" fontId="17" fillId="2" borderId="0" xfId="0" applyFont="1" applyFill="1" applyAlignment="1">
      <alignment horizontal="center"/>
    </xf>
    <xf numFmtId="0" fontId="12" fillId="2" borderId="0" xfId="0" applyFont="1" applyFill="1" applyAlignment="1">
      <alignment horizontal="center"/>
    </xf>
    <xf numFmtId="0" fontId="17" fillId="2" borderId="0" xfId="0" applyFont="1" applyFill="1" applyAlignment="1">
      <alignment vertical="center"/>
    </xf>
    <xf numFmtId="0" fontId="17" fillId="2" borderId="0" xfId="0" applyFont="1" applyFill="1" applyAlignment="1">
      <alignment wrapText="1"/>
    </xf>
    <xf numFmtId="2" fontId="17" fillId="2" borderId="0" xfId="0" applyNumberFormat="1" applyFont="1" applyFill="1" applyAlignment="1">
      <alignment horizontal="left"/>
    </xf>
    <xf numFmtId="0" fontId="49" fillId="0" borderId="0" xfId="0" applyFont="1" applyAlignment="1">
      <alignment horizontal="center"/>
    </xf>
    <xf numFmtId="0" fontId="28" fillId="0" borderId="0" xfId="0" applyFont="1"/>
    <xf numFmtId="0" fontId="50" fillId="0" borderId="0" xfId="0" applyFont="1"/>
    <xf numFmtId="0" fontId="50" fillId="0" borderId="0" xfId="0" applyFont="1" applyAlignment="1">
      <alignment horizontal="left"/>
    </xf>
    <xf numFmtId="0" fontId="50" fillId="0" borderId="0" xfId="0" applyFont="1" applyAlignment="1">
      <alignment horizontal="left"/>
    </xf>
    <xf numFmtId="0" fontId="50" fillId="0" borderId="9" xfId="0" applyFont="1" applyBorder="1" applyAlignment="1">
      <alignment horizontal="left"/>
    </xf>
    <xf numFmtId="0" fontId="50" fillId="0" borderId="0" xfId="0" applyFont="1" applyBorder="1" applyAlignment="1">
      <alignment horizontal="left"/>
    </xf>
    <xf numFmtId="0" fontId="50" fillId="0" borderId="9" xfId="0" applyFont="1" applyBorder="1" applyAlignment="1">
      <alignment horizontal="center"/>
    </xf>
    <xf numFmtId="0" fontId="28" fillId="0" borderId="2" xfId="0" applyFont="1" applyBorder="1" applyAlignment="1">
      <alignment horizontal="center" vertical="center" wrapText="1"/>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10" xfId="0" applyFont="1" applyBorder="1" applyAlignment="1">
      <alignment horizontal="center" vertical="center"/>
    </xf>
    <xf numFmtId="0" fontId="28" fillId="0" borderId="2" xfId="0" applyFont="1" applyBorder="1" applyAlignment="1">
      <alignment horizontal="center" vertical="center"/>
    </xf>
    <xf numFmtId="0" fontId="50" fillId="3" borderId="2" xfId="0" applyFont="1" applyFill="1" applyBorder="1" applyAlignment="1">
      <alignment horizontal="center" vertical="center"/>
    </xf>
    <xf numFmtId="0" fontId="23" fillId="0" borderId="2" xfId="0" applyFont="1" applyFill="1" applyBorder="1" applyAlignment="1">
      <alignment horizontal="left" vertical="center" wrapText="1"/>
    </xf>
    <xf numFmtId="0" fontId="24" fillId="0" borderId="2" xfId="0" applyFont="1" applyFill="1" applyBorder="1" applyAlignment="1">
      <alignment horizontal="center" vertical="center"/>
    </xf>
    <xf numFmtId="2" fontId="25" fillId="0" borderId="2" xfId="0" applyNumberFormat="1" applyFont="1" applyBorder="1" applyAlignment="1">
      <alignment horizontal="center" vertical="center" wrapText="1"/>
    </xf>
    <xf numFmtId="2" fontId="25" fillId="0" borderId="2" xfId="0" applyNumberFormat="1" applyFont="1" applyFill="1" applyBorder="1" applyAlignment="1">
      <alignment horizontal="center" vertical="center" wrapText="1"/>
    </xf>
    <xf numFmtId="0" fontId="23" fillId="2" borderId="2" xfId="0" applyFont="1" applyFill="1" applyBorder="1" applyAlignment="1">
      <alignment horizontal="left" vertical="center" wrapText="1"/>
    </xf>
    <xf numFmtId="2" fontId="25" fillId="2" borderId="2" xfId="0" applyNumberFormat="1" applyFont="1" applyFill="1" applyBorder="1" applyAlignment="1">
      <alignment horizontal="center" vertical="center" wrapText="1"/>
    </xf>
    <xf numFmtId="0" fontId="28" fillId="0" borderId="2" xfId="0" applyFont="1" applyFill="1" applyBorder="1" applyAlignment="1">
      <alignment horizontal="center" vertical="center"/>
    </xf>
    <xf numFmtId="0" fontId="50" fillId="0" borderId="2" xfId="0" applyFont="1" applyBorder="1" applyAlignment="1">
      <alignment horizontal="center"/>
    </xf>
    <xf numFmtId="0" fontId="50" fillId="0" borderId="2" xfId="0" applyFont="1" applyBorder="1"/>
    <xf numFmtId="2" fontId="28" fillId="0" borderId="2" xfId="0" applyNumberFormat="1" applyFont="1" applyBorder="1" applyAlignment="1">
      <alignment horizontal="center"/>
    </xf>
    <xf numFmtId="0" fontId="28" fillId="0" borderId="0" xfId="0" applyFont="1" applyBorder="1" applyAlignment="1">
      <alignment horizontal="center" vertical="center"/>
    </xf>
    <xf numFmtId="0" fontId="28" fillId="0" borderId="4" xfId="0" applyFont="1" applyBorder="1" applyAlignment="1">
      <alignment horizontal="center"/>
    </xf>
    <xf numFmtId="0" fontId="28" fillId="0" borderId="2" xfId="0" applyFont="1" applyBorder="1" applyAlignment="1">
      <alignment horizontal="center"/>
    </xf>
    <xf numFmtId="0" fontId="50" fillId="0" borderId="0" xfId="0" applyFont="1" applyBorder="1"/>
    <xf numFmtId="0" fontId="50" fillId="0" borderId="0" xfId="0" applyFont="1" applyBorder="1" applyAlignment="1">
      <alignment horizontal="center"/>
    </xf>
    <xf numFmtId="2" fontId="28" fillId="0" borderId="0" xfId="0" applyNumberFormat="1" applyFont="1" applyBorder="1" applyAlignment="1">
      <alignment horizontal="center"/>
    </xf>
    <xf numFmtId="0" fontId="11" fillId="0" borderId="0" xfId="0" applyFont="1" applyAlignment="1">
      <alignment horizontal="center"/>
    </xf>
    <xf numFmtId="0" fontId="17" fillId="0" borderId="0" xfId="0" applyFont="1"/>
    <xf numFmtId="0" fontId="12" fillId="0" borderId="0" xfId="0" applyFont="1"/>
    <xf numFmtId="0" fontId="17" fillId="0" borderId="0" xfId="0" applyFont="1" applyAlignment="1">
      <alignment horizontal="center" vertical="center"/>
    </xf>
    <xf numFmtId="0" fontId="32" fillId="0" borderId="0" xfId="0" applyFont="1"/>
    <xf numFmtId="0" fontId="17" fillId="0" borderId="0" xfId="0" applyFont="1" applyAlignment="1">
      <alignment horizontal="left"/>
    </xf>
    <xf numFmtId="0" fontId="32" fillId="0" borderId="0" xfId="0" applyFont="1" applyAlignment="1">
      <alignment horizontal="left"/>
    </xf>
    <xf numFmtId="0" fontId="17" fillId="0" borderId="0" xfId="0" applyFont="1" applyAlignment="1">
      <alignment horizontal="left"/>
    </xf>
    <xf numFmtId="17" fontId="17" fillId="0" borderId="0" xfId="0" applyNumberFormat="1" applyFont="1" applyAlignment="1">
      <alignment horizontal="center"/>
    </xf>
    <xf numFmtId="0" fontId="17" fillId="0" borderId="9" xfId="0" applyFont="1" applyBorder="1" applyAlignment="1">
      <alignment horizontal="left"/>
    </xf>
    <xf numFmtId="0" fontId="17" fillId="0" borderId="9" xfId="0" applyFont="1" applyBorder="1" applyAlignment="1">
      <alignment horizontal="center" vertical="center"/>
    </xf>
    <xf numFmtId="0" fontId="32" fillId="0" borderId="9" xfId="0" applyFont="1" applyBorder="1" applyAlignment="1">
      <alignment horizontal="left"/>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51" fillId="0" borderId="2" xfId="0" applyFont="1" applyBorder="1" applyAlignment="1">
      <alignment horizontal="center" vertical="center"/>
    </xf>
    <xf numFmtId="0" fontId="51" fillId="0" borderId="3" xfId="0" applyFont="1" applyBorder="1" applyAlignment="1">
      <alignment horizontal="center" vertical="center"/>
    </xf>
    <xf numFmtId="0" fontId="12" fillId="0" borderId="3" xfId="0" applyFont="1" applyBorder="1" applyAlignment="1">
      <alignment horizontal="center" vertical="center" wrapText="1"/>
    </xf>
    <xf numFmtId="0" fontId="51"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2" fontId="17" fillId="0" borderId="2" xfId="0" applyNumberFormat="1" applyFont="1" applyBorder="1" applyAlignment="1">
      <alignment horizontal="right" vertical="center"/>
    </xf>
    <xf numFmtId="2" fontId="17" fillId="0" borderId="3" xfId="0" applyNumberFormat="1" applyFont="1" applyBorder="1" applyAlignment="1">
      <alignment horizontal="right" vertical="center"/>
    </xf>
    <xf numFmtId="2" fontId="12" fillId="0" borderId="2" xfId="0" applyNumberFormat="1" applyFont="1" applyBorder="1" applyAlignment="1">
      <alignment horizontal="right" vertical="center"/>
    </xf>
    <xf numFmtId="0" fontId="17" fillId="0" borderId="2" xfId="0" applyFont="1" applyBorder="1" applyAlignment="1">
      <alignment horizontal="center" vertical="center"/>
    </xf>
    <xf numFmtId="2" fontId="17" fillId="0" borderId="2" xfId="0" applyNumberFormat="1" applyFont="1" applyBorder="1"/>
    <xf numFmtId="0" fontId="12" fillId="0" borderId="4" xfId="0" applyFont="1" applyBorder="1" applyAlignment="1">
      <alignment horizontal="right"/>
    </xf>
    <xf numFmtId="0" fontId="12" fillId="0" borderId="6" xfId="0" applyFont="1" applyBorder="1" applyAlignment="1">
      <alignment horizontal="right"/>
    </xf>
    <xf numFmtId="2" fontId="12" fillId="0" borderId="2" xfId="0" applyNumberFormat="1" applyFont="1" applyBorder="1"/>
    <xf numFmtId="0" fontId="12" fillId="0" borderId="10" xfId="0" applyFont="1" applyBorder="1" applyAlignment="1">
      <alignment horizontal="center" vertical="center"/>
    </xf>
    <xf numFmtId="2" fontId="17" fillId="0" borderId="10" xfId="0" applyNumberFormat="1" applyFont="1" applyBorder="1" applyAlignment="1">
      <alignment horizontal="right" vertical="center"/>
    </xf>
    <xf numFmtId="0" fontId="17" fillId="0" borderId="3" xfId="0" applyFont="1" applyBorder="1" applyAlignment="1">
      <alignment horizontal="center" vertical="center"/>
    </xf>
    <xf numFmtId="0" fontId="16" fillId="0" borderId="3" xfId="0" applyFont="1" applyBorder="1" applyAlignment="1">
      <alignment vertical="center" wrapText="1"/>
    </xf>
    <xf numFmtId="0" fontId="17" fillId="0" borderId="2" xfId="0" applyFont="1" applyBorder="1" applyAlignment="1">
      <alignment vertical="center"/>
    </xf>
    <xf numFmtId="0" fontId="17" fillId="0" borderId="2" xfId="0" applyFont="1" applyBorder="1" applyAlignment="1">
      <alignment horizontal="right" vertical="center"/>
    </xf>
    <xf numFmtId="0" fontId="12" fillId="0" borderId="2" xfId="0" applyFont="1" applyBorder="1" applyAlignment="1">
      <alignment horizontal="right"/>
    </xf>
    <xf numFmtId="0" fontId="12" fillId="0" borderId="2" xfId="0" applyFont="1" applyBorder="1"/>
    <xf numFmtId="2" fontId="3" fillId="0" borderId="7" xfId="0" applyNumberFormat="1" applyFont="1" applyBorder="1" applyAlignment="1">
      <alignment horizontal="right" vertical="center" wrapText="1"/>
    </xf>
    <xf numFmtId="0" fontId="52" fillId="4" borderId="0" xfId="0" applyFont="1" applyFill="1" applyAlignment="1">
      <alignment horizontal="center"/>
    </xf>
    <xf numFmtId="0" fontId="52" fillId="4" borderId="2" xfId="0" applyFont="1" applyFill="1" applyBorder="1" applyAlignment="1">
      <alignment horizontal="center" vertical="center" wrapText="1"/>
    </xf>
    <xf numFmtId="0" fontId="52" fillId="4" borderId="2" xfId="0" applyFont="1" applyFill="1" applyBorder="1" applyAlignment="1">
      <alignment horizontal="left" vertical="center" wrapText="1"/>
    </xf>
    <xf numFmtId="14" fontId="52" fillId="4" borderId="2" xfId="0" applyNumberFormat="1" applyFont="1" applyFill="1" applyBorder="1" applyAlignment="1">
      <alignment horizontal="center" vertical="center" wrapText="1"/>
    </xf>
    <xf numFmtId="0" fontId="53" fillId="4" borderId="2" xfId="0" applyFont="1" applyFill="1" applyBorder="1" applyAlignment="1">
      <alignment horizontal="center" vertical="center"/>
    </xf>
    <xf numFmtId="0" fontId="53" fillId="4" borderId="2" xfId="0" applyFont="1" applyFill="1" applyBorder="1" applyAlignment="1">
      <alignment horizontal="center" vertical="center" wrapText="1"/>
    </xf>
    <xf numFmtId="0" fontId="53" fillId="4" borderId="2" xfId="0" applyFont="1" applyFill="1" applyBorder="1" applyAlignment="1">
      <alignment horizontal="right" vertical="center"/>
    </xf>
    <xf numFmtId="2" fontId="52" fillId="4" borderId="3" xfId="0" applyNumberFormat="1" applyFont="1" applyFill="1" applyBorder="1" applyAlignment="1">
      <alignment horizontal="center" vertical="center" wrapText="1"/>
    </xf>
    <xf numFmtId="2" fontId="52" fillId="4" borderId="10" xfId="0" applyNumberFormat="1" applyFont="1" applyFill="1" applyBorder="1" applyAlignment="1">
      <alignment horizontal="center" vertical="center" wrapText="1"/>
    </xf>
    <xf numFmtId="0" fontId="52" fillId="4" borderId="2" xfId="0" applyFont="1" applyFill="1" applyBorder="1" applyAlignment="1">
      <alignment horizontal="center" vertical="center" wrapText="1"/>
    </xf>
    <xf numFmtId="2" fontId="52" fillId="4" borderId="2" xfId="0" applyNumberFormat="1" applyFont="1" applyFill="1" applyBorder="1" applyAlignment="1">
      <alignment horizontal="center" vertical="center" wrapText="1"/>
    </xf>
    <xf numFmtId="0" fontId="53" fillId="4" borderId="2" xfId="1" applyFont="1" applyFill="1" applyBorder="1" applyAlignment="1" applyProtection="1">
      <alignment horizontal="center" vertical="center" wrapText="1"/>
    </xf>
    <xf numFmtId="0" fontId="54" fillId="4" borderId="2" xfId="0" applyFont="1" applyFill="1" applyBorder="1" applyAlignment="1"/>
    <xf numFmtId="0" fontId="53" fillId="4" borderId="4" xfId="1" applyFont="1" applyFill="1" applyBorder="1" applyAlignment="1" applyProtection="1">
      <alignment horizontal="center" vertical="center" wrapText="1"/>
    </xf>
    <xf numFmtId="0" fontId="53" fillId="4" borderId="2" xfId="1" applyFont="1" applyFill="1" applyBorder="1" applyAlignment="1" applyProtection="1">
      <alignment horizontal="right" vertical="center" wrapText="1"/>
    </xf>
    <xf numFmtId="2" fontId="52" fillId="4" borderId="2" xfId="1" applyNumberFormat="1" applyFont="1" applyFill="1" applyBorder="1" applyAlignment="1" applyProtection="1">
      <alignment horizontal="center" vertical="center" wrapText="1"/>
    </xf>
    <xf numFmtId="0" fontId="52" fillId="4" borderId="2" xfId="1" applyFont="1" applyFill="1" applyBorder="1" applyAlignment="1" applyProtection="1">
      <alignment horizontal="center" vertical="center" wrapText="1"/>
    </xf>
    <xf numFmtId="0" fontId="52" fillId="4" borderId="2" xfId="0" applyFont="1" applyFill="1" applyBorder="1" applyAlignment="1">
      <alignment horizontal="center" vertical="center"/>
    </xf>
    <xf numFmtId="0" fontId="54" fillId="4" borderId="2" xfId="1" applyFont="1" applyFill="1" applyBorder="1" applyAlignment="1" applyProtection="1">
      <alignment horizontal="center" vertical="center" wrapText="1"/>
    </xf>
    <xf numFmtId="0" fontId="54" fillId="4" borderId="6" xfId="1" applyFont="1" applyFill="1" applyBorder="1" applyAlignment="1" applyProtection="1">
      <alignment horizontal="left" wrapText="1"/>
    </xf>
    <xf numFmtId="0" fontId="54" fillId="4" borderId="2" xfId="1" applyFont="1" applyFill="1" applyBorder="1" applyAlignment="1" applyProtection="1">
      <alignment horizontal="right" vertical="center" wrapText="1"/>
    </xf>
    <xf numFmtId="2" fontId="54" fillId="4" borderId="2" xfId="1" applyNumberFormat="1" applyFont="1" applyFill="1" applyBorder="1" applyAlignment="1" applyProtection="1">
      <alignment horizontal="center" vertical="center" wrapText="1"/>
    </xf>
    <xf numFmtId="49" fontId="54" fillId="4" borderId="2" xfId="1" applyNumberFormat="1" applyFont="1" applyFill="1" applyBorder="1" applyAlignment="1" applyProtection="1">
      <alignment horizontal="center" vertical="center" wrapText="1"/>
    </xf>
    <xf numFmtId="0" fontId="55" fillId="4" borderId="6" xfId="1" applyFont="1" applyFill="1" applyBorder="1" applyAlignment="1" applyProtection="1">
      <alignment horizontal="center" vertical="center" wrapText="1"/>
    </xf>
    <xf numFmtId="0" fontId="54" fillId="4" borderId="6" xfId="1" applyFont="1" applyFill="1" applyBorder="1" applyAlignment="1" applyProtection="1">
      <alignment wrapText="1"/>
    </xf>
    <xf numFmtId="0" fontId="54" fillId="4" borderId="6" xfId="1" applyFont="1" applyFill="1" applyBorder="1" applyAlignment="1" applyProtection="1">
      <alignment vertical="center" wrapText="1"/>
    </xf>
    <xf numFmtId="0" fontId="55" fillId="4" borderId="0" xfId="0" applyFont="1" applyFill="1" applyAlignment="1">
      <alignment horizontal="center" vertical="center" wrapText="1"/>
    </xf>
    <xf numFmtId="0" fontId="54" fillId="4" borderId="0" xfId="0" applyFont="1" applyFill="1" applyAlignment="1"/>
    <xf numFmtId="0" fontId="54" fillId="4" borderId="6" xfId="1" applyFont="1" applyFill="1" applyBorder="1" applyAlignment="1" applyProtection="1">
      <alignment horizontal="left" vertical="center" wrapText="1"/>
    </xf>
    <xf numFmtId="0" fontId="54" fillId="4" borderId="2" xfId="1" applyFont="1" applyFill="1" applyBorder="1" applyAlignment="1" applyProtection="1">
      <alignment horizontal="right" wrapText="1"/>
    </xf>
    <xf numFmtId="0" fontId="54" fillId="4" borderId="6" xfId="1" applyFont="1" applyFill="1" applyBorder="1" applyAlignment="1" applyProtection="1">
      <alignment horizontal="left" vertical="top" wrapText="1"/>
    </xf>
    <xf numFmtId="0" fontId="54" fillId="4" borderId="2" xfId="1" applyFont="1" applyFill="1" applyBorder="1" applyAlignment="1" applyProtection="1">
      <alignment horizontal="right" vertical="top" wrapText="1"/>
    </xf>
    <xf numFmtId="0" fontId="54" fillId="4" borderId="2" xfId="1" applyFont="1" applyFill="1" applyBorder="1" applyAlignment="1" applyProtection="1">
      <alignment horizontal="left" wrapText="1"/>
    </xf>
    <xf numFmtId="0" fontId="55" fillId="4" borderId="0" xfId="1" applyFont="1" applyFill="1" applyAlignment="1" applyProtection="1">
      <alignment horizontal="center" vertical="center" wrapText="1"/>
    </xf>
    <xf numFmtId="2" fontId="54" fillId="4" borderId="10" xfId="1" applyNumberFormat="1" applyFont="1" applyFill="1" applyBorder="1" applyAlignment="1" applyProtection="1">
      <alignment horizontal="center" vertical="center" wrapText="1"/>
    </xf>
    <xf numFmtId="0" fontId="56" fillId="4" borderId="6" xfId="1" applyFont="1" applyFill="1" applyBorder="1" applyAlignment="1" applyProtection="1">
      <alignment wrapText="1"/>
    </xf>
    <xf numFmtId="2" fontId="54" fillId="4" borderId="0" xfId="0" applyNumberFormat="1" applyFont="1" applyFill="1" applyAlignment="1"/>
    <xf numFmtId="0" fontId="54" fillId="4" borderId="2" xfId="1" applyFont="1" applyFill="1" applyBorder="1" applyAlignment="1" applyProtection="1">
      <alignment horizontal="left" vertical="center" wrapText="1"/>
    </xf>
    <xf numFmtId="0" fontId="52" fillId="4" borderId="0" xfId="0" applyFont="1" applyFill="1" applyAlignment="1">
      <alignment horizontal="center" vertical="center"/>
    </xf>
    <xf numFmtId="0" fontId="54" fillId="4" borderId="0" xfId="1" applyFont="1" applyFill="1" applyAlignment="1" applyProtection="1">
      <alignment horizontal="center" vertical="center" wrapText="1"/>
    </xf>
    <xf numFmtId="0" fontId="54" fillId="4" borderId="0" xfId="1" applyFont="1" applyFill="1" applyAlignment="1" applyProtection="1">
      <alignment horizontal="left" wrapText="1"/>
    </xf>
    <xf numFmtId="0" fontId="54" fillId="4" borderId="0" xfId="1" applyFont="1" applyFill="1" applyAlignment="1" applyProtection="1">
      <alignment horizontal="right" vertical="center" wrapText="1"/>
    </xf>
    <xf numFmtId="2" fontId="54" fillId="4" borderId="0" xfId="1" applyNumberFormat="1" applyFont="1" applyFill="1" applyAlignment="1" applyProtection="1">
      <alignment horizontal="center" vertical="center" wrapText="1"/>
    </xf>
    <xf numFmtId="49" fontId="54" fillId="4" borderId="0" xfId="1" applyNumberFormat="1" applyFont="1" applyFill="1" applyAlignment="1" applyProtection="1">
      <alignment horizontal="center" vertical="center" wrapText="1"/>
    </xf>
    <xf numFmtId="0" fontId="55" fillId="4" borderId="0" xfId="0" applyFont="1" applyFill="1" applyAlignment="1">
      <alignment horizontal="center"/>
    </xf>
    <xf numFmtId="0" fontId="54" fillId="4" borderId="0" xfId="0" applyFont="1" applyFill="1" applyAlignment="1">
      <alignment horizontal="right"/>
    </xf>
    <xf numFmtId="2" fontId="54" fillId="4" borderId="0" xfId="0" applyNumberFormat="1" applyFont="1" applyFill="1" applyAlignment="1">
      <alignment horizontal="right"/>
    </xf>
    <xf numFmtId="0" fontId="52" fillId="4" borderId="2" xfId="0" applyFont="1" applyFill="1" applyBorder="1" applyAlignment="1">
      <alignment horizontal="center"/>
    </xf>
    <xf numFmtId="2" fontId="52" fillId="4" borderId="5" xfId="0" applyNumberFormat="1" applyFont="1" applyFill="1" applyBorder="1" applyAlignment="1">
      <alignment horizontal="center"/>
    </xf>
    <xf numFmtId="0" fontId="52" fillId="4" borderId="4" xfId="0" applyFont="1" applyFill="1" applyBorder="1" applyAlignment="1">
      <alignment horizontal="center"/>
    </xf>
    <xf numFmtId="0" fontId="52" fillId="4" borderId="6" xfId="0" applyFont="1" applyFill="1" applyBorder="1" applyAlignment="1">
      <alignment horizontal="center"/>
    </xf>
    <xf numFmtId="2" fontId="52" fillId="4" borderId="4" xfId="0" applyNumberFormat="1" applyFont="1" applyFill="1" applyBorder="1" applyAlignment="1">
      <alignment horizontal="center"/>
    </xf>
    <xf numFmtId="2" fontId="52" fillId="4" borderId="6" xfId="0" applyNumberFormat="1" applyFont="1" applyFill="1" applyBorder="1" applyAlignment="1">
      <alignment horizontal="center"/>
    </xf>
    <xf numFmtId="0" fontId="2" fillId="0" borderId="9" xfId="0" applyFont="1" applyBorder="1" applyAlignment="1">
      <alignment horizontal="center" vertical="center" wrapText="1"/>
    </xf>
    <xf numFmtId="0" fontId="17" fillId="2" borderId="3"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wrapText="1"/>
    </xf>
    <xf numFmtId="0" fontId="17" fillId="2" borderId="10" xfId="0" applyFont="1" applyFill="1" applyBorder="1" applyAlignment="1">
      <alignment horizontal="center" vertical="center"/>
    </xf>
    <xf numFmtId="0" fontId="17" fillId="2" borderId="13" xfId="0" applyFont="1" applyFill="1" applyBorder="1" applyAlignment="1">
      <alignment horizontal="center" vertical="center"/>
    </xf>
    <xf numFmtId="0" fontId="12" fillId="2" borderId="2" xfId="0" applyFont="1" applyFill="1" applyBorder="1" applyAlignment="1">
      <alignment vertical="center"/>
    </xf>
    <xf numFmtId="0" fontId="17" fillId="2" borderId="10" xfId="0" applyFont="1" applyFill="1" applyBorder="1" applyAlignment="1">
      <alignment horizontal="center" vertical="center" wrapText="1"/>
    </xf>
    <xf numFmtId="0" fontId="3" fillId="3" borderId="2" xfId="0" applyNumberFormat="1" applyFont="1" applyFill="1" applyBorder="1" applyAlignment="1" applyProtection="1">
      <alignment horizontal="center"/>
    </xf>
    <xf numFmtId="0" fontId="3" fillId="3" borderId="2" xfId="0" applyNumberFormat="1" applyFont="1" applyFill="1" applyBorder="1" applyAlignment="1" applyProtection="1">
      <alignment horizontal="center" vertical="top"/>
    </xf>
    <xf numFmtId="0" fontId="3" fillId="3" borderId="2" xfId="0" applyFont="1" applyFill="1" applyBorder="1" applyAlignment="1">
      <alignment horizontal="center" vertical="top" wrapText="1"/>
    </xf>
    <xf numFmtId="0" fontId="3" fillId="3" borderId="2" xfId="0" applyFont="1" applyFill="1" applyBorder="1" applyAlignment="1">
      <alignment vertical="top"/>
    </xf>
    <xf numFmtId="0" fontId="3" fillId="3" borderId="2" xfId="0" applyFont="1" applyFill="1" applyBorder="1" applyAlignment="1">
      <alignment horizontal="center" vertical="center"/>
    </xf>
    <xf numFmtId="0" fontId="17" fillId="3" borderId="2" xfId="0" applyFont="1" applyFill="1" applyBorder="1"/>
    <xf numFmtId="166" fontId="3" fillId="3" borderId="2" xfId="0" applyNumberFormat="1" applyFont="1" applyFill="1" applyBorder="1" applyAlignment="1">
      <alignment horizontal="left"/>
    </xf>
    <xf numFmtId="2" fontId="17" fillId="5" borderId="2" xfId="0" applyNumberFormat="1" applyFont="1" applyFill="1" applyBorder="1"/>
    <xf numFmtId="0" fontId="3" fillId="3" borderId="5" xfId="0" applyNumberFormat="1" applyFont="1" applyFill="1" applyBorder="1" applyAlignment="1" applyProtection="1">
      <alignment horizontal="center"/>
    </xf>
    <xf numFmtId="0" fontId="3" fillId="3" borderId="2" xfId="0" applyFont="1" applyFill="1" applyBorder="1" applyAlignment="1">
      <alignment horizontal="center"/>
    </xf>
    <xf numFmtId="0" fontId="17" fillId="3" borderId="4" xfId="0" applyFont="1" applyFill="1" applyBorder="1"/>
    <xf numFmtId="0" fontId="3" fillId="0" borderId="5" xfId="0" applyNumberFormat="1" applyFont="1" applyFill="1" applyBorder="1" applyAlignment="1" applyProtection="1">
      <alignment horizontal="center"/>
    </xf>
    <xf numFmtId="0" fontId="3" fillId="0" borderId="2" xfId="0" applyNumberFormat="1" applyFont="1" applyFill="1" applyBorder="1" applyAlignment="1" applyProtection="1">
      <alignment horizontal="center" vertical="top"/>
    </xf>
    <xf numFmtId="14" fontId="44" fillId="0" borderId="2" xfId="0" applyNumberFormat="1" applyFont="1" applyBorder="1" applyAlignment="1">
      <alignment horizontal="center" vertical="center" wrapText="1"/>
    </xf>
    <xf numFmtId="14" fontId="44" fillId="0" borderId="5" xfId="0" applyNumberFormat="1" applyFont="1" applyBorder="1" applyAlignment="1">
      <alignment horizontal="center" vertical="center"/>
    </xf>
    <xf numFmtId="0" fontId="3" fillId="0" borderId="2" xfId="0" applyFont="1" applyFill="1" applyBorder="1" applyAlignment="1">
      <alignment horizontal="center"/>
    </xf>
    <xf numFmtId="0" fontId="12" fillId="0" borderId="2" xfId="0" applyFont="1" applyFill="1" applyBorder="1" applyAlignment="1">
      <alignment horizontal="center" vertical="center" wrapText="1"/>
    </xf>
    <xf numFmtId="0" fontId="2" fillId="0" borderId="5" xfId="0" applyFont="1" applyFill="1" applyBorder="1" applyAlignment="1">
      <alignment vertical="top"/>
    </xf>
    <xf numFmtId="0" fontId="5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2" fillId="0" borderId="6" xfId="0" applyFont="1" applyFill="1" applyBorder="1" applyAlignment="1">
      <alignment horizontal="center" vertical="top" wrapText="1"/>
    </xf>
    <xf numFmtId="0" fontId="2" fillId="0" borderId="4" xfId="0" applyFont="1" applyFill="1" applyBorder="1" applyAlignment="1">
      <alignment vertical="top"/>
    </xf>
    <xf numFmtId="0" fontId="2" fillId="0" borderId="6" xfId="0" applyFont="1" applyBorder="1" applyAlignment="1">
      <alignment wrapText="1"/>
    </xf>
    <xf numFmtId="2" fontId="3" fillId="0" borderId="2" xfId="0" applyNumberFormat="1" applyFont="1" applyBorder="1" applyAlignment="1">
      <alignment horizontal="center" vertical="center"/>
    </xf>
    <xf numFmtId="0" fontId="12" fillId="2" borderId="5" xfId="0" applyFont="1" applyFill="1" applyBorder="1" applyAlignment="1">
      <alignment horizontal="left" vertical="center"/>
    </xf>
    <xf numFmtId="0" fontId="12" fillId="2" borderId="4" xfId="0" applyFont="1" applyFill="1" applyBorder="1" applyAlignment="1">
      <alignment horizontal="left" vertical="center"/>
    </xf>
    <xf numFmtId="0" fontId="12" fillId="2" borderId="6" xfId="0" applyFont="1" applyFill="1" applyBorder="1" applyAlignment="1">
      <alignment horizontal="left" vertical="center"/>
    </xf>
    <xf numFmtId="1" fontId="3" fillId="3" borderId="2" xfId="0" applyNumberFormat="1" applyFont="1" applyFill="1" applyBorder="1" applyAlignment="1"/>
    <xf numFmtId="0" fontId="3" fillId="3" borderId="5" xfId="0" applyFont="1" applyFill="1" applyBorder="1" applyAlignment="1">
      <alignment horizontal="center"/>
    </xf>
    <xf numFmtId="0" fontId="2" fillId="3" borderId="2" xfId="0" applyFont="1" applyFill="1" applyBorder="1" applyAlignment="1">
      <alignment horizontal="left" vertical="top" wrapText="1"/>
    </xf>
    <xf numFmtId="0" fontId="17" fillId="3" borderId="2" xfId="0" applyFont="1" applyFill="1" applyBorder="1" applyAlignment="1">
      <alignment horizontal="center" vertical="center"/>
    </xf>
    <xf numFmtId="2" fontId="3" fillId="3" borderId="2" xfId="0" applyNumberFormat="1" applyFont="1" applyFill="1" applyBorder="1" applyAlignment="1">
      <alignment horizontal="center" vertical="center"/>
    </xf>
    <xf numFmtId="2" fontId="17" fillId="5" borderId="2" xfId="0" applyNumberFormat="1" applyFont="1" applyFill="1" applyBorder="1" applyAlignment="1">
      <alignment horizontal="center" vertical="center"/>
    </xf>
    <xf numFmtId="0" fontId="12" fillId="3" borderId="2" xfId="0" applyFont="1" applyFill="1" applyBorder="1" applyAlignment="1">
      <alignment horizontal="left" vertical="center" wrapText="1"/>
    </xf>
    <xf numFmtId="0" fontId="17" fillId="3" borderId="2" xfId="0" applyFont="1" applyFill="1" applyBorder="1" applyAlignment="1">
      <alignment horizontal="left" vertical="center"/>
    </xf>
    <xf numFmtId="0" fontId="3" fillId="3" borderId="2" xfId="0" applyFont="1" applyFill="1" applyBorder="1"/>
    <xf numFmtId="2" fontId="3" fillId="3" borderId="2" xfId="0" applyNumberFormat="1" applyFont="1" applyFill="1" applyBorder="1"/>
    <xf numFmtId="2" fontId="3" fillId="5" borderId="2" xfId="0" applyNumberFormat="1" applyFont="1" applyFill="1" applyBorder="1"/>
    <xf numFmtId="2" fontId="17" fillId="3" borderId="2" xfId="0" applyNumberFormat="1" applyFont="1" applyFill="1" applyBorder="1" applyAlignment="1">
      <alignment horizontal="center" vertical="center"/>
    </xf>
    <xf numFmtId="1" fontId="3" fillId="0" borderId="2" xfId="0" applyNumberFormat="1" applyFont="1" applyBorder="1" applyAlignment="1"/>
    <xf numFmtId="0" fontId="3" fillId="0" borderId="5" xfId="0" applyFont="1" applyBorder="1" applyAlignment="1">
      <alignment horizontal="center"/>
    </xf>
    <xf numFmtId="0" fontId="12" fillId="0" borderId="2" xfId="0" applyFont="1" applyBorder="1" applyAlignment="1">
      <alignment horizontal="left" vertical="center" wrapText="1"/>
    </xf>
    <xf numFmtId="0" fontId="17" fillId="0" borderId="2" xfId="0" applyFont="1" applyBorder="1" applyAlignment="1">
      <alignment horizontal="left" vertical="center"/>
    </xf>
    <xf numFmtId="2" fontId="3" fillId="0" borderId="2" xfId="0" applyNumberFormat="1" applyFont="1" applyBorder="1"/>
    <xf numFmtId="0" fontId="44" fillId="3" borderId="2" xfId="0" applyFont="1" applyFill="1" applyBorder="1" applyAlignment="1">
      <alignment vertical="center" wrapText="1"/>
    </xf>
    <xf numFmtId="0" fontId="57" fillId="0" borderId="2" xfId="0" applyFont="1" applyFill="1" applyBorder="1" applyAlignment="1">
      <alignment horizontal="left" vertical="center" wrapText="1"/>
    </xf>
    <xf numFmtId="0" fontId="56" fillId="0" borderId="2" xfId="0" applyFont="1" applyFill="1" applyBorder="1" applyAlignment="1">
      <alignment horizontal="left" vertical="top"/>
    </xf>
    <xf numFmtId="0" fontId="12" fillId="0" borderId="9" xfId="0" applyFont="1" applyBorder="1" applyAlignment="1">
      <alignment horizontal="center" wrapText="1"/>
    </xf>
    <xf numFmtId="0" fontId="3" fillId="0" borderId="2" xfId="0" applyNumberFormat="1" applyFont="1" applyFill="1" applyBorder="1" applyAlignment="1" applyProtection="1">
      <alignment horizontal="center"/>
    </xf>
    <xf numFmtId="0" fontId="2" fillId="2" borderId="5" xfId="0" applyFont="1" applyFill="1" applyBorder="1" applyAlignment="1">
      <alignment horizontal="center" vertical="center"/>
    </xf>
    <xf numFmtId="0" fontId="3" fillId="0" borderId="2" xfId="0" applyFont="1" applyFill="1" applyBorder="1" applyAlignment="1">
      <alignment horizontal="left" vertical="top" wrapText="1"/>
    </xf>
    <xf numFmtId="0" fontId="3" fillId="0" borderId="2" xfId="0" applyFont="1" applyFill="1" applyBorder="1" applyAlignment="1">
      <alignment vertical="top"/>
    </xf>
    <xf numFmtId="0" fontId="3" fillId="0" borderId="2" xfId="0" applyFont="1" applyFill="1" applyBorder="1" applyAlignment="1">
      <alignment horizontal="center" vertical="center"/>
    </xf>
    <xf numFmtId="2" fontId="3" fillId="0" borderId="2" xfId="0" applyNumberFormat="1" applyFont="1" applyFill="1" applyBorder="1" applyAlignment="1">
      <alignment horizontal="left"/>
    </xf>
    <xf numFmtId="0" fontId="2" fillId="0" borderId="5" xfId="0" applyFont="1" applyBorder="1" applyAlignment="1">
      <alignment horizontal="center" vertical="center"/>
    </xf>
    <xf numFmtId="0" fontId="3" fillId="0" borderId="2" xfId="0" applyNumberFormat="1" applyFont="1" applyFill="1" applyBorder="1" applyAlignment="1" applyProtection="1">
      <alignment horizontal="left" vertical="top"/>
    </xf>
    <xf numFmtId="0" fontId="3" fillId="0" borderId="2" xfId="0" applyFont="1" applyBorder="1" applyAlignment="1"/>
    <xf numFmtId="0" fontId="3" fillId="0" borderId="2" xfId="0" applyFont="1" applyBorder="1" applyAlignment="1">
      <alignment vertical="top"/>
    </xf>
    <xf numFmtId="0" fontId="3" fillId="0" borderId="4" xfId="0" applyNumberFormat="1" applyFont="1" applyFill="1" applyBorder="1" applyAlignment="1" applyProtection="1">
      <alignment horizontal="left" vertical="top"/>
    </xf>
    <xf numFmtId="0" fontId="44" fillId="0" borderId="3" xfId="0" applyFont="1" applyBorder="1" applyAlignment="1">
      <alignment horizontal="left" vertical="top" wrapText="1"/>
    </xf>
    <xf numFmtId="0" fontId="44" fillId="0" borderId="2" xfId="0" applyFont="1" applyBorder="1" applyAlignment="1">
      <alignment horizontal="left" vertical="top" wrapText="1"/>
    </xf>
    <xf numFmtId="0" fontId="3" fillId="0" borderId="3" xfId="0" applyFont="1" applyBorder="1" applyAlignment="1">
      <alignment horizontal="left" vertical="center" wrapText="1"/>
    </xf>
    <xf numFmtId="0" fontId="17" fillId="0" borderId="5" xfId="0" applyFont="1" applyBorder="1" applyAlignment="1">
      <alignment horizontal="center" vertical="center"/>
    </xf>
    <xf numFmtId="1" fontId="3" fillId="0" borderId="2" xfId="0" applyNumberFormat="1" applyFont="1" applyBorder="1" applyAlignment="1">
      <alignment horizontal="center"/>
    </xf>
    <xf numFmtId="2" fontId="2" fillId="0" borderId="2" xfId="0" applyNumberFormat="1" applyFont="1" applyBorder="1" applyAlignment="1"/>
    <xf numFmtId="0" fontId="3" fillId="0" borderId="4" xfId="0" applyFont="1" applyBorder="1" applyAlignment="1">
      <alignment horizontal="center" vertical="top"/>
    </xf>
    <xf numFmtId="0" fontId="3" fillId="0" borderId="5" xfId="0" applyFont="1" applyBorder="1" applyAlignment="1">
      <alignment horizontal="center" vertical="center"/>
    </xf>
    <xf numFmtId="2" fontId="3" fillId="0" borderId="5" xfId="0" applyNumberFormat="1" applyFont="1" applyBorder="1" applyAlignment="1">
      <alignment horizontal="center" vertical="center"/>
    </xf>
    <xf numFmtId="0" fontId="17" fillId="2" borderId="2" xfId="0" applyFont="1" applyFill="1" applyBorder="1"/>
    <xf numFmtId="0" fontId="58" fillId="0" borderId="0" xfId="0" applyFont="1" applyAlignment="1">
      <alignment horizontal="left" vertical="top"/>
    </xf>
    <xf numFmtId="0" fontId="58" fillId="0" borderId="9" xfId="0" applyFont="1" applyBorder="1" applyAlignment="1">
      <alignment horizontal="left" vertical="center" wrapText="1"/>
    </xf>
    <xf numFmtId="0" fontId="58" fillId="2" borderId="3" xfId="0" applyFont="1" applyFill="1" applyBorder="1" applyAlignment="1">
      <alignment horizontal="center" vertical="center"/>
    </xf>
    <xf numFmtId="0" fontId="58" fillId="2" borderId="11" xfId="0" applyFont="1" applyFill="1" applyBorder="1" applyAlignment="1">
      <alignment horizontal="center" vertical="center" wrapText="1"/>
    </xf>
    <xf numFmtId="0" fontId="58" fillId="2" borderId="14" xfId="0" applyFont="1" applyFill="1" applyBorder="1" applyAlignment="1">
      <alignment horizontal="center" vertical="center" wrapText="1"/>
    </xf>
    <xf numFmtId="0" fontId="58" fillId="2" borderId="3" xfId="0" applyFont="1" applyFill="1" applyBorder="1" applyAlignment="1">
      <alignment horizontal="center" vertical="center" wrapText="1"/>
    </xf>
    <xf numFmtId="0" fontId="58" fillId="2" borderId="5" xfId="0" applyFont="1" applyFill="1" applyBorder="1" applyAlignment="1">
      <alignment horizontal="center" vertical="center"/>
    </xf>
    <xf numFmtId="0" fontId="58" fillId="2" borderId="4" xfId="0" applyFont="1" applyFill="1" applyBorder="1" applyAlignment="1">
      <alignment horizontal="center" vertical="center"/>
    </xf>
    <xf numFmtId="0" fontId="58" fillId="2" borderId="6" xfId="0" applyFont="1" applyFill="1" applyBorder="1" applyAlignment="1">
      <alignment horizontal="center" vertical="center"/>
    </xf>
    <xf numFmtId="0" fontId="58" fillId="2" borderId="10" xfId="0" applyFont="1" applyFill="1" applyBorder="1" applyAlignment="1">
      <alignment horizontal="center" vertical="center"/>
    </xf>
    <xf numFmtId="0" fontId="58" fillId="2" borderId="13" xfId="0" applyFont="1" applyFill="1" applyBorder="1" applyAlignment="1">
      <alignment horizontal="center" vertical="center" wrapText="1"/>
    </xf>
    <xf numFmtId="0" fontId="58" fillId="2" borderId="15" xfId="0" applyFont="1" applyFill="1" applyBorder="1" applyAlignment="1">
      <alignment horizontal="center" vertical="center" wrapText="1"/>
    </xf>
    <xf numFmtId="0" fontId="58" fillId="2" borderId="10" xfId="0" applyFont="1" applyFill="1" applyBorder="1" applyAlignment="1">
      <alignment horizontal="center" vertical="center" wrapText="1"/>
    </xf>
    <xf numFmtId="0" fontId="58" fillId="2" borderId="2" xfId="0" applyFont="1" applyFill="1" applyBorder="1" applyAlignment="1">
      <alignment horizontal="center" vertical="center"/>
    </xf>
    <xf numFmtId="0" fontId="58" fillId="2" borderId="2" xfId="0" applyFont="1" applyFill="1" applyBorder="1" applyAlignment="1">
      <alignment horizontal="center" vertical="center" wrapText="1"/>
    </xf>
    <xf numFmtId="0" fontId="59" fillId="2" borderId="2" xfId="0" applyFont="1" applyFill="1" applyBorder="1" applyAlignment="1">
      <alignment horizontal="center" vertical="center"/>
    </xf>
    <xf numFmtId="49" fontId="16" fillId="0" borderId="2" xfId="0" applyNumberFormat="1" applyFont="1" applyFill="1" applyBorder="1" applyAlignment="1">
      <alignment horizontal="center" vertical="top" wrapText="1"/>
    </xf>
    <xf numFmtId="0" fontId="4" fillId="0" borderId="2" xfId="0" applyFont="1" applyBorder="1" applyAlignment="1">
      <alignment vertical="top" wrapText="1"/>
    </xf>
    <xf numFmtId="0" fontId="4" fillId="0" borderId="2" xfId="0" applyFont="1" applyBorder="1" applyAlignment="1">
      <alignment horizontal="center" vertical="top"/>
    </xf>
    <xf numFmtId="0" fontId="4" fillId="0" borderId="2" xfId="0" applyFont="1" applyBorder="1" applyAlignment="1">
      <alignment horizontal="center" vertical="top" wrapText="1"/>
    </xf>
    <xf numFmtId="0" fontId="4" fillId="2" borderId="2" xfId="0" applyFont="1" applyFill="1" applyBorder="1" applyAlignment="1">
      <alignment horizontal="center" vertical="center"/>
    </xf>
    <xf numFmtId="0" fontId="4" fillId="2" borderId="2" xfId="0" applyFont="1" applyFill="1" applyBorder="1"/>
    <xf numFmtId="2" fontId="4" fillId="2" borderId="2" xfId="0" applyNumberFormat="1" applyFont="1" applyFill="1" applyBorder="1" applyAlignment="1">
      <alignment horizontal="center" vertical="center"/>
    </xf>
    <xf numFmtId="0" fontId="4" fillId="2" borderId="10" xfId="0" applyFont="1" applyFill="1" applyBorder="1" applyAlignment="1">
      <alignment horizontal="center" vertical="center"/>
    </xf>
    <xf numFmtId="49" fontId="16" fillId="0" borderId="2" xfId="0" applyNumberFormat="1" applyFont="1" applyFill="1" applyBorder="1" applyAlignment="1">
      <alignment horizontal="left" vertical="top" wrapText="1"/>
    </xf>
    <xf numFmtId="0" fontId="4" fillId="0" borderId="6" xfId="0" applyFont="1" applyFill="1" applyBorder="1" applyAlignment="1">
      <alignment vertical="center"/>
    </xf>
    <xf numFmtId="49" fontId="16" fillId="0" borderId="6" xfId="0" applyNumberFormat="1" applyFont="1" applyFill="1" applyBorder="1" applyAlignment="1">
      <alignment vertical="center" wrapText="1"/>
    </xf>
    <xf numFmtId="1" fontId="4" fillId="2" borderId="2" xfId="0" applyNumberFormat="1" applyFont="1" applyFill="1" applyBorder="1" applyAlignment="1">
      <alignment horizontal="center" vertical="center"/>
    </xf>
    <xf numFmtId="0" fontId="4" fillId="2" borderId="2" xfId="0" applyFont="1" applyFill="1" applyBorder="1" applyAlignment="1">
      <alignment vertical="center"/>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xf>
    <xf numFmtId="0" fontId="4" fillId="0" borderId="2" xfId="0" applyFont="1" applyBorder="1"/>
    <xf numFmtId="49" fontId="4" fillId="0" borderId="6" xfId="0" applyNumberFormat="1" applyFont="1" applyFill="1" applyBorder="1" applyAlignment="1">
      <alignment vertical="center" wrapText="1"/>
    </xf>
    <xf numFmtId="0" fontId="4" fillId="0" borderId="2" xfId="0" applyFont="1" applyFill="1" applyBorder="1" applyAlignment="1">
      <alignment vertical="top"/>
    </xf>
    <xf numFmtId="49" fontId="16" fillId="0" borderId="2" xfId="0"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top"/>
    </xf>
    <xf numFmtId="0" fontId="4" fillId="0" borderId="2" xfId="0" applyFont="1" applyFill="1" applyBorder="1"/>
    <xf numFmtId="0" fontId="4" fillId="0" borderId="2" xfId="0" applyFont="1" applyFill="1" applyBorder="1" applyAlignment="1">
      <alignment horizontal="center"/>
    </xf>
    <xf numFmtId="0" fontId="4" fillId="0" borderId="2" xfId="0" applyFont="1" applyFill="1" applyBorder="1" applyAlignment="1"/>
    <xf numFmtId="0" fontId="4" fillId="0" borderId="2" xfId="0" applyFont="1" applyBorder="1" applyAlignment="1">
      <alignment wrapText="1"/>
    </xf>
    <xf numFmtId="0" fontId="4" fillId="2" borderId="2" xfId="0" applyFont="1" applyFill="1" applyBorder="1" applyAlignment="1">
      <alignment vertical="center" wrapText="1"/>
    </xf>
    <xf numFmtId="1" fontId="4" fillId="0" borderId="2" xfId="0" applyNumberFormat="1" applyFont="1" applyFill="1" applyBorder="1" applyAlignment="1">
      <alignment horizontal="center" vertical="center"/>
    </xf>
    <xf numFmtId="0" fontId="16" fillId="0" borderId="2" xfId="0" applyFont="1" applyFill="1" applyBorder="1" applyAlignment="1">
      <alignment horizontal="left" vertical="top" wrapText="1"/>
    </xf>
    <xf numFmtId="0" fontId="4" fillId="0" borderId="5" xfId="0" applyFont="1" applyFill="1" applyBorder="1" applyAlignment="1">
      <alignment vertical="top"/>
    </xf>
    <xf numFmtId="2" fontId="4" fillId="0" borderId="2" xfId="0" applyNumberFormat="1" applyFont="1" applyFill="1" applyBorder="1" applyAlignment="1">
      <alignment horizontal="center" vertical="center"/>
    </xf>
    <xf numFmtId="0" fontId="17" fillId="0" borderId="2" xfId="0" applyFont="1" applyFill="1" applyBorder="1"/>
    <xf numFmtId="0" fontId="17" fillId="0" borderId="0" xfId="0" applyFont="1" applyFill="1"/>
    <xf numFmtId="0" fontId="17" fillId="0" borderId="2" xfId="0" applyFont="1" applyFill="1" applyBorder="1" applyAlignment="1">
      <alignment horizontal="center" vertical="center"/>
    </xf>
    <xf numFmtId="0" fontId="61" fillId="2" borderId="2" xfId="0" applyFont="1" applyFill="1" applyBorder="1" applyAlignment="1">
      <alignment horizontal="right" vertical="center"/>
    </xf>
    <xf numFmtId="4" fontId="58" fillId="2" borderId="2" xfId="0" applyNumberFormat="1" applyFont="1" applyFill="1" applyBorder="1" applyAlignment="1">
      <alignment horizontal="center" vertical="center"/>
    </xf>
    <xf numFmtId="0" fontId="61" fillId="2" borderId="0" xfId="0" applyFont="1" applyFill="1" applyBorder="1" applyAlignment="1">
      <alignment horizontal="right" vertical="center"/>
    </xf>
    <xf numFmtId="0" fontId="61" fillId="0" borderId="0" xfId="0" applyFont="1" applyFill="1" applyBorder="1" applyAlignment="1">
      <alignment horizontal="right" vertical="center"/>
    </xf>
    <xf numFmtId="0" fontId="61" fillId="2" borderId="0" xfId="0" applyFont="1" applyFill="1" applyBorder="1" applyAlignment="1">
      <alignment horizontal="center" vertical="center"/>
    </xf>
    <xf numFmtId="2" fontId="58" fillId="2" borderId="0" xfId="0" applyNumberFormat="1" applyFont="1" applyFill="1" applyBorder="1" applyAlignment="1">
      <alignment horizontal="center"/>
    </xf>
    <xf numFmtId="0" fontId="61" fillId="3" borderId="13" xfId="0" applyFont="1" applyFill="1" applyBorder="1" applyAlignment="1">
      <alignment horizontal="center" vertical="center"/>
    </xf>
    <xf numFmtId="0" fontId="61" fillId="3" borderId="9" xfId="0" applyFont="1" applyFill="1" applyBorder="1" applyAlignment="1">
      <alignment horizontal="center" vertical="center"/>
    </xf>
    <xf numFmtId="0" fontId="4" fillId="0" borderId="2" xfId="0" applyFont="1" applyFill="1" applyBorder="1" applyAlignment="1">
      <alignment vertical="top" wrapText="1"/>
    </xf>
    <xf numFmtId="0" fontId="4" fillId="0" borderId="2" xfId="0" applyFont="1" applyFill="1" applyBorder="1" applyAlignment="1">
      <alignment wrapText="1"/>
    </xf>
    <xf numFmtId="0" fontId="61" fillId="2" borderId="5" xfId="0" applyFont="1" applyFill="1" applyBorder="1" applyAlignment="1">
      <alignment horizontal="center" vertical="center"/>
    </xf>
    <xf numFmtId="0" fontId="61" fillId="2" borderId="4" xfId="0" applyFont="1" applyFill="1" applyBorder="1" applyAlignment="1">
      <alignment horizontal="center" vertical="center"/>
    </xf>
    <xf numFmtId="0" fontId="61" fillId="2" borderId="6" xfId="0" applyFont="1" applyFill="1" applyBorder="1" applyAlignment="1">
      <alignment horizontal="center" vertical="center"/>
    </xf>
    <xf numFmtId="0" fontId="61" fillId="2" borderId="2" xfId="0" applyFont="1" applyFill="1" applyBorder="1" applyAlignment="1">
      <alignment vertical="center"/>
    </xf>
    <xf numFmtId="0" fontId="19" fillId="2" borderId="0" xfId="0" applyFont="1" applyFill="1" applyAlignment="1">
      <alignment horizontal="center" vertical="center"/>
    </xf>
    <xf numFmtId="0" fontId="62" fillId="2" borderId="0" xfId="0" applyFont="1" applyFill="1" applyAlignment="1">
      <alignment horizontal="center" vertical="center"/>
    </xf>
    <xf numFmtId="0" fontId="20" fillId="2" borderId="0" xfId="0" applyFont="1" applyFill="1" applyAlignment="1"/>
    <xf numFmtId="0" fontId="63" fillId="2" borderId="0" xfId="0" applyFont="1" applyFill="1" applyAlignment="1"/>
    <xf numFmtId="0" fontId="21" fillId="2" borderId="0" xfId="0" applyFont="1" applyFill="1" applyAlignment="1"/>
    <xf numFmtId="0" fontId="28" fillId="2" borderId="0" xfId="0" applyFont="1" applyFill="1" applyAlignment="1">
      <alignment horizontal="left"/>
    </xf>
    <xf numFmtId="0" fontId="64" fillId="2" borderId="0" xfId="0" applyFont="1" applyFill="1" applyAlignment="1">
      <alignment horizontal="left"/>
    </xf>
    <xf numFmtId="0" fontId="20" fillId="2" borderId="0" xfId="0" applyFont="1" applyFill="1" applyAlignment="1">
      <alignment horizontal="left"/>
    </xf>
    <xf numFmtId="0" fontId="28" fillId="2" borderId="0" xfId="0" applyFont="1" applyFill="1" applyBorder="1" applyAlignment="1">
      <alignment horizontal="left"/>
    </xf>
    <xf numFmtId="0" fontId="64" fillId="2" borderId="0" xfId="0" applyFont="1" applyFill="1" applyBorder="1" applyAlignment="1">
      <alignment horizontal="left"/>
    </xf>
    <xf numFmtId="0" fontId="20" fillId="2" borderId="0" xfId="0" applyFont="1" applyFill="1" applyBorder="1" applyAlignment="1">
      <alignment horizontal="left"/>
    </xf>
    <xf numFmtId="0" fontId="20" fillId="2" borderId="0" xfId="0" applyFont="1" applyFill="1" applyAlignment="1">
      <alignment horizontal="center"/>
    </xf>
    <xf numFmtId="0" fontId="28" fillId="2" borderId="0" xfId="0" applyFont="1" applyFill="1" applyAlignment="1"/>
    <xf numFmtId="0" fontId="28" fillId="2" borderId="9" xfId="0" applyFont="1" applyFill="1" applyBorder="1" applyAlignment="1">
      <alignment horizontal="left"/>
    </xf>
    <xf numFmtId="0" fontId="64" fillId="2" borderId="9" xfId="0" applyFont="1" applyFill="1" applyBorder="1" applyAlignment="1">
      <alignment horizontal="left"/>
    </xf>
    <xf numFmtId="0" fontId="28" fillId="2" borderId="0" xfId="0" applyFont="1" applyFill="1" applyBorder="1" applyAlignment="1">
      <alignment horizontal="left"/>
    </xf>
    <xf numFmtId="0" fontId="65" fillId="6" borderId="3" xfId="0" applyFont="1" applyFill="1" applyBorder="1" applyAlignment="1">
      <alignment horizontal="center" vertical="center"/>
    </xf>
    <xf numFmtId="0" fontId="66" fillId="6" borderId="3" xfId="0" applyFont="1" applyFill="1" applyBorder="1" applyAlignment="1">
      <alignment horizontal="center" vertical="center"/>
    </xf>
    <xf numFmtId="0" fontId="65" fillId="6" borderId="3" xfId="0" applyFont="1" applyFill="1" applyBorder="1" applyAlignment="1">
      <alignment horizontal="center" vertical="center" wrapText="1"/>
    </xf>
    <xf numFmtId="0" fontId="50" fillId="6" borderId="5" xfId="0" applyFont="1" applyFill="1" applyBorder="1" applyAlignment="1">
      <alignment horizontal="center" vertical="center"/>
    </xf>
    <xf numFmtId="0" fontId="50" fillId="6" borderId="6" xfId="0" applyFont="1" applyFill="1" applyBorder="1" applyAlignment="1">
      <alignment horizontal="center" vertical="center"/>
    </xf>
    <xf numFmtId="0" fontId="50" fillId="6" borderId="5" xfId="0" applyFont="1" applyFill="1" applyBorder="1" applyAlignment="1">
      <alignment horizontal="center" vertical="center" wrapText="1"/>
    </xf>
    <xf numFmtId="0" fontId="50" fillId="6" borderId="6" xfId="0" applyFont="1" applyFill="1" applyBorder="1" applyAlignment="1">
      <alignment horizontal="center" vertical="center" wrapText="1"/>
    </xf>
    <xf numFmtId="0" fontId="50" fillId="6" borderId="4" xfId="0" applyFont="1" applyFill="1" applyBorder="1" applyAlignment="1">
      <alignment horizontal="center" vertical="center"/>
    </xf>
    <xf numFmtId="0" fontId="65" fillId="6" borderId="5" xfId="0" applyFont="1" applyFill="1" applyBorder="1" applyAlignment="1">
      <alignment horizontal="center" vertical="center"/>
    </xf>
    <xf numFmtId="0" fontId="65" fillId="6" borderId="4" xfId="0" applyFont="1" applyFill="1" applyBorder="1" applyAlignment="1">
      <alignment horizontal="center" vertical="center"/>
    </xf>
    <xf numFmtId="0" fontId="65" fillId="6" borderId="2" xfId="0" applyFont="1" applyFill="1" applyBorder="1" applyAlignment="1">
      <alignment horizontal="center" vertical="center"/>
    </xf>
    <xf numFmtId="0" fontId="65" fillId="6" borderId="10" xfId="0" applyFont="1" applyFill="1" applyBorder="1" applyAlignment="1">
      <alignment horizontal="center" vertical="center"/>
    </xf>
    <xf numFmtId="0" fontId="66" fillId="6" borderId="10" xfId="0" applyFont="1" applyFill="1" applyBorder="1" applyAlignment="1">
      <alignment horizontal="center" vertical="center"/>
    </xf>
    <xf numFmtId="0" fontId="65" fillId="6" borderId="10" xfId="0" applyFont="1" applyFill="1" applyBorder="1" applyAlignment="1">
      <alignment horizontal="center" vertical="center" wrapText="1"/>
    </xf>
    <xf numFmtId="0" fontId="65" fillId="6" borderId="2" xfId="0" applyFont="1" applyFill="1" applyBorder="1" applyAlignment="1">
      <alignment horizontal="center" vertical="center"/>
    </xf>
    <xf numFmtId="0" fontId="65" fillId="6" borderId="2" xfId="0" applyFont="1" applyFill="1" applyBorder="1" applyAlignment="1">
      <alignment horizontal="center" vertical="center" wrapText="1"/>
    </xf>
    <xf numFmtId="0" fontId="65" fillId="0" borderId="2" xfId="0" applyFont="1" applyFill="1" applyBorder="1" applyAlignment="1">
      <alignment horizontal="center" vertical="center"/>
    </xf>
    <xf numFmtId="0" fontId="66" fillId="7" borderId="2" xfId="0" applyFont="1" applyFill="1" applyBorder="1" applyAlignment="1">
      <alignment vertical="center"/>
    </xf>
    <xf numFmtId="0" fontId="65" fillId="0" borderId="2" xfId="0" applyFont="1" applyFill="1" applyBorder="1" applyAlignment="1">
      <alignment vertical="center"/>
    </xf>
    <xf numFmtId="0" fontId="66" fillId="0" borderId="2" xfId="0" applyFont="1" applyFill="1" applyBorder="1" applyAlignment="1">
      <alignment horizontal="center" vertical="center"/>
    </xf>
    <xf numFmtId="2" fontId="65" fillId="0" borderId="2" xfId="0" applyNumberFormat="1" applyFont="1" applyFill="1" applyBorder="1" applyAlignment="1">
      <alignment horizontal="center" vertical="center"/>
    </xf>
    <xf numFmtId="0" fontId="66" fillId="0" borderId="5" xfId="0" applyFont="1" applyFill="1" applyBorder="1" applyAlignment="1">
      <alignment horizontal="center" vertical="center"/>
    </xf>
    <xf numFmtId="0" fontId="65" fillId="0" borderId="3" xfId="0" applyFont="1" applyFill="1" applyBorder="1" applyAlignment="1">
      <alignment vertical="center"/>
    </xf>
    <xf numFmtId="2" fontId="50" fillId="0" borderId="2" xfId="0" applyNumberFormat="1" applyFont="1" applyFill="1" applyBorder="1" applyAlignment="1">
      <alignment horizontal="center" vertical="center"/>
    </xf>
    <xf numFmtId="0" fontId="65" fillId="0" borderId="2" xfId="0" applyFont="1" applyFill="1" applyBorder="1" applyAlignment="1">
      <alignment horizontal="left" vertical="center"/>
    </xf>
    <xf numFmtId="0" fontId="67"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66" fillId="0" borderId="11" xfId="0" applyFont="1" applyFill="1" applyBorder="1" applyAlignment="1">
      <alignment horizontal="center" vertical="center"/>
    </xf>
    <xf numFmtId="0" fontId="67" fillId="0" borderId="11" xfId="0" applyFont="1" applyFill="1" applyBorder="1" applyAlignment="1">
      <alignment horizontal="center" vertical="center"/>
    </xf>
    <xf numFmtId="0" fontId="68" fillId="7" borderId="2" xfId="0" applyFont="1" applyFill="1" applyBorder="1" applyAlignment="1">
      <alignment vertical="center"/>
    </xf>
    <xf numFmtId="0" fontId="65" fillId="0" borderId="3" xfId="0" applyFont="1" applyFill="1" applyBorder="1" applyAlignment="1">
      <alignment horizontal="center" vertical="center"/>
    </xf>
    <xf numFmtId="0" fontId="65" fillId="0" borderId="5" xfId="0" applyFont="1" applyFill="1" applyBorder="1" applyAlignment="1">
      <alignment horizontal="center" vertical="center"/>
    </xf>
    <xf numFmtId="167" fontId="65" fillId="0" borderId="2" xfId="0" applyNumberFormat="1" applyFont="1" applyFill="1" applyBorder="1" applyAlignment="1">
      <alignment horizontal="center" vertical="center"/>
    </xf>
    <xf numFmtId="0" fontId="68" fillId="0" borderId="2" xfId="0" applyFont="1" applyFill="1" applyBorder="1" applyAlignment="1">
      <alignment vertical="center"/>
    </xf>
    <xf numFmtId="0" fontId="65" fillId="0" borderId="5" xfId="0" applyFont="1" applyFill="1" applyBorder="1" applyAlignment="1">
      <alignment vertical="center"/>
    </xf>
    <xf numFmtId="0" fontId="66" fillId="3" borderId="2" xfId="0" applyFont="1" applyFill="1" applyBorder="1" applyAlignment="1">
      <alignment horizontal="left" vertical="center"/>
    </xf>
    <xf numFmtId="0" fontId="65" fillId="0" borderId="2" xfId="0" applyFont="1" applyFill="1" applyBorder="1" applyAlignment="1">
      <alignment vertical="center" wrapText="1"/>
    </xf>
    <xf numFmtId="2" fontId="50" fillId="2" borderId="2" xfId="0" applyNumberFormat="1" applyFont="1" applyFill="1" applyBorder="1" applyAlignment="1">
      <alignment horizontal="center" vertical="center"/>
    </xf>
    <xf numFmtId="0" fontId="68" fillId="0" borderId="2" xfId="0" applyFont="1" applyFill="1" applyBorder="1" applyAlignment="1">
      <alignment horizontal="left" vertical="center"/>
    </xf>
    <xf numFmtId="0" fontId="50" fillId="0" borderId="2" xfId="0" applyFont="1" applyFill="1" applyBorder="1" applyAlignment="1">
      <alignment horizontal="center" vertical="center"/>
    </xf>
    <xf numFmtId="49" fontId="66" fillId="8" borderId="3" xfId="0" applyNumberFormat="1" applyFont="1" applyFill="1" applyBorder="1" applyAlignment="1">
      <alignment horizontal="left" vertical="center" wrapText="1"/>
    </xf>
    <xf numFmtId="0" fontId="50" fillId="0" borderId="3" xfId="0" applyFont="1" applyFill="1" applyBorder="1" applyAlignment="1">
      <alignment horizontal="left" vertical="center" wrapText="1"/>
    </xf>
    <xf numFmtId="167" fontId="66" fillId="0" borderId="2" xfId="0" applyNumberFormat="1" applyFont="1" applyFill="1" applyBorder="1" applyAlignment="1">
      <alignment horizontal="center" vertical="center"/>
    </xf>
    <xf numFmtId="0" fontId="50" fillId="0" borderId="5" xfId="0" applyFont="1" applyFill="1" applyBorder="1" applyAlignment="1">
      <alignment horizontal="center" vertical="center"/>
    </xf>
    <xf numFmtId="49" fontId="66" fillId="8" borderId="2" xfId="0" applyNumberFormat="1" applyFont="1" applyFill="1" applyBorder="1" applyAlignment="1">
      <alignment horizontal="left" vertical="center" wrapText="1"/>
    </xf>
    <xf numFmtId="0" fontId="50" fillId="0" borderId="2" xfId="0" applyFont="1" applyFill="1" applyBorder="1" applyAlignment="1">
      <alignment vertical="center" wrapText="1"/>
    </xf>
    <xf numFmtId="49" fontId="66" fillId="8" borderId="3" xfId="0" applyNumberFormat="1" applyFont="1" applyFill="1" applyBorder="1" applyAlignment="1">
      <alignment horizontal="left" vertical="center" wrapText="1"/>
    </xf>
    <xf numFmtId="0" fontId="50" fillId="0" borderId="3" xfId="0" applyFont="1" applyFill="1" applyBorder="1" applyAlignment="1">
      <alignment horizontal="left" vertical="center" wrapText="1"/>
    </xf>
    <xf numFmtId="49" fontId="66" fillId="8" borderId="7" xfId="0" applyNumberFormat="1" applyFont="1" applyFill="1" applyBorder="1" applyAlignment="1">
      <alignment horizontal="left" vertical="center" wrapText="1"/>
    </xf>
    <xf numFmtId="0" fontId="50" fillId="0" borderId="7" xfId="0" applyFont="1" applyFill="1" applyBorder="1" applyAlignment="1">
      <alignment horizontal="left" vertical="center" wrapText="1"/>
    </xf>
    <xf numFmtId="49" fontId="66" fillId="8" borderId="10" xfId="0" applyNumberFormat="1" applyFont="1" applyFill="1" applyBorder="1" applyAlignment="1">
      <alignment horizontal="left" vertical="center" wrapText="1"/>
    </xf>
    <xf numFmtId="0" fontId="50" fillId="0" borderId="10" xfId="0" applyFont="1" applyFill="1" applyBorder="1" applyAlignment="1">
      <alignment horizontal="left" vertical="center" wrapText="1"/>
    </xf>
    <xf numFmtId="0" fontId="66" fillId="8" borderId="2" xfId="0" applyFont="1" applyFill="1" applyBorder="1" applyAlignment="1">
      <alignment horizontal="left" vertical="center"/>
    </xf>
    <xf numFmtId="0" fontId="66" fillId="9" borderId="2" xfId="0" applyFont="1" applyFill="1" applyBorder="1" applyAlignment="1">
      <alignment vertical="center"/>
    </xf>
    <xf numFmtId="0" fontId="50" fillId="0" borderId="2" xfId="0" applyFont="1" applyFill="1" applyBorder="1" applyAlignment="1">
      <alignment vertical="center"/>
    </xf>
    <xf numFmtId="0" fontId="50" fillId="0" borderId="5" xfId="0" applyFont="1" applyFill="1" applyBorder="1" applyAlignment="1">
      <alignment vertical="center"/>
    </xf>
    <xf numFmtId="0" fontId="50" fillId="0" borderId="3" xfId="0" applyFont="1" applyFill="1" applyBorder="1" applyAlignment="1">
      <alignment horizontal="center" vertical="center"/>
    </xf>
    <xf numFmtId="0" fontId="66" fillId="9" borderId="3" xfId="0" applyFont="1" applyFill="1" applyBorder="1" applyAlignment="1">
      <alignment vertical="center"/>
    </xf>
    <xf numFmtId="0" fontId="50" fillId="0" borderId="3" xfId="0" applyFont="1" applyFill="1" applyBorder="1" applyAlignment="1">
      <alignment horizontal="left" vertical="center"/>
    </xf>
    <xf numFmtId="0" fontId="50" fillId="0" borderId="0" xfId="0" applyFont="1" applyFill="1" applyBorder="1" applyAlignment="1">
      <alignment horizontal="center" vertical="center"/>
    </xf>
    <xf numFmtId="0" fontId="50" fillId="0" borderId="10" xfId="0" applyFont="1" applyFill="1" applyBorder="1" applyAlignment="1">
      <alignment horizontal="center" vertical="center"/>
    </xf>
    <xf numFmtId="0" fontId="50" fillId="0" borderId="10" xfId="0" applyFont="1" applyFill="1" applyBorder="1" applyAlignment="1">
      <alignment horizontal="left" vertical="center"/>
    </xf>
    <xf numFmtId="167" fontId="66" fillId="0" borderId="5" xfId="0" applyNumberFormat="1" applyFont="1" applyFill="1" applyBorder="1" applyAlignment="1">
      <alignment horizontal="center" vertical="center"/>
    </xf>
    <xf numFmtId="0" fontId="50" fillId="0" borderId="2" xfId="0" applyFont="1" applyFill="1" applyBorder="1" applyAlignment="1">
      <alignment horizontal="left" vertical="center"/>
    </xf>
    <xf numFmtId="0" fontId="66" fillId="9" borderId="2" xfId="0" applyFont="1" applyFill="1" applyBorder="1" applyAlignment="1">
      <alignment horizontal="left" vertical="center"/>
    </xf>
    <xf numFmtId="0" fontId="50" fillId="0" borderId="2" xfId="0" applyFont="1" applyFill="1" applyBorder="1" applyAlignment="1">
      <alignment horizontal="left" vertical="center"/>
    </xf>
    <xf numFmtId="0" fontId="69" fillId="9" borderId="2" xfId="0" applyFont="1" applyFill="1" applyBorder="1" applyAlignment="1">
      <alignment vertical="center"/>
    </xf>
    <xf numFmtId="0" fontId="50" fillId="0" borderId="2" xfId="0" applyFont="1" applyFill="1" applyBorder="1" applyAlignment="1">
      <alignment horizontal="center"/>
    </xf>
    <xf numFmtId="0" fontId="69" fillId="9" borderId="2" xfId="0" applyFont="1" applyFill="1" applyBorder="1" applyAlignment="1"/>
    <xf numFmtId="0" fontId="50" fillId="0" borderId="2" xfId="0" applyFont="1" applyFill="1" applyBorder="1" applyAlignment="1"/>
    <xf numFmtId="0" fontId="50" fillId="0" borderId="10" xfId="0" applyFont="1" applyFill="1" applyBorder="1" applyAlignment="1">
      <alignment horizontal="left" vertical="center"/>
    </xf>
    <xf numFmtId="0" fontId="70" fillId="0" borderId="2" xfId="0" applyFont="1" applyFill="1" applyBorder="1" applyAlignment="1">
      <alignment horizontal="center" vertical="center"/>
    </xf>
    <xf numFmtId="49" fontId="71" fillId="10" borderId="2" xfId="0" applyNumberFormat="1" applyFont="1" applyFill="1" applyBorder="1" applyAlignment="1">
      <alignment horizontal="left" vertical="center" wrapText="1"/>
    </xf>
    <xf numFmtId="0" fontId="70" fillId="0" borderId="2" xfId="0" applyFont="1" applyFill="1" applyBorder="1" applyAlignment="1">
      <alignment vertical="center" wrapText="1"/>
    </xf>
    <xf numFmtId="0" fontId="70" fillId="0" borderId="2" xfId="0" applyFont="1" applyFill="1" applyBorder="1" applyAlignment="1">
      <alignment horizontal="center" vertical="center" wrapText="1"/>
    </xf>
    <xf numFmtId="0" fontId="71" fillId="0" borderId="2" xfId="0" applyFont="1" applyFill="1" applyBorder="1" applyAlignment="1">
      <alignment horizontal="center" vertical="center"/>
    </xf>
    <xf numFmtId="0" fontId="72" fillId="0" borderId="2" xfId="0" applyFont="1" applyFill="1" applyBorder="1" applyAlignment="1">
      <alignment horizontal="center" vertical="center"/>
    </xf>
    <xf numFmtId="49" fontId="73" fillId="10" borderId="2" xfId="0" applyNumberFormat="1" applyFont="1" applyFill="1" applyBorder="1" applyAlignment="1">
      <alignment horizontal="left" vertical="center" wrapText="1"/>
    </xf>
    <xf numFmtId="49" fontId="68" fillId="0" borderId="2" xfId="0" applyNumberFormat="1" applyFont="1" applyFill="1" applyBorder="1" applyAlignment="1">
      <alignment horizontal="left" vertical="center" wrapText="1"/>
    </xf>
    <xf numFmtId="0" fontId="50" fillId="0" borderId="2" xfId="0" applyFont="1" applyFill="1" applyBorder="1" applyAlignment="1">
      <alignment horizontal="center" vertical="center" wrapText="1"/>
    </xf>
    <xf numFmtId="0" fontId="74" fillId="11" borderId="2" xfId="0" applyFont="1" applyFill="1" applyBorder="1" applyAlignment="1">
      <alignment vertical="center"/>
    </xf>
    <xf numFmtId="0" fontId="66" fillId="0" borderId="2" xfId="0" applyFont="1" applyFill="1" applyBorder="1" applyAlignment="1">
      <alignment vertical="center" wrapText="1"/>
    </xf>
    <xf numFmtId="0" fontId="66" fillId="11" borderId="2" xfId="0" applyFont="1" applyFill="1" applyBorder="1" applyAlignment="1">
      <alignment vertical="center"/>
    </xf>
    <xf numFmtId="0" fontId="66" fillId="11" borderId="3" xfId="0" applyFont="1" applyFill="1" applyBorder="1" applyAlignment="1">
      <alignment horizontal="left" vertical="center"/>
    </xf>
    <xf numFmtId="0" fontId="66" fillId="0" borderId="3" xfId="0" applyFont="1" applyFill="1" applyBorder="1" applyAlignment="1">
      <alignment horizontal="left" vertical="center" wrapText="1"/>
    </xf>
    <xf numFmtId="0" fontId="66" fillId="0" borderId="2" xfId="0" applyFont="1" applyFill="1" applyBorder="1" applyAlignment="1">
      <alignment horizontal="left" vertical="center" wrapText="1"/>
    </xf>
    <xf numFmtId="0" fontId="66" fillId="0" borderId="3" xfId="0" applyFont="1" applyFill="1" applyBorder="1" applyAlignment="1">
      <alignment vertical="center"/>
    </xf>
    <xf numFmtId="0" fontId="66" fillId="11" borderId="3" xfId="0" applyFont="1" applyFill="1" applyBorder="1" applyAlignment="1">
      <alignment vertical="center"/>
    </xf>
    <xf numFmtId="0" fontId="66" fillId="0" borderId="3" xfId="0" applyFont="1" applyFill="1" applyBorder="1" applyAlignment="1">
      <alignment vertical="center" wrapText="1"/>
    </xf>
    <xf numFmtId="0" fontId="22" fillId="0" borderId="2" xfId="0" applyFont="1" applyFill="1" applyBorder="1" applyAlignment="1">
      <alignment vertical="center"/>
    </xf>
    <xf numFmtId="0" fontId="75" fillId="11" borderId="2" xfId="0" applyFont="1" applyFill="1" applyBorder="1" applyAlignment="1">
      <alignment horizontal="center" vertical="center"/>
    </xf>
    <xf numFmtId="2" fontId="0" fillId="2" borderId="2" xfId="0" applyNumberFormat="1" applyFont="1" applyFill="1" applyBorder="1" applyAlignment="1">
      <alignment horizontal="center" vertical="center"/>
    </xf>
    <xf numFmtId="0" fontId="22" fillId="0" borderId="2" xfId="0" applyFont="1" applyFill="1" applyBorder="1" applyAlignment="1">
      <alignment horizontal="center" vertical="center"/>
    </xf>
    <xf numFmtId="0" fontId="22" fillId="0" borderId="5" xfId="0" applyFont="1" applyFill="1" applyBorder="1" applyAlignment="1">
      <alignment horizontal="center" vertical="center"/>
    </xf>
    <xf numFmtId="0" fontId="76" fillId="0" borderId="2" xfId="0" applyFont="1" applyFill="1" applyBorder="1" applyAlignment="1">
      <alignment horizontal="center" vertical="center"/>
    </xf>
    <xf numFmtId="49" fontId="66" fillId="12" borderId="2" xfId="0" applyNumberFormat="1" applyFont="1" applyFill="1" applyBorder="1" applyAlignment="1">
      <alignment horizontal="left" vertical="center" wrapText="1"/>
    </xf>
    <xf numFmtId="0" fontId="66" fillId="0" borderId="2" xfId="0" applyFont="1" applyFill="1" applyBorder="1" applyAlignment="1">
      <alignment horizontal="left" vertical="center" wrapText="1"/>
    </xf>
    <xf numFmtId="49" fontId="68" fillId="12" borderId="2" xfId="0" applyNumberFormat="1" applyFont="1" applyFill="1" applyBorder="1" applyAlignment="1">
      <alignment horizontal="left" vertical="center" wrapText="1"/>
    </xf>
    <xf numFmtId="0" fontId="66" fillId="12" borderId="2" xfId="0" applyFont="1" applyFill="1" applyBorder="1" applyAlignment="1">
      <alignment horizontal="left" vertical="center"/>
    </xf>
    <xf numFmtId="0" fontId="66" fillId="0" borderId="3" xfId="0" applyFont="1" applyFill="1" applyBorder="1" applyAlignment="1">
      <alignment horizontal="center" vertical="center"/>
    </xf>
    <xf numFmtId="0" fontId="66" fillId="12" borderId="3" xfId="0" applyFont="1" applyFill="1" applyBorder="1" applyAlignment="1">
      <alignment horizontal="left" vertical="center"/>
    </xf>
    <xf numFmtId="0" fontId="66" fillId="0" borderId="3" xfId="0" applyFont="1" applyFill="1" applyBorder="1" applyAlignment="1">
      <alignment horizontal="left" vertical="center" wrapText="1"/>
    </xf>
    <xf numFmtId="0" fontId="66" fillId="0" borderId="10" xfId="0" applyFont="1" applyFill="1" applyBorder="1" applyAlignment="1">
      <alignment horizontal="center" vertical="center"/>
    </xf>
    <xf numFmtId="0" fontId="66" fillId="12" borderId="10" xfId="0" applyFont="1" applyFill="1" applyBorder="1" applyAlignment="1">
      <alignment horizontal="left" vertical="center"/>
    </xf>
    <xf numFmtId="0" fontId="66" fillId="0" borderId="10" xfId="0" applyFont="1" applyFill="1" applyBorder="1" applyAlignment="1">
      <alignment horizontal="left" vertical="center" wrapText="1"/>
    </xf>
    <xf numFmtId="0" fontId="66" fillId="12" borderId="7" xfId="0" applyFont="1" applyFill="1" applyBorder="1" applyAlignment="1">
      <alignment horizontal="left" vertical="center"/>
    </xf>
    <xf numFmtId="0" fontId="21" fillId="0" borderId="2" xfId="0" applyFont="1" applyFill="1" applyBorder="1" applyAlignment="1">
      <alignment horizontal="center" vertical="center"/>
    </xf>
    <xf numFmtId="0" fontId="68" fillId="12" borderId="2" xfId="0" applyFont="1" applyFill="1" applyBorder="1" applyAlignment="1">
      <alignment horizontal="left" vertical="center"/>
    </xf>
    <xf numFmtId="0" fontId="50" fillId="0" borderId="2" xfId="0" applyFont="1" applyFill="1" applyBorder="1" applyAlignment="1">
      <alignment horizontal="center" vertical="top"/>
    </xf>
    <xf numFmtId="0" fontId="50" fillId="0" borderId="2" xfId="0" applyFont="1" applyFill="1" applyBorder="1" applyAlignment="1">
      <alignment vertical="top" wrapText="1"/>
    </xf>
    <xf numFmtId="49" fontId="66" fillId="13" borderId="2" xfId="0" applyNumberFormat="1" applyFont="1" applyFill="1" applyBorder="1" applyAlignment="1">
      <alignment horizontal="left" vertical="center" wrapText="1"/>
    </xf>
    <xf numFmtId="0" fontId="66" fillId="2" borderId="2" xfId="0" applyFont="1" applyFill="1" applyBorder="1" applyAlignment="1">
      <alignment horizontal="center" vertical="center"/>
    </xf>
    <xf numFmtId="0" fontId="66" fillId="2" borderId="2" xfId="0" applyFont="1" applyFill="1" applyBorder="1" applyAlignment="1">
      <alignment vertical="center" wrapText="1"/>
    </xf>
    <xf numFmtId="0" fontId="66" fillId="0" borderId="2" xfId="0" applyFont="1" applyFill="1" applyBorder="1" applyAlignment="1">
      <alignment horizontal="center" vertical="center" wrapText="1"/>
    </xf>
    <xf numFmtId="0" fontId="50" fillId="0" borderId="3" xfId="0" applyFont="1" applyFill="1" applyBorder="1" applyAlignment="1">
      <alignment horizontal="center" vertical="center"/>
    </xf>
    <xf numFmtId="49" fontId="68" fillId="13" borderId="2" xfId="0" applyNumberFormat="1" applyFont="1" applyFill="1" applyBorder="1" applyAlignment="1">
      <alignment horizontal="left" vertical="center" wrapText="1"/>
    </xf>
    <xf numFmtId="49" fontId="68" fillId="13" borderId="3" xfId="0" applyNumberFormat="1" applyFont="1" applyFill="1" applyBorder="1" applyAlignment="1">
      <alignment vertical="center" wrapText="1"/>
    </xf>
    <xf numFmtId="49" fontId="68" fillId="13" borderId="3" xfId="0" applyNumberFormat="1" applyFont="1" applyFill="1" applyBorder="1" applyAlignment="1">
      <alignment horizontal="left" vertical="center" wrapText="1"/>
    </xf>
    <xf numFmtId="49" fontId="66" fillId="5" borderId="2" xfId="0" applyNumberFormat="1" applyFont="1" applyFill="1" applyBorder="1" applyAlignment="1">
      <alignment horizontal="left" vertical="center" wrapText="1"/>
    </xf>
    <xf numFmtId="0" fontId="22" fillId="0" borderId="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66" fillId="14" borderId="2" xfId="0" applyFont="1" applyFill="1" applyBorder="1" applyAlignment="1">
      <alignment vertical="center"/>
    </xf>
    <xf numFmtId="167" fontId="50" fillId="0" borderId="2" xfId="0" applyNumberFormat="1" applyFont="1" applyFill="1" applyBorder="1" applyAlignment="1">
      <alignment horizontal="center" vertical="center"/>
    </xf>
    <xf numFmtId="0" fontId="68" fillId="15" borderId="3" xfId="0" applyFont="1" applyFill="1" applyBorder="1" applyAlignment="1">
      <alignment horizontal="left" vertical="center"/>
    </xf>
    <xf numFmtId="0" fontId="66" fillId="15" borderId="2" xfId="0" applyFont="1" applyFill="1" applyBorder="1" applyAlignment="1">
      <alignment vertical="center"/>
    </xf>
    <xf numFmtId="0" fontId="68" fillId="15" borderId="2" xfId="0" applyFont="1" applyFill="1" applyBorder="1" applyAlignment="1">
      <alignment vertical="center"/>
    </xf>
    <xf numFmtId="0" fontId="50" fillId="0" borderId="2" xfId="0" applyFont="1" applyFill="1" applyBorder="1" applyAlignment="1">
      <alignment horizontal="left" vertical="center" wrapText="1"/>
    </xf>
    <xf numFmtId="0" fontId="50" fillId="0" borderId="10" xfId="0" applyFont="1" applyFill="1" applyBorder="1" applyAlignment="1">
      <alignment horizontal="center" vertical="center"/>
    </xf>
    <xf numFmtId="0" fontId="50" fillId="0" borderId="10" xfId="0" applyFont="1" applyFill="1" applyBorder="1" applyAlignment="1">
      <alignment horizontal="left" vertical="center" wrapText="1"/>
    </xf>
    <xf numFmtId="49" fontId="66" fillId="16" borderId="2" xfId="0" applyNumberFormat="1" applyFont="1" applyFill="1" applyBorder="1" applyAlignment="1">
      <alignment horizontal="left" vertical="center" wrapText="1"/>
    </xf>
    <xf numFmtId="49" fontId="68" fillId="16" borderId="2" xfId="0" applyNumberFormat="1" applyFont="1" applyFill="1" applyBorder="1" applyAlignment="1">
      <alignment horizontal="left" vertical="center" wrapText="1"/>
    </xf>
    <xf numFmtId="0" fontId="68" fillId="16" borderId="2" xfId="0" applyFont="1" applyFill="1" applyBorder="1" applyAlignment="1">
      <alignment vertical="top"/>
    </xf>
    <xf numFmtId="0" fontId="50" fillId="0" borderId="5" xfId="0" applyFont="1" applyFill="1" applyBorder="1" applyAlignment="1">
      <alignment horizontal="center" vertical="top"/>
    </xf>
    <xf numFmtId="0" fontId="66" fillId="17" borderId="2" xfId="0" applyFont="1" applyFill="1" applyBorder="1" applyAlignment="1">
      <alignment horizontal="left" vertical="center"/>
    </xf>
    <xf numFmtId="0" fontId="50" fillId="0" borderId="2" xfId="0" applyFont="1" applyFill="1" applyBorder="1" applyAlignment="1">
      <alignment wrapText="1"/>
    </xf>
    <xf numFmtId="0" fontId="68" fillId="17" borderId="2" xfId="0" applyFont="1" applyFill="1" applyBorder="1" applyAlignment="1">
      <alignment vertical="center"/>
    </xf>
    <xf numFmtId="0" fontId="66" fillId="17" borderId="3" xfId="0" applyFont="1" applyFill="1" applyBorder="1" applyAlignment="1">
      <alignment horizontal="left" vertical="center"/>
    </xf>
    <xf numFmtId="0" fontId="66" fillId="17" borderId="3" xfId="0" applyFont="1" applyFill="1" applyBorder="1" applyAlignment="1">
      <alignment horizontal="left" vertical="center"/>
    </xf>
    <xf numFmtId="0" fontId="66" fillId="17" borderId="10" xfId="0" applyFont="1" applyFill="1" applyBorder="1" applyAlignment="1">
      <alignment horizontal="left" vertical="center"/>
    </xf>
    <xf numFmtId="0" fontId="66" fillId="0" borderId="7" xfId="0" applyFont="1" applyFill="1" applyBorder="1" applyAlignment="1">
      <alignment horizontal="center" vertical="center"/>
    </xf>
    <xf numFmtId="0" fontId="66" fillId="0" borderId="7" xfId="0" applyFont="1" applyFill="1" applyBorder="1" applyAlignment="1">
      <alignment horizontal="left" vertical="center" wrapText="1"/>
    </xf>
    <xf numFmtId="0" fontId="66" fillId="17" borderId="3" xfId="0" applyFont="1" applyFill="1" applyBorder="1" applyAlignment="1">
      <alignment vertical="center"/>
    </xf>
    <xf numFmtId="0" fontId="66" fillId="0" borderId="3" xfId="0" applyFont="1" applyFill="1" applyBorder="1" applyAlignment="1">
      <alignment horizontal="center" vertical="center" wrapText="1"/>
    </xf>
    <xf numFmtId="2" fontId="50" fillId="0" borderId="3" xfId="0" applyNumberFormat="1" applyFont="1" applyFill="1" applyBorder="1" applyAlignment="1">
      <alignment horizontal="center" vertical="center"/>
    </xf>
    <xf numFmtId="0" fontId="22" fillId="0" borderId="3" xfId="0" applyFont="1" applyFill="1" applyBorder="1" applyAlignment="1">
      <alignment horizontal="center" vertical="center"/>
    </xf>
    <xf numFmtId="0" fontId="22" fillId="0" borderId="11" xfId="0" applyFont="1" applyFill="1" applyBorder="1" applyAlignment="1">
      <alignment horizontal="center" vertical="center"/>
    </xf>
    <xf numFmtId="49" fontId="66" fillId="18" borderId="2" xfId="0" applyNumberFormat="1" applyFont="1" applyFill="1" applyBorder="1" applyAlignment="1">
      <alignment horizontal="left" vertical="center" wrapText="1"/>
    </xf>
    <xf numFmtId="0" fontId="66" fillId="0" borderId="10" xfId="0" applyFont="1" applyFill="1" applyBorder="1" applyAlignment="1">
      <alignment horizontal="center" vertical="center"/>
    </xf>
    <xf numFmtId="49" fontId="66" fillId="0" borderId="2" xfId="0" applyNumberFormat="1" applyFont="1" applyFill="1" applyBorder="1" applyAlignment="1">
      <alignment horizontal="left" vertical="center" wrapText="1"/>
    </xf>
    <xf numFmtId="0" fontId="77" fillId="0" borderId="5" xfId="0" applyFont="1" applyFill="1" applyBorder="1" applyAlignment="1">
      <alignment horizontal="center" vertical="center"/>
    </xf>
    <xf numFmtId="0" fontId="78" fillId="0" borderId="4" xfId="0" applyFont="1" applyFill="1" applyBorder="1" applyAlignment="1">
      <alignment horizontal="center" vertical="center"/>
    </xf>
    <xf numFmtId="0" fontId="77" fillId="0" borderId="4" xfId="0" applyFont="1" applyFill="1" applyBorder="1" applyAlignment="1">
      <alignment horizontal="center" vertical="center"/>
    </xf>
    <xf numFmtId="0" fontId="77" fillId="0" borderId="6" xfId="0" applyFont="1" applyFill="1" applyBorder="1" applyAlignment="1">
      <alignment horizontal="center" vertical="center"/>
    </xf>
    <xf numFmtId="0" fontId="77" fillId="0" borderId="2" xfId="0" applyFont="1" applyFill="1" applyBorder="1" applyAlignment="1">
      <alignment horizontal="center" vertical="center"/>
    </xf>
    <xf numFmtId="167" fontId="77" fillId="0" borderId="2" xfId="0" applyNumberFormat="1" applyFont="1" applyFill="1" applyBorder="1" applyAlignment="1">
      <alignment horizontal="center" vertical="center"/>
    </xf>
    <xf numFmtId="0" fontId="66" fillId="0" borderId="0" xfId="0" applyFont="1" applyFill="1" applyBorder="1" applyAlignment="1">
      <alignment horizontal="center" vertical="center"/>
    </xf>
    <xf numFmtId="49" fontId="68" fillId="0" borderId="0" xfId="0" applyNumberFormat="1" applyFont="1" applyFill="1" applyBorder="1" applyAlignment="1">
      <alignment horizontal="left" vertical="center" wrapText="1"/>
    </xf>
    <xf numFmtId="0" fontId="66" fillId="0" borderId="0" xfId="0" applyFont="1" applyFill="1" applyBorder="1" applyAlignment="1">
      <alignment vertical="center" wrapText="1"/>
    </xf>
    <xf numFmtId="2" fontId="50" fillId="2" borderId="0" xfId="0" applyNumberFormat="1" applyFont="1" applyFill="1" applyBorder="1" applyAlignment="1">
      <alignment horizontal="center" vertical="center"/>
    </xf>
    <xf numFmtId="2" fontId="50" fillId="2" borderId="0" xfId="0" applyNumberFormat="1" applyFont="1" applyFill="1" applyAlignment="1">
      <alignment horizontal="center" vertical="center"/>
    </xf>
    <xf numFmtId="2" fontId="66" fillId="0" borderId="0" xfId="0" applyNumberFormat="1" applyFont="1" applyFill="1" applyBorder="1" applyAlignment="1">
      <alignment horizontal="center" vertical="center"/>
    </xf>
    <xf numFmtId="0" fontId="66" fillId="6" borderId="2" xfId="0" applyFont="1" applyFill="1" applyBorder="1" applyAlignment="1">
      <alignment horizontal="center" vertical="center"/>
    </xf>
    <xf numFmtId="0" fontId="79" fillId="2" borderId="2" xfId="0" applyFont="1" applyFill="1" applyBorder="1" applyAlignment="1">
      <alignment vertical="center"/>
    </xf>
    <xf numFmtId="0" fontId="64" fillId="2" borderId="2" xfId="0" applyFont="1" applyFill="1" applyBorder="1" applyAlignment="1">
      <alignment vertical="center"/>
    </xf>
    <xf numFmtId="0" fontId="79" fillId="2" borderId="5" xfId="0" applyFont="1" applyFill="1" applyBorder="1" applyAlignment="1">
      <alignment vertical="center"/>
    </xf>
    <xf numFmtId="0" fontId="79" fillId="2" borderId="5" xfId="0" applyFont="1" applyFill="1" applyBorder="1" applyAlignment="1">
      <alignment horizontal="center" vertical="center"/>
    </xf>
    <xf numFmtId="0" fontId="79" fillId="2" borderId="2" xfId="0" applyFont="1" applyFill="1" applyBorder="1" applyAlignment="1">
      <alignment horizontal="center" vertical="center"/>
    </xf>
    <xf numFmtId="49" fontId="71" fillId="19" borderId="2" xfId="0" applyNumberFormat="1" applyFont="1" applyFill="1" applyBorder="1" applyAlignment="1">
      <alignment horizontal="left" vertical="center" wrapText="1"/>
    </xf>
    <xf numFmtId="2" fontId="0" fillId="0" borderId="2" xfId="0" applyNumberFormat="1" applyFont="1" applyFill="1" applyBorder="1" applyAlignment="1">
      <alignment horizontal="center" vertical="center"/>
    </xf>
    <xf numFmtId="0" fontId="79" fillId="0" borderId="2" xfId="0" applyFont="1" applyFill="1" applyBorder="1" applyAlignment="1">
      <alignment horizontal="center" vertical="center" wrapText="1"/>
    </xf>
    <xf numFmtId="0" fontId="71" fillId="19" borderId="2"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76"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0" xfId="0" applyFont="1" applyFill="1" applyAlignment="1">
      <alignment horizontal="center" vertical="center"/>
    </xf>
    <xf numFmtId="0" fontId="0" fillId="0" borderId="0" xfId="0" applyFont="1" applyFill="1" applyAlignment="1">
      <alignment horizontal="center" vertical="center"/>
    </xf>
    <xf numFmtId="0" fontId="80" fillId="0" borderId="0" xfId="0" applyFont="1" applyAlignment="1">
      <alignment horizontal="center"/>
    </xf>
    <xf numFmtId="0" fontId="31" fillId="0" borderId="0" xfId="0" applyFont="1"/>
    <xf numFmtId="0" fontId="15" fillId="0" borderId="0" xfId="0" applyFont="1" applyAlignment="1">
      <alignment horizontal="left"/>
    </xf>
    <xf numFmtId="0" fontId="0" fillId="0" borderId="0" xfId="0" applyFont="1" applyAlignment="1"/>
    <xf numFmtId="0" fontId="15" fillId="0" borderId="0" xfId="0" applyFont="1" applyBorder="1" applyAlignment="1">
      <alignment horizontal="left"/>
    </xf>
    <xf numFmtId="0" fontId="81" fillId="0" borderId="0" xfId="0" applyFont="1" applyBorder="1"/>
    <xf numFmtId="0" fontId="31" fillId="0" borderId="2" xfId="0" applyFont="1" applyBorder="1" applyAlignment="1">
      <alignment horizontal="center" vertical="center" wrapText="1"/>
    </xf>
    <xf numFmtId="0" fontId="81" fillId="0" borderId="2" xfId="0" applyFont="1" applyBorder="1"/>
    <xf numFmtId="0" fontId="40" fillId="0" borderId="2" xfId="0" applyFont="1" applyBorder="1" applyAlignment="1">
      <alignment horizontal="center" vertical="center" wrapText="1"/>
    </xf>
    <xf numFmtId="0" fontId="40" fillId="0" borderId="2" xfId="0" applyFont="1" applyBorder="1" applyAlignment="1">
      <alignment horizontal="center" wrapText="1"/>
    </xf>
    <xf numFmtId="0" fontId="40" fillId="0" borderId="2" xfId="0" applyFont="1" applyBorder="1" applyAlignment="1">
      <alignment horizontal="center" vertical="center"/>
    </xf>
    <xf numFmtId="0" fontId="40" fillId="0" borderId="2" xfId="0" applyFont="1" applyBorder="1" applyAlignment="1">
      <alignment horizontal="center" vertical="center" wrapText="1"/>
    </xf>
    <xf numFmtId="0" fontId="82" fillId="20" borderId="5" xfId="0" applyFont="1" applyFill="1" applyBorder="1" applyAlignment="1">
      <alignment horizontal="center"/>
    </xf>
    <xf numFmtId="0" fontId="82" fillId="20" borderId="6" xfId="0" applyFont="1" applyFill="1" applyBorder="1" applyAlignment="1">
      <alignment horizontal="center"/>
    </xf>
    <xf numFmtId="0" fontId="81" fillId="0" borderId="2" xfId="0" applyFont="1" applyBorder="1"/>
    <xf numFmtId="0" fontId="15" fillId="0" borderId="2" xfId="0" applyFont="1" applyBorder="1"/>
    <xf numFmtId="0" fontId="15" fillId="0" borderId="2" xfId="0" applyFont="1" applyBorder="1" applyAlignment="1">
      <alignment horizontal="center" vertical="center"/>
    </xf>
    <xf numFmtId="0" fontId="41" fillId="0" borderId="2" xfId="0" applyFont="1" applyFill="1" applyBorder="1" applyAlignment="1">
      <alignment horizontal="left" vertical="top" wrapText="1"/>
    </xf>
    <xf numFmtId="0" fontId="81" fillId="0" borderId="2" xfId="0" applyFont="1" applyBorder="1" applyAlignment="1">
      <alignment vertical="top"/>
    </xf>
    <xf numFmtId="0" fontId="81" fillId="0" borderId="2" xfId="0" applyFont="1" applyBorder="1" applyAlignment="1">
      <alignment horizontal="left" vertical="top"/>
    </xf>
    <xf numFmtId="2" fontId="81" fillId="0" borderId="2" xfId="0" applyNumberFormat="1" applyFont="1" applyBorder="1" applyAlignment="1">
      <alignment horizontal="left"/>
    </xf>
    <xf numFmtId="0" fontId="81" fillId="0" borderId="2" xfId="0" applyFont="1" applyBorder="1" applyAlignment="1">
      <alignment horizontal="left"/>
    </xf>
    <xf numFmtId="2" fontId="15" fillId="0" borderId="2" xfId="0" applyNumberFormat="1" applyFont="1" applyBorder="1"/>
    <xf numFmtId="0" fontId="81" fillId="0" borderId="2" xfId="0" applyFont="1" applyBorder="1" applyAlignment="1">
      <alignment horizontal="center" vertical="center"/>
    </xf>
    <xf numFmtId="0" fontId="81" fillId="0" borderId="2" xfId="0" applyFont="1" applyBorder="1" applyAlignment="1">
      <alignment horizontal="left" vertical="center"/>
    </xf>
    <xf numFmtId="2" fontId="81" fillId="0" borderId="2" xfId="0" applyNumberFormat="1" applyFont="1" applyBorder="1" applyAlignment="1">
      <alignment horizontal="left" vertical="center"/>
    </xf>
    <xf numFmtId="0" fontId="41" fillId="0" borderId="2" xfId="0" applyFont="1" applyFill="1" applyBorder="1" applyAlignment="1">
      <alignment horizontal="left" vertical="center" wrapText="1"/>
    </xf>
    <xf numFmtId="2" fontId="81" fillId="0" borderId="2" xfId="0" applyNumberFormat="1" applyFont="1" applyBorder="1" applyAlignment="1">
      <alignment horizontal="left" vertical="top"/>
    </xf>
    <xf numFmtId="165" fontId="81" fillId="0" borderId="2" xfId="0" applyNumberFormat="1" applyFont="1" applyBorder="1" applyAlignment="1">
      <alignment horizontal="left" vertical="top"/>
    </xf>
    <xf numFmtId="0" fontId="15" fillId="0" borderId="2" xfId="0" applyFont="1" applyFill="1" applyBorder="1" applyAlignment="1">
      <alignment horizontal="center" vertical="center"/>
    </xf>
    <xf numFmtId="0" fontId="39" fillId="0" borderId="2" xfId="0" applyFont="1" applyFill="1" applyBorder="1" applyAlignment="1">
      <alignment wrapText="1"/>
    </xf>
    <xf numFmtId="0" fontId="81" fillId="0" borderId="2" xfId="0" applyFont="1" applyFill="1" applyBorder="1" applyAlignment="1">
      <alignment vertical="top"/>
    </xf>
    <xf numFmtId="0" fontId="81" fillId="0" borderId="2" xfId="0" applyFont="1" applyFill="1" applyBorder="1" applyAlignment="1">
      <alignment horizontal="left"/>
    </xf>
    <xf numFmtId="0" fontId="15" fillId="0" borderId="2" xfId="0" applyFont="1" applyFill="1" applyBorder="1"/>
    <xf numFmtId="2" fontId="0" fillId="0" borderId="2" xfId="0" applyNumberFormat="1" applyFont="1" applyFill="1" applyBorder="1" applyAlignment="1">
      <alignment horizontal="left" vertical="center"/>
    </xf>
    <xf numFmtId="0" fontId="13" fillId="0" borderId="2" xfId="0" applyFont="1" applyFill="1" applyBorder="1" applyAlignment="1">
      <alignment horizontal="center" vertical="center"/>
    </xf>
    <xf numFmtId="0" fontId="41" fillId="0" borderId="2" xfId="0" applyFont="1" applyFill="1" applyBorder="1" applyAlignment="1">
      <alignment wrapText="1"/>
    </xf>
    <xf numFmtId="0" fontId="31" fillId="20" borderId="5" xfId="0" applyFont="1" applyFill="1" applyBorder="1" applyAlignment="1">
      <alignment horizontal="center"/>
    </xf>
    <xf numFmtId="0" fontId="31" fillId="20" borderId="6" xfId="0" applyFont="1" applyFill="1" applyBorder="1" applyAlignment="1">
      <alignment horizontal="center"/>
    </xf>
    <xf numFmtId="0" fontId="41" fillId="0" borderId="2" xfId="0" applyFont="1" applyBorder="1" applyAlignment="1">
      <alignment horizontal="left" vertical="top" wrapText="1"/>
    </xf>
    <xf numFmtId="165" fontId="81" fillId="0" borderId="2" xfId="0" applyNumberFormat="1" applyFont="1" applyBorder="1" applyAlignment="1">
      <alignment horizontal="left" vertical="center"/>
    </xf>
    <xf numFmtId="0" fontId="15" fillId="0" borderId="2" xfId="0" applyFont="1" applyBorder="1" applyAlignment="1">
      <alignment horizontal="center"/>
    </xf>
    <xf numFmtId="0" fontId="15" fillId="0" borderId="3" xfId="0" applyFont="1" applyFill="1" applyBorder="1" applyAlignment="1">
      <alignment horizontal="center" vertical="center"/>
    </xf>
    <xf numFmtId="0" fontId="39" fillId="0" borderId="6" xfId="0" applyFont="1" applyFill="1" applyBorder="1" applyAlignment="1">
      <alignment vertical="center" wrapText="1"/>
    </xf>
    <xf numFmtId="0" fontId="0" fillId="0" borderId="2" xfId="0" applyFill="1" applyBorder="1" applyAlignment="1">
      <alignment horizontal="left" vertical="center"/>
    </xf>
    <xf numFmtId="0" fontId="81" fillId="0" borderId="2" xfId="0" applyFont="1" applyBorder="1" applyAlignment="1">
      <alignment vertical="top" wrapText="1"/>
    </xf>
    <xf numFmtId="0" fontId="0" fillId="0" borderId="2" xfId="0" applyFont="1" applyBorder="1" applyAlignment="1"/>
    <xf numFmtId="0" fontId="81" fillId="0" borderId="2" xfId="0" applyFont="1" applyFill="1" applyBorder="1" applyAlignment="1">
      <alignment wrapText="1"/>
    </xf>
    <xf numFmtId="164" fontId="81" fillId="0" borderId="2" xfId="0" applyNumberFormat="1" applyFont="1" applyBorder="1" applyAlignment="1">
      <alignment horizontal="left"/>
    </xf>
    <xf numFmtId="168" fontId="81" fillId="0" borderId="2" xfId="0" applyNumberFormat="1" applyFont="1" applyBorder="1" applyAlignment="1">
      <alignment horizontal="left" wrapText="1"/>
    </xf>
    <xf numFmtId="0" fontId="15" fillId="0" borderId="3" xfId="0" applyFont="1" applyFill="1" applyBorder="1" applyAlignment="1">
      <alignment horizontal="center" vertical="center"/>
    </xf>
    <xf numFmtId="0" fontId="15" fillId="0" borderId="7" xfId="0" applyFont="1" applyFill="1" applyBorder="1" applyAlignment="1">
      <alignment horizontal="center" vertical="center"/>
    </xf>
    <xf numFmtId="0" fontId="41" fillId="0" borderId="2" xfId="0" applyFont="1" applyBorder="1" applyAlignment="1">
      <alignment horizontal="left" vertical="center" wrapText="1"/>
    </xf>
    <xf numFmtId="2" fontId="81" fillId="0" borderId="2" xfId="0" applyNumberFormat="1" applyFont="1" applyBorder="1" applyAlignment="1">
      <alignment horizontal="left" vertical="center" wrapText="1"/>
    </xf>
    <xf numFmtId="0" fontId="81" fillId="0" borderId="2" xfId="0" applyFont="1" applyBorder="1" applyAlignment="1">
      <alignment wrapText="1"/>
    </xf>
    <xf numFmtId="0" fontId="15" fillId="0" borderId="10" xfId="0" applyFont="1" applyFill="1" applyBorder="1" applyAlignment="1">
      <alignment horizontal="center" vertical="center"/>
    </xf>
    <xf numFmtId="165" fontId="81" fillId="0" borderId="2" xfId="0" applyNumberFormat="1" applyFont="1" applyBorder="1" applyAlignment="1">
      <alignment horizontal="left"/>
    </xf>
    <xf numFmtId="2" fontId="81" fillId="0" borderId="2" xfId="0" applyNumberFormat="1" applyFont="1" applyBorder="1" applyAlignment="1">
      <alignment horizontal="left" vertical="top" wrapText="1"/>
    </xf>
    <xf numFmtId="0" fontId="15" fillId="0" borderId="3" xfId="0" applyFont="1" applyBorder="1" applyAlignment="1">
      <alignment horizontal="center" vertical="center"/>
    </xf>
    <xf numFmtId="0" fontId="15" fillId="0" borderId="10" xfId="0" applyFont="1" applyBorder="1" applyAlignment="1">
      <alignment horizontal="center" vertical="center"/>
    </xf>
    <xf numFmtId="2" fontId="81" fillId="0" borderId="2" xfId="0" applyNumberFormat="1" applyFont="1" applyBorder="1" applyAlignment="1">
      <alignment horizontal="left" wrapText="1"/>
    </xf>
    <xf numFmtId="0" fontId="41" fillId="0" borderId="2" xfId="0" applyFont="1" applyBorder="1" applyAlignment="1">
      <alignment wrapText="1"/>
    </xf>
    <xf numFmtId="166" fontId="15" fillId="0" borderId="2" xfId="0" applyNumberFormat="1" applyFont="1" applyBorder="1"/>
    <xf numFmtId="164" fontId="81" fillId="0" borderId="2" xfId="0" applyNumberFormat="1" applyFont="1" applyBorder="1" applyAlignment="1">
      <alignment horizontal="left" vertical="top" wrapText="1"/>
    </xf>
    <xf numFmtId="0" fontId="15" fillId="0" borderId="16" xfId="0" applyFont="1" applyFill="1" applyBorder="1" applyAlignment="1">
      <alignment horizontal="center" vertical="center"/>
    </xf>
    <xf numFmtId="164" fontId="15" fillId="0" borderId="2" xfId="0" applyNumberFormat="1" applyFont="1" applyBorder="1"/>
    <xf numFmtId="0" fontId="41" fillId="21" borderId="2" xfId="0" applyFont="1" applyFill="1" applyBorder="1" applyAlignment="1">
      <alignment horizontal="left" vertical="top" wrapText="1"/>
    </xf>
    <xf numFmtId="0" fontId="81" fillId="22" borderId="2" xfId="0" applyFont="1" applyFill="1" applyBorder="1" applyAlignment="1">
      <alignment horizontal="left" vertical="top"/>
    </xf>
    <xf numFmtId="2" fontId="81" fillId="22" borderId="2" xfId="0" applyNumberFormat="1" applyFont="1" applyFill="1" applyBorder="1" applyAlignment="1">
      <alignment horizontal="left" wrapText="1"/>
    </xf>
    <xf numFmtId="0" fontId="15" fillId="0" borderId="2" xfId="0" applyFont="1" applyBorder="1" applyAlignment="1">
      <alignment horizontal="left"/>
    </xf>
    <xf numFmtId="2" fontId="81" fillId="22" borderId="2" xfId="0" applyNumberFormat="1" applyFont="1" applyFill="1" applyBorder="1" applyAlignment="1">
      <alignment horizontal="left" vertical="top"/>
    </xf>
    <xf numFmtId="0" fontId="81" fillId="22" borderId="2" xfId="0" applyFont="1" applyFill="1" applyBorder="1" applyAlignment="1">
      <alignment horizontal="left"/>
    </xf>
    <xf numFmtId="2" fontId="81" fillId="22" borderId="2" xfId="0" applyNumberFormat="1" applyFont="1" applyFill="1" applyBorder="1" applyAlignment="1">
      <alignment horizontal="left" vertical="center"/>
    </xf>
    <xf numFmtId="0" fontId="15" fillId="0" borderId="2" xfId="0" applyFont="1" applyBorder="1" applyAlignment="1">
      <alignment horizontal="left" vertical="center"/>
    </xf>
    <xf numFmtId="0" fontId="15" fillId="23" borderId="2" xfId="0" applyFont="1" applyFill="1" applyBorder="1" applyAlignment="1">
      <alignment horizontal="center" vertical="center"/>
    </xf>
    <xf numFmtId="0" fontId="41" fillId="23" borderId="2" xfId="0" applyFont="1" applyFill="1" applyBorder="1" applyAlignment="1">
      <alignment horizontal="left" vertical="top" wrapText="1"/>
    </xf>
    <xf numFmtId="0" fontId="13" fillId="24" borderId="2" xfId="0" applyFont="1" applyFill="1" applyBorder="1" applyAlignment="1">
      <alignment horizontal="center" vertical="center"/>
    </xf>
    <xf numFmtId="0" fontId="15" fillId="0" borderId="0" xfId="0" applyFont="1" applyAlignment="1">
      <alignment horizontal="center"/>
    </xf>
    <xf numFmtId="0" fontId="18" fillId="0" borderId="0" xfId="0" applyFont="1" applyAlignment="1">
      <alignment horizontal="left" vertical="center"/>
    </xf>
    <xf numFmtId="0" fontId="18" fillId="0" borderId="0" xfId="0" applyFont="1" applyAlignment="1">
      <alignment horizontal="left"/>
    </xf>
    <xf numFmtId="0" fontId="83" fillId="0" borderId="9" xfId="0" applyFont="1" applyBorder="1" applyAlignment="1">
      <alignment horizontal="center" vertical="center" wrapText="1"/>
    </xf>
    <xf numFmtId="0" fontId="37" fillId="2" borderId="3" xfId="0" applyFont="1" applyFill="1" applyBorder="1" applyAlignment="1">
      <alignment horizontal="center" vertical="center"/>
    </xf>
    <xf numFmtId="0" fontId="37" fillId="2" borderId="1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10" xfId="0" applyFont="1" applyFill="1" applyBorder="1" applyAlignment="1">
      <alignment horizontal="center" vertical="center"/>
    </xf>
    <xf numFmtId="0" fontId="37" fillId="2" borderId="13" xfId="0" applyFont="1" applyFill="1" applyBorder="1" applyAlignment="1">
      <alignment horizontal="center" vertical="center"/>
    </xf>
    <xf numFmtId="0" fontId="84" fillId="2" borderId="2" xfId="0" applyFont="1" applyFill="1" applyBorder="1" applyAlignment="1">
      <alignment horizontal="center" vertical="center"/>
    </xf>
    <xf numFmtId="0" fontId="84" fillId="2" borderId="5" xfId="0" applyFont="1" applyFill="1" applyBorder="1" applyAlignment="1">
      <alignment horizontal="center" vertical="center"/>
    </xf>
    <xf numFmtId="0" fontId="84" fillId="2" borderId="2" xfId="0" applyFont="1" applyFill="1" applyBorder="1" applyAlignment="1">
      <alignment vertical="center"/>
    </xf>
    <xf numFmtId="2" fontId="42" fillId="0" borderId="2" xfId="0" applyNumberFormat="1" applyFont="1" applyBorder="1" applyAlignment="1">
      <alignment horizontal="right" vertical="center" wrapText="1"/>
    </xf>
    <xf numFmtId="0" fontId="84" fillId="2" borderId="2" xfId="0" applyFont="1" applyFill="1" applyBorder="1" applyAlignment="1">
      <alignment vertical="center" wrapText="1"/>
    </xf>
    <xf numFmtId="49" fontId="85" fillId="2" borderId="5" xfId="0" applyNumberFormat="1" applyFont="1" applyFill="1" applyBorder="1" applyAlignment="1">
      <alignment horizontal="center" vertical="center" wrapText="1"/>
    </xf>
    <xf numFmtId="0" fontId="36" fillId="0" borderId="2" xfId="0" applyFont="1" applyFill="1" applyBorder="1" applyAlignment="1">
      <alignment vertical="center" wrapText="1"/>
    </xf>
    <xf numFmtId="2" fontId="42" fillId="0" borderId="2" xfId="0" applyNumberFormat="1" applyFont="1" applyBorder="1" applyAlignment="1">
      <alignment horizontal="right" vertical="center"/>
    </xf>
    <xf numFmtId="0" fontId="36" fillId="2" borderId="2" xfId="0" applyFont="1" applyFill="1" applyBorder="1" applyAlignment="1">
      <alignment vertical="center" wrapText="1"/>
    </xf>
    <xf numFmtId="2" fontId="42" fillId="0" borderId="2" xfId="0" applyNumberFormat="1" applyFont="1" applyBorder="1" applyAlignment="1">
      <alignment horizontal="right" vertical="top"/>
    </xf>
    <xf numFmtId="0" fontId="36" fillId="2" borderId="5" xfId="0" applyFont="1" applyFill="1" applyBorder="1" applyAlignment="1">
      <alignment horizontal="center" vertical="center"/>
    </xf>
    <xf numFmtId="0" fontId="36" fillId="2" borderId="2" xfId="0" applyFont="1" applyFill="1" applyBorder="1" applyAlignment="1">
      <alignment vertical="center"/>
    </xf>
    <xf numFmtId="0" fontId="42" fillId="0" borderId="2" xfId="0" applyFont="1" applyBorder="1" applyAlignment="1">
      <alignment horizontal="center" vertical="center"/>
    </xf>
    <xf numFmtId="0" fontId="36" fillId="2" borderId="2" xfId="0" applyFont="1" applyFill="1" applyBorder="1" applyAlignment="1">
      <alignment horizontal="left" vertical="center" wrapText="1"/>
    </xf>
    <xf numFmtId="0" fontId="36" fillId="0" borderId="2" xfId="0" applyFont="1" applyFill="1" applyBorder="1" applyAlignment="1">
      <alignment vertical="center"/>
    </xf>
    <xf numFmtId="0" fontId="36" fillId="0" borderId="2" xfId="0" applyFont="1" applyFill="1" applyBorder="1" applyAlignment="1">
      <alignment horizontal="center" vertical="center"/>
    </xf>
    <xf numFmtId="0" fontId="7" fillId="0" borderId="2" xfId="0" applyFont="1" applyFill="1" applyBorder="1" applyAlignment="1">
      <alignment horizontal="left" wrapText="1"/>
    </xf>
    <xf numFmtId="0" fontId="36" fillId="2" borderId="2" xfId="0" applyFont="1" applyFill="1" applyBorder="1" applyAlignment="1">
      <alignment horizontal="center" vertical="center" wrapText="1"/>
    </xf>
    <xf numFmtId="0" fontId="7" fillId="0" borderId="2" xfId="0" applyFont="1" applyFill="1" applyBorder="1" applyAlignment="1">
      <alignment horizontal="left" vertical="top" wrapText="1"/>
    </xf>
    <xf numFmtId="0" fontId="86" fillId="0" borderId="5" xfId="0" applyFont="1" applyBorder="1" applyAlignment="1">
      <alignment horizontal="left" vertical="center" wrapText="1"/>
    </xf>
    <xf numFmtId="0" fontId="15" fillId="0" borderId="2" xfId="0" applyFont="1" applyBorder="1" applyAlignment="1">
      <alignment horizontal="left" vertical="center" wrapText="1"/>
    </xf>
    <xf numFmtId="0" fontId="39" fillId="0" borderId="2" xfId="0" applyFont="1" applyBorder="1" applyAlignment="1">
      <alignment horizontal="center"/>
    </xf>
    <xf numFmtId="0" fontId="7" fillId="0" borderId="2" xfId="0" applyFont="1" applyBorder="1" applyAlignment="1">
      <alignment horizontal="left" wrapText="1"/>
    </xf>
    <xf numFmtId="1" fontId="0" fillId="0" borderId="2" xfId="0" applyNumberFormat="1" applyBorder="1" applyAlignment="1">
      <alignment horizontal="center" vertical="center" wrapText="1"/>
    </xf>
    <xf numFmtId="0" fontId="36" fillId="2" borderId="2" xfId="0" applyFont="1" applyFill="1" applyBorder="1" applyAlignment="1">
      <alignment vertical="top" wrapText="1"/>
    </xf>
    <xf numFmtId="0" fontId="36" fillId="2" borderId="2" xfId="0" applyFont="1" applyFill="1" applyBorder="1" applyAlignment="1">
      <alignment horizontal="center" vertical="top"/>
    </xf>
    <xf numFmtId="49" fontId="85" fillId="2" borderId="5" xfId="0" applyNumberFormat="1" applyFont="1" applyFill="1" applyBorder="1" applyAlignment="1">
      <alignment horizontal="center" vertical="top" wrapText="1"/>
    </xf>
    <xf numFmtId="0" fontId="42" fillId="0" borderId="2" xfId="0" applyFont="1" applyBorder="1" applyAlignment="1">
      <alignment horizontal="center" vertical="center" wrapText="1"/>
    </xf>
    <xf numFmtId="0" fontId="36" fillId="2" borderId="2" xfId="0" applyFont="1" applyFill="1" applyBorder="1" applyAlignment="1">
      <alignment vertical="top"/>
    </xf>
    <xf numFmtId="0" fontId="36" fillId="2" borderId="5" xfId="0" applyFont="1" applyFill="1" applyBorder="1" applyAlignment="1">
      <alignment horizontal="center" vertical="top"/>
    </xf>
    <xf numFmtId="0" fontId="36" fillId="2" borderId="5" xfId="0" applyFont="1" applyFill="1" applyBorder="1" applyAlignment="1">
      <alignment horizontal="center"/>
    </xf>
    <xf numFmtId="164" fontId="0" fillId="0" borderId="2" xfId="0" applyNumberFormat="1" applyBorder="1" applyAlignment="1">
      <alignment horizontal="center" vertical="center" wrapText="1"/>
    </xf>
    <xf numFmtId="0" fontId="10" fillId="0" borderId="5" xfId="0" applyFont="1" applyFill="1" applyBorder="1" applyAlignment="1">
      <alignment horizontal="left" vertical="center"/>
    </xf>
    <xf numFmtId="0" fontId="15" fillId="0" borderId="5" xfId="0" applyFont="1" applyBorder="1" applyAlignment="1">
      <alignment horizontal="left" vertical="center" wrapText="1"/>
    </xf>
    <xf numFmtId="0" fontId="10" fillId="0" borderId="2" xfId="0" applyFont="1" applyFill="1" applyBorder="1" applyAlignment="1">
      <alignment horizontal="left" vertical="center" wrapText="1"/>
    </xf>
    <xf numFmtId="0" fontId="36" fillId="2" borderId="2" xfId="0" applyFont="1" applyFill="1" applyBorder="1" applyAlignment="1">
      <alignment horizontal="left" wrapText="1"/>
    </xf>
    <xf numFmtId="0" fontId="7" fillId="0" borderId="2" xfId="0" applyFont="1" applyFill="1" applyBorder="1" applyAlignment="1">
      <alignment vertical="center" wrapText="1"/>
    </xf>
    <xf numFmtId="0" fontId="42" fillId="0" borderId="2" xfId="0" applyFont="1" applyBorder="1" applyAlignment="1">
      <alignment horizontal="center"/>
    </xf>
    <xf numFmtId="1" fontId="0" fillId="0" borderId="2" xfId="0" applyNumberFormat="1" applyBorder="1" applyAlignment="1">
      <alignment horizontal="center" wrapText="1"/>
    </xf>
    <xf numFmtId="0" fontId="9" fillId="2" borderId="5" xfId="0" applyFont="1" applyFill="1" applyBorder="1" applyAlignment="1">
      <alignment horizontal="center" wrapText="1"/>
    </xf>
    <xf numFmtId="0" fontId="13" fillId="2" borderId="5" xfId="0" applyFont="1" applyFill="1" applyBorder="1" applyAlignment="1">
      <alignment wrapText="1"/>
    </xf>
    <xf numFmtId="0" fontId="7" fillId="0" borderId="5" xfId="0" applyFont="1" applyFill="1" applyBorder="1" applyAlignment="1">
      <alignment horizontal="center" wrapText="1"/>
    </xf>
    <xf numFmtId="0" fontId="30" fillId="0" borderId="2" xfId="2" applyFont="1" applyFill="1" applyBorder="1" applyAlignment="1">
      <alignment horizontal="justify" vertical="center" wrapText="1"/>
    </xf>
    <xf numFmtId="0" fontId="30" fillId="0" borderId="2" xfId="2" applyFont="1" applyFill="1" applyBorder="1" applyAlignment="1">
      <alignment horizontal="center" vertical="center"/>
    </xf>
    <xf numFmtId="170" fontId="30" fillId="0" borderId="2" xfId="3" applyNumberFormat="1" applyFont="1" applyBorder="1" applyAlignment="1">
      <alignment horizontal="center" vertical="center" wrapText="1"/>
    </xf>
    <xf numFmtId="0" fontId="13" fillId="0" borderId="2" xfId="0" applyFont="1" applyBorder="1" applyAlignment="1">
      <alignment horizontal="left" vertical="center" wrapText="1"/>
    </xf>
    <xf numFmtId="2" fontId="39" fillId="0" borderId="2" xfId="0" applyNumberFormat="1" applyFont="1" applyBorder="1" applyAlignment="1">
      <alignment horizontal="center" vertical="center"/>
    </xf>
    <xf numFmtId="0" fontId="39" fillId="0" borderId="2" xfId="0" applyFont="1" applyBorder="1" applyAlignment="1">
      <alignment horizontal="center" vertical="center"/>
    </xf>
    <xf numFmtId="0" fontId="10" fillId="0" borderId="5" xfId="0" applyFont="1" applyBorder="1" applyAlignment="1">
      <alignment horizontal="left" vertical="center"/>
    </xf>
    <xf numFmtId="0" fontId="10" fillId="0" borderId="2" xfId="0" applyFont="1" applyBorder="1" applyAlignment="1">
      <alignment horizontal="left" vertical="center"/>
    </xf>
    <xf numFmtId="2" fontId="13" fillId="0" borderId="2" xfId="0" applyNumberFormat="1" applyFont="1" applyFill="1" applyBorder="1" applyAlignment="1">
      <alignment horizontal="center" vertical="center"/>
    </xf>
    <xf numFmtId="0" fontId="5" fillId="2" borderId="5" xfId="0" applyFont="1" applyFill="1" applyBorder="1" applyAlignment="1">
      <alignment horizontal="left" vertical="center"/>
    </xf>
    <xf numFmtId="0" fontId="5" fillId="2" borderId="4" xfId="0" applyFont="1" applyFill="1" applyBorder="1" applyAlignment="1">
      <alignment horizontal="left" vertical="center"/>
    </xf>
    <xf numFmtId="0" fontId="84" fillId="0" borderId="2" xfId="0" applyFont="1" applyFill="1" applyBorder="1" applyAlignment="1">
      <alignment vertical="center"/>
    </xf>
    <xf numFmtId="0" fontId="14" fillId="0" borderId="2" xfId="0" applyFont="1" applyFill="1" applyBorder="1" applyAlignment="1">
      <alignment horizontal="left" vertical="center" wrapText="1"/>
    </xf>
    <xf numFmtId="0" fontId="36" fillId="2" borderId="2" xfId="0" applyFont="1" applyFill="1" applyBorder="1" applyAlignment="1">
      <alignment horizontal="center"/>
    </xf>
    <xf numFmtId="0" fontId="42" fillId="0" borderId="2" xfId="0" applyFont="1" applyBorder="1"/>
    <xf numFmtId="0" fontId="3" fillId="0" borderId="2" xfId="0" applyFont="1" applyFill="1" applyBorder="1" applyAlignment="1">
      <alignment horizontal="left" vertical="center" wrapText="1"/>
    </xf>
    <xf numFmtId="0" fontId="84" fillId="0" borderId="2" xfId="0" applyFont="1" applyFill="1" applyBorder="1" applyAlignment="1">
      <alignment horizontal="center" vertical="center"/>
    </xf>
    <xf numFmtId="0" fontId="17" fillId="0" borderId="5" xfId="0" applyFont="1" applyFill="1" applyBorder="1" applyAlignment="1">
      <alignment horizontal="left" vertical="center"/>
    </xf>
    <xf numFmtId="0" fontId="17" fillId="0" borderId="2" xfId="0" applyFont="1" applyFill="1" applyBorder="1" applyAlignment="1">
      <alignment horizontal="left" vertical="center" wrapText="1"/>
    </xf>
    <xf numFmtId="0" fontId="17" fillId="0" borderId="2" xfId="0" applyFont="1" applyBorder="1" applyAlignment="1">
      <alignment horizontal="left" vertical="center" wrapText="1"/>
    </xf>
    <xf numFmtId="0" fontId="84" fillId="0" borderId="5" xfId="0" applyFont="1" applyFill="1" applyBorder="1" applyAlignment="1">
      <alignment horizontal="center" vertical="center"/>
    </xf>
    <xf numFmtId="0" fontId="0" fillId="0" borderId="2" xfId="0" applyFill="1" applyBorder="1" applyAlignment="1">
      <alignment wrapText="1"/>
    </xf>
    <xf numFmtId="0" fontId="13" fillId="0" borderId="2"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5" fillId="0" borderId="2" xfId="0" applyFont="1" applyBorder="1" applyAlignment="1">
      <alignment horizontal="left" wrapText="1"/>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4" xfId="0" applyFont="1" applyFill="1" applyBorder="1" applyAlignment="1">
      <alignment horizontal="left" vertical="center"/>
    </xf>
    <xf numFmtId="0" fontId="18" fillId="2" borderId="14" xfId="0" applyFont="1" applyFill="1" applyBorder="1" applyAlignment="1">
      <alignment horizontal="left" vertical="center"/>
    </xf>
    <xf numFmtId="0" fontId="87" fillId="0" borderId="2" xfId="0" applyFont="1" applyBorder="1" applyAlignment="1">
      <alignment horizontal="left" vertical="center" wrapText="1"/>
    </xf>
    <xf numFmtId="0" fontId="87" fillId="0" borderId="2" xfId="0" applyFont="1" applyFill="1" applyBorder="1" applyAlignment="1">
      <alignment horizontal="left" vertical="center"/>
    </xf>
    <xf numFmtId="1" fontId="87" fillId="0" borderId="2" xfId="0" applyNumberFormat="1" applyFont="1" applyBorder="1" applyAlignment="1">
      <alignment horizontal="center" vertical="center"/>
    </xf>
    <xf numFmtId="0" fontId="87" fillId="0" borderId="2" xfId="0" applyFont="1" applyBorder="1" applyAlignment="1">
      <alignment horizontal="left" vertical="center"/>
    </xf>
    <xf numFmtId="0" fontId="87" fillId="0" borderId="5" xfId="0" applyFont="1" applyBorder="1" applyAlignment="1">
      <alignment horizontal="left" vertical="center" wrapText="1"/>
    </xf>
    <xf numFmtId="0" fontId="88" fillId="0" borderId="2" xfId="0" applyFont="1" applyBorder="1" applyAlignment="1">
      <alignment horizontal="center" vertical="center"/>
    </xf>
    <xf numFmtId="0" fontId="89" fillId="0" borderId="2" xfId="0" applyFont="1" applyBorder="1" applyAlignment="1">
      <alignment horizontal="center" vertical="center"/>
    </xf>
    <xf numFmtId="0" fontId="17" fillId="0" borderId="5" xfId="0" applyFont="1" applyBorder="1" applyAlignment="1">
      <alignment horizontal="left" vertical="center"/>
    </xf>
    <xf numFmtId="0" fontId="87" fillId="0" borderId="2" xfId="0" applyFont="1" applyBorder="1" applyAlignment="1">
      <alignment horizontal="center" vertical="center"/>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2" fontId="90" fillId="0" borderId="2" xfId="0" applyNumberFormat="1" applyFont="1" applyBorder="1" applyAlignment="1">
      <alignment horizontal="center" vertical="center"/>
    </xf>
    <xf numFmtId="0" fontId="5" fillId="2" borderId="12" xfId="0" applyFont="1" applyFill="1" applyBorder="1" applyAlignment="1">
      <alignment horizontal="left" vertical="center"/>
    </xf>
    <xf numFmtId="0" fontId="5" fillId="2" borderId="14" xfId="0" applyFont="1" applyFill="1" applyBorder="1" applyAlignment="1">
      <alignment horizontal="left" vertical="center"/>
    </xf>
    <xf numFmtId="0" fontId="5" fillId="2" borderId="0" xfId="0" applyFont="1" applyFill="1" applyBorder="1" applyAlignment="1">
      <alignment horizontal="left" vertical="center"/>
    </xf>
    <xf numFmtId="0" fontId="5" fillId="2" borderId="17" xfId="0" applyFont="1" applyFill="1" applyBorder="1" applyAlignment="1">
      <alignment horizontal="left" vertical="center"/>
    </xf>
    <xf numFmtId="0" fontId="0" fillId="0" borderId="18" xfId="0" applyBorder="1" applyAlignment="1">
      <alignment horizontal="center"/>
    </xf>
    <xf numFmtId="0" fontId="0" fillId="0" borderId="19" xfId="0" applyBorder="1"/>
    <xf numFmtId="0" fontId="0" fillId="0" borderId="19" xfId="0" applyBorder="1" applyAlignment="1">
      <alignment horizontal="center"/>
    </xf>
    <xf numFmtId="0" fontId="0" fillId="0" borderId="2" xfId="0" applyFont="1" applyBorder="1" applyAlignment="1">
      <alignment horizontal="center" vertical="center"/>
    </xf>
    <xf numFmtId="1" fontId="36" fillId="2" borderId="2" xfId="0" applyNumberFormat="1" applyFont="1" applyFill="1" applyBorder="1" applyAlignment="1">
      <alignment vertical="center"/>
    </xf>
    <xf numFmtId="0" fontId="87" fillId="0" borderId="2" xfId="0" applyNumberFormat="1" applyFont="1" applyBorder="1" applyAlignment="1">
      <alignment horizontal="center" vertical="center"/>
    </xf>
    <xf numFmtId="0" fontId="91" fillId="2" borderId="12" xfId="0" applyFont="1" applyFill="1" applyBorder="1" applyAlignment="1">
      <alignment horizontal="center" vertical="center" wrapText="1"/>
    </xf>
    <xf numFmtId="0" fontId="91" fillId="2" borderId="14" xfId="0" applyFont="1" applyFill="1" applyBorder="1" applyAlignment="1">
      <alignment horizontal="center" vertical="center" wrapText="1"/>
    </xf>
    <xf numFmtId="0" fontId="91" fillId="2" borderId="9" xfId="0" applyFont="1" applyFill="1" applyBorder="1" applyAlignment="1">
      <alignment horizontal="center" vertical="center" wrapText="1"/>
    </xf>
    <xf numFmtId="0" fontId="91" fillId="2" borderId="15" xfId="0" applyFont="1" applyFill="1" applyBorder="1" applyAlignment="1">
      <alignment horizontal="center" vertical="center" wrapText="1"/>
    </xf>
    <xf numFmtId="0" fontId="6" fillId="2" borderId="2" xfId="0" applyFont="1" applyFill="1" applyBorder="1" applyAlignment="1">
      <alignment horizontal="center" vertical="center"/>
    </xf>
    <xf numFmtId="0" fontId="42" fillId="0" borderId="2" xfId="0" applyFont="1" applyFill="1" applyBorder="1" applyAlignment="1">
      <alignment horizontal="left" wrapText="1"/>
    </xf>
    <xf numFmtId="49" fontId="42" fillId="0" borderId="2" xfId="0" applyNumberFormat="1" applyFont="1" applyFill="1" applyBorder="1" applyAlignment="1">
      <alignment horizontal="center" vertical="center" wrapText="1"/>
    </xf>
    <xf numFmtId="49" fontId="36" fillId="2" borderId="2" xfId="0" applyNumberFormat="1" applyFont="1" applyFill="1" applyBorder="1" applyAlignment="1">
      <alignment horizontal="center" vertical="center"/>
    </xf>
    <xf numFmtId="0" fontId="92" fillId="0" borderId="2" xfId="0" applyFont="1" applyFill="1" applyBorder="1" applyAlignment="1">
      <alignment horizontal="left" wrapText="1"/>
    </xf>
    <xf numFmtId="49" fontId="42" fillId="0" borderId="2" xfId="0" applyNumberFormat="1" applyFont="1" applyBorder="1" applyAlignment="1">
      <alignment horizontal="center" vertical="center" wrapText="1"/>
    </xf>
    <xf numFmtId="0" fontId="42" fillId="0" borderId="2" xfId="0" applyFont="1" applyBorder="1" applyAlignment="1">
      <alignment horizontal="left" wrapText="1"/>
    </xf>
    <xf numFmtId="164" fontId="42" fillId="0" borderId="2" xfId="0" applyNumberFormat="1" applyFont="1" applyBorder="1" applyAlignment="1">
      <alignment horizontal="right" vertical="center" wrapText="1"/>
    </xf>
    <xf numFmtId="49" fontId="42" fillId="2" borderId="2" xfId="0" applyNumberFormat="1" applyFont="1" applyFill="1" applyBorder="1" applyAlignment="1">
      <alignment horizontal="center" vertical="center" wrapText="1"/>
    </xf>
    <xf numFmtId="0" fontId="92" fillId="0" borderId="2" xfId="0" applyFont="1" applyBorder="1" applyAlignment="1">
      <alignment horizontal="left" wrapText="1"/>
    </xf>
    <xf numFmtId="0" fontId="42" fillId="0" borderId="2" xfId="0" applyFont="1" applyFill="1" applyBorder="1" applyAlignment="1">
      <alignment horizontal="center" vertical="center" wrapText="1"/>
    </xf>
    <xf numFmtId="2" fontId="42" fillId="0" borderId="2" xfId="0" applyNumberFormat="1" applyFont="1" applyFill="1" applyBorder="1" applyAlignment="1">
      <alignment horizontal="right" vertical="center" wrapText="1"/>
    </xf>
    <xf numFmtId="0" fontId="92" fillId="2" borderId="2" xfId="0" applyFont="1" applyFill="1" applyBorder="1" applyAlignment="1">
      <alignment horizontal="left" wrapText="1"/>
    </xf>
    <xf numFmtId="0" fontId="6" fillId="2" borderId="5" xfId="0" applyFont="1" applyFill="1" applyBorder="1" applyAlignment="1">
      <alignment horizontal="center"/>
    </xf>
    <xf numFmtId="0" fontId="42" fillId="0" borderId="10" xfId="0" applyFont="1" applyBorder="1" applyAlignment="1">
      <alignment wrapText="1"/>
    </xf>
    <xf numFmtId="0" fontId="13" fillId="2" borderId="2" xfId="0" applyFont="1" applyFill="1" applyBorder="1" applyAlignment="1">
      <alignment horizontal="center"/>
    </xf>
    <xf numFmtId="0" fontId="13" fillId="2" borderId="2" xfId="0" applyFont="1" applyFill="1" applyBorder="1"/>
    <xf numFmtId="0" fontId="42" fillId="0" borderId="10" xfId="0" applyFont="1" applyBorder="1" applyAlignment="1"/>
    <xf numFmtId="0" fontId="42" fillId="0" borderId="2" xfId="0" applyFont="1" applyFill="1" applyBorder="1" applyAlignment="1">
      <alignment wrapText="1"/>
    </xf>
    <xf numFmtId="0" fontId="42" fillId="0" borderId="2" xfId="0" applyFont="1" applyBorder="1" applyAlignment="1">
      <alignment wrapText="1"/>
    </xf>
    <xf numFmtId="0" fontId="42" fillId="0" borderId="10" xfId="0" applyFont="1" applyFill="1" applyBorder="1" applyAlignment="1"/>
    <xf numFmtId="0" fontId="42" fillId="0" borderId="10" xfId="0" applyFont="1" applyBorder="1" applyAlignment="1">
      <alignment vertical="center" wrapText="1"/>
    </xf>
    <xf numFmtId="0" fontId="42" fillId="0" borderId="4" xfId="0" applyFont="1" applyBorder="1" applyAlignment="1">
      <alignment horizontal="center" vertical="center" wrapText="1"/>
    </xf>
    <xf numFmtId="0" fontId="13" fillId="2" borderId="4" xfId="0" applyFont="1" applyFill="1" applyBorder="1" applyAlignment="1">
      <alignment horizontal="center"/>
    </xf>
    <xf numFmtId="0" fontId="36" fillId="2" borderId="4" xfId="0" applyFont="1" applyFill="1" applyBorder="1"/>
    <xf numFmtId="49" fontId="36" fillId="2" borderId="4" xfId="0" applyNumberFormat="1" applyFont="1" applyFill="1" applyBorder="1" applyAlignment="1">
      <alignment horizontal="center" vertical="center"/>
    </xf>
    <xf numFmtId="0" fontId="13" fillId="2" borderId="4" xfId="0" applyFont="1" applyFill="1" applyBorder="1"/>
    <xf numFmtId="0" fontId="36" fillId="2" borderId="6" xfId="0" applyFont="1" applyFill="1" applyBorder="1" applyAlignment="1">
      <alignment horizontal="center" vertical="center"/>
    </xf>
    <xf numFmtId="0" fontId="42" fillId="2" borderId="2" xfId="0" applyFont="1" applyFill="1" applyBorder="1" applyAlignment="1">
      <alignment horizontal="center"/>
    </xf>
    <xf numFmtId="49" fontId="42" fillId="2" borderId="2" xfId="0" applyNumberFormat="1" applyFont="1" applyFill="1" applyBorder="1" applyAlignment="1">
      <alignment horizontal="center" vertical="center"/>
    </xf>
    <xf numFmtId="2" fontId="42" fillId="2" borderId="2" xfId="0" applyNumberFormat="1" applyFont="1" applyFill="1" applyBorder="1" applyAlignment="1">
      <alignment horizontal="center"/>
    </xf>
    <xf numFmtId="0" fontId="42" fillId="2" borderId="2" xfId="0" applyFont="1" applyFill="1" applyBorder="1" applyAlignment="1">
      <alignment horizontal="center" vertical="center"/>
    </xf>
    <xf numFmtId="0" fontId="6" fillId="0" borderId="4" xfId="0" applyFont="1" applyBorder="1" applyAlignment="1">
      <alignment horizontal="center" vertical="center"/>
    </xf>
    <xf numFmtId="0" fontId="42" fillId="0" borderId="4" xfId="0" applyFont="1" applyFill="1" applyBorder="1" applyAlignment="1">
      <alignment horizontal="left" wrapText="1"/>
    </xf>
    <xf numFmtId="0" fontId="42" fillId="2" borderId="4" xfId="0" applyFont="1" applyFill="1" applyBorder="1" applyAlignment="1">
      <alignment horizontal="center"/>
    </xf>
    <xf numFmtId="49" fontId="42" fillId="2" borderId="4" xfId="0" applyNumberFormat="1" applyFont="1" applyFill="1" applyBorder="1" applyAlignment="1">
      <alignment horizontal="center" vertical="center"/>
    </xf>
    <xf numFmtId="2" fontId="42" fillId="2" borderId="4" xfId="0" applyNumberFormat="1" applyFont="1" applyFill="1" applyBorder="1" applyAlignment="1">
      <alignment horizontal="center"/>
    </xf>
    <xf numFmtId="0" fontId="42" fillId="2" borderId="6" xfId="0" applyFont="1" applyFill="1" applyBorder="1" applyAlignment="1">
      <alignment horizontal="center" vertical="center"/>
    </xf>
    <xf numFmtId="0" fontId="5" fillId="0" borderId="0" xfId="0" applyFont="1" applyAlignment="1">
      <alignment horizontal="left"/>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2" fillId="0" borderId="2" xfId="0" applyFont="1" applyBorder="1" applyAlignment="1">
      <alignment horizontal="center" wrapText="1"/>
    </xf>
    <xf numFmtId="0" fontId="18" fillId="0" borderId="2" xfId="0" applyFont="1" applyBorder="1" applyAlignment="1">
      <alignment vertical="center" wrapText="1"/>
    </xf>
    <xf numFmtId="0" fontId="93" fillId="0" borderId="0" xfId="0" applyFont="1"/>
    <xf numFmtId="0" fontId="94" fillId="0" borderId="2" xfId="0" applyFont="1" applyBorder="1" applyAlignment="1">
      <alignment horizontal="left" vertical="center"/>
    </xf>
    <xf numFmtId="0" fontId="94" fillId="0" borderId="2" xfId="0" applyFont="1" applyBorder="1" applyAlignment="1">
      <alignment horizontal="center" vertical="top" wrapText="1"/>
    </xf>
    <xf numFmtId="2" fontId="5" fillId="0" borderId="2" xfId="0" applyNumberFormat="1"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wrapText="1"/>
    </xf>
    <xf numFmtId="2" fontId="5" fillId="0" borderId="2" xfId="0" applyNumberFormat="1" applyFont="1" applyBorder="1" applyAlignment="1">
      <alignment horizontal="center" vertical="center"/>
    </xf>
    <xf numFmtId="2" fontId="18" fillId="0" borderId="2" xfId="0" applyNumberFormat="1" applyFont="1" applyBorder="1" applyAlignment="1">
      <alignment horizontal="center" vertical="center" wrapText="1"/>
    </xf>
    <xf numFmtId="0" fontId="5" fillId="0" borderId="2" xfId="0" applyFont="1" applyBorder="1" applyAlignment="1">
      <alignment horizontal="left"/>
    </xf>
    <xf numFmtId="0" fontId="5" fillId="0" borderId="2" xfId="0" applyFont="1" applyBorder="1" applyAlignment="1">
      <alignment horizontal="center" vertical="center" wrapText="1"/>
    </xf>
    <xf numFmtId="0" fontId="93" fillId="0" borderId="2" xfId="0" applyFont="1" applyBorder="1" applyAlignment="1">
      <alignment vertical="center" wrapText="1"/>
    </xf>
    <xf numFmtId="0" fontId="93" fillId="0" borderId="2" xfId="0" applyFont="1" applyBorder="1" applyAlignment="1">
      <alignment horizontal="center" vertical="center"/>
    </xf>
    <xf numFmtId="0" fontId="5" fillId="2" borderId="2" xfId="0" applyFont="1" applyFill="1" applyBorder="1" applyAlignment="1">
      <alignment vertical="top" wrapText="1"/>
    </xf>
    <xf numFmtId="0" fontId="94" fillId="0" borderId="2" xfId="0" applyFont="1" applyBorder="1" applyAlignment="1">
      <alignment horizontal="center" vertical="center" wrapText="1"/>
    </xf>
    <xf numFmtId="0" fontId="5" fillId="0" borderId="2" xfId="0" applyFont="1" applyBorder="1" applyAlignment="1">
      <alignment wrapText="1"/>
    </xf>
    <xf numFmtId="164" fontId="5" fillId="0" borderId="2" xfId="0" applyNumberFormat="1" applyFont="1" applyBorder="1" applyAlignment="1">
      <alignment horizontal="center" vertical="center" wrapText="1"/>
    </xf>
    <xf numFmtId="0" fontId="94" fillId="2" borderId="2" xfId="0" applyFont="1" applyFill="1" applyBorder="1" applyAlignment="1">
      <alignment horizontal="center" wrapText="1"/>
    </xf>
    <xf numFmtId="0" fontId="94" fillId="0" borderId="2" xfId="0" applyFont="1" applyBorder="1" applyAlignment="1">
      <alignment horizontal="left" vertical="center" wrapText="1"/>
    </xf>
    <xf numFmtId="0" fontId="94" fillId="2" borderId="2" xfId="0" applyFont="1" applyFill="1" applyBorder="1" applyAlignment="1">
      <alignment vertical="center"/>
    </xf>
    <xf numFmtId="0" fontId="5" fillId="0" borderId="2" xfId="0" applyFont="1" applyBorder="1" applyAlignment="1">
      <alignment horizontal="center" wrapText="1"/>
    </xf>
    <xf numFmtId="0" fontId="18" fillId="3" borderId="2" xfId="0" applyFont="1" applyFill="1" applyBorder="1" applyAlignment="1">
      <alignment horizontal="center" vertical="center"/>
    </xf>
    <xf numFmtId="0" fontId="57" fillId="0" borderId="2" xfId="0" applyFont="1" applyBorder="1" applyAlignment="1">
      <alignment horizontal="justify" vertical="top" wrapText="1"/>
    </xf>
    <xf numFmtId="0" fontId="95" fillId="0" borderId="2" xfId="0" applyFont="1" applyBorder="1" applyAlignment="1">
      <alignment horizontal="justify" vertical="center" wrapText="1"/>
    </xf>
    <xf numFmtId="0" fontId="93" fillId="0" borderId="2" xfId="0" applyFont="1" applyBorder="1"/>
    <xf numFmtId="0" fontId="93" fillId="0" borderId="2" xfId="0" applyFont="1" applyBorder="1" applyAlignment="1">
      <alignment wrapText="1"/>
    </xf>
    <xf numFmtId="0" fontId="5" fillId="0" borderId="2" xfId="0" applyFont="1" applyBorder="1"/>
    <xf numFmtId="0" fontId="5" fillId="0" borderId="2" xfId="0" applyFont="1" applyBorder="1" applyAlignment="1">
      <alignment vertical="center" wrapText="1"/>
    </xf>
    <xf numFmtId="0" fontId="1" fillId="0" borderId="2" xfId="0" applyFont="1" applyBorder="1"/>
    <xf numFmtId="0" fontId="93" fillId="0" borderId="2" xfId="0" applyFont="1" applyBorder="1" applyAlignment="1">
      <alignment horizontal="left" wrapText="1"/>
    </xf>
    <xf numFmtId="0" fontId="93" fillId="0" borderId="2" xfId="0" applyFont="1" applyBorder="1" applyAlignment="1">
      <alignment horizontal="center" vertical="center" wrapText="1"/>
    </xf>
    <xf numFmtId="0" fontId="5" fillId="0" borderId="2" xfId="0" applyFont="1" applyBorder="1" applyAlignment="1">
      <alignment horizontal="left" vertical="top" wrapText="1"/>
    </xf>
    <xf numFmtId="0" fontId="94" fillId="0" borderId="2" xfId="0" applyFont="1" applyBorder="1" applyAlignment="1">
      <alignment vertical="center"/>
    </xf>
    <xf numFmtId="0" fontId="94" fillId="0" borderId="2" xfId="0" applyFont="1" applyBorder="1" applyAlignment="1">
      <alignment horizontal="center" wrapText="1"/>
    </xf>
    <xf numFmtId="0" fontId="43" fillId="0" borderId="2" xfId="0" applyFont="1" applyBorder="1" applyAlignment="1">
      <alignment horizontal="left" vertical="center"/>
    </xf>
    <xf numFmtId="0" fontId="93" fillId="0" borderId="2" xfId="0" applyFont="1" applyBorder="1" applyAlignment="1">
      <alignment vertical="center"/>
    </xf>
    <xf numFmtId="0" fontId="94" fillId="2" borderId="2" xfId="0" applyFont="1" applyFill="1" applyBorder="1" applyAlignment="1">
      <alignment horizontal="left" vertical="center" wrapText="1"/>
    </xf>
    <xf numFmtId="0" fontId="94" fillId="2" borderId="2" xfId="0" applyFont="1" applyFill="1" applyBorder="1" applyAlignment="1">
      <alignment horizontal="left" vertical="center"/>
    </xf>
    <xf numFmtId="0" fontId="18" fillId="0" borderId="14" xfId="0" applyFont="1" applyBorder="1" applyAlignment="1">
      <alignment horizontal="center" vertical="center"/>
    </xf>
    <xf numFmtId="0" fontId="18" fillId="0" borderId="2" xfId="0" applyFont="1" applyBorder="1" applyAlignment="1">
      <alignment horizontal="justify" vertical="justify" wrapText="1"/>
    </xf>
    <xf numFmtId="0" fontId="18" fillId="0" borderId="2" xfId="0" applyFont="1" applyBorder="1" applyAlignment="1">
      <alignment horizontal="center" vertical="justify"/>
    </xf>
    <xf numFmtId="0" fontId="45" fillId="0" borderId="2" xfId="0" applyFont="1" applyBorder="1" applyAlignment="1">
      <alignment horizontal="justify" vertical="center"/>
    </xf>
    <xf numFmtId="0" fontId="94" fillId="3" borderId="2" xfId="0" applyFont="1" applyFill="1" applyBorder="1" applyAlignment="1">
      <alignment horizontal="center" vertical="center" wrapText="1"/>
    </xf>
    <xf numFmtId="0" fontId="58" fillId="0" borderId="2" xfId="0" applyFont="1" applyBorder="1" applyAlignment="1">
      <alignment horizontal="justify" vertical="center" wrapText="1"/>
    </xf>
    <xf numFmtId="0" fontId="93" fillId="0" borderId="2" xfId="0" applyFont="1" applyBorder="1" applyAlignment="1">
      <alignment horizontal="left" vertical="top" wrapText="1"/>
    </xf>
    <xf numFmtId="0" fontId="94" fillId="2" borderId="2" xfId="0" applyFont="1" applyFill="1" applyBorder="1" applyAlignment="1">
      <alignment vertical="center" wrapText="1"/>
    </xf>
    <xf numFmtId="0" fontId="1" fillId="0" borderId="2" xfId="0" applyFont="1" applyBorder="1" applyAlignment="1">
      <alignment horizontal="left" wrapText="1"/>
    </xf>
    <xf numFmtId="0" fontId="2" fillId="0" borderId="2" xfId="0" applyFont="1" applyBorder="1" applyAlignment="1">
      <alignment horizontal="left" vertical="top" wrapText="1"/>
    </xf>
    <xf numFmtId="0" fontId="95" fillId="0" borderId="2" xfId="0" applyFont="1" applyBorder="1" applyAlignment="1">
      <alignment horizontal="justify" vertical="center"/>
    </xf>
    <xf numFmtId="166" fontId="18" fillId="0" borderId="2" xfId="0" applyNumberFormat="1" applyFont="1" applyBorder="1" applyAlignment="1">
      <alignment horizontal="center" vertical="center" wrapText="1"/>
    </xf>
    <xf numFmtId="0" fontId="18" fillId="0" borderId="2" xfId="0" applyFont="1" applyBorder="1" applyAlignment="1">
      <alignment wrapText="1"/>
    </xf>
    <xf numFmtId="0" fontId="18" fillId="0" borderId="2" xfId="0" applyFont="1" applyBorder="1" applyAlignment="1">
      <alignment vertical="top" wrapText="1"/>
    </xf>
    <xf numFmtId="0" fontId="94" fillId="0" borderId="2" xfId="0" applyFont="1" applyBorder="1" applyAlignment="1">
      <alignment vertical="center" wrapText="1"/>
    </xf>
    <xf numFmtId="0" fontId="18" fillId="0" borderId="2" xfId="0" applyFont="1" applyBorder="1" applyAlignment="1">
      <alignment horizontal="center" vertical="center"/>
    </xf>
    <xf numFmtId="0" fontId="18" fillId="0" borderId="2" xfId="0" applyFont="1" applyBorder="1" applyAlignment="1">
      <alignment horizontal="center" wrapText="1"/>
    </xf>
    <xf numFmtId="0" fontId="96" fillId="2" borderId="2" xfId="0" applyFont="1" applyFill="1" applyBorder="1" applyAlignment="1">
      <alignment horizontal="center" vertical="center" wrapText="1"/>
    </xf>
    <xf numFmtId="0" fontId="18" fillId="0" borderId="6" xfId="0" applyFont="1" applyBorder="1" applyAlignment="1">
      <alignment horizontal="center" wrapText="1"/>
    </xf>
    <xf numFmtId="0" fontId="12" fillId="0" borderId="2" xfId="0" applyFont="1" applyBorder="1" applyAlignment="1">
      <alignment horizontal="center" wrapText="1"/>
    </xf>
    <xf numFmtId="0" fontId="97" fillId="0" borderId="2" xfId="0" applyFont="1" applyBorder="1"/>
    <xf numFmtId="2" fontId="97" fillId="0" borderId="2" xfId="0" applyNumberFormat="1" applyFont="1" applyBorder="1" applyAlignment="1">
      <alignment horizontal="center"/>
    </xf>
    <xf numFmtId="2" fontId="98" fillId="0" borderId="2" xfId="0" applyNumberFormat="1" applyFont="1" applyBorder="1"/>
    <xf numFmtId="2" fontId="97" fillId="0" borderId="2" xfId="0" applyNumberFormat="1" applyFont="1" applyBorder="1"/>
    <xf numFmtId="0" fontId="18" fillId="0" borderId="0" xfId="0" applyFont="1"/>
    <xf numFmtId="2" fontId="97" fillId="0" borderId="0" xfId="0" applyNumberFormat="1" applyFont="1" applyAlignment="1">
      <alignment horizontal="center"/>
    </xf>
    <xf numFmtId="0" fontId="10" fillId="0" borderId="0" xfId="0" applyFont="1" applyAlignment="1">
      <alignment horizontal="left"/>
    </xf>
    <xf numFmtId="2" fontId="18" fillId="0" borderId="0" xfId="0" applyNumberFormat="1" applyFont="1" applyAlignment="1">
      <alignment horizontal="center" vertical="center"/>
    </xf>
    <xf numFmtId="0" fontId="18" fillId="0" borderId="0" xfId="0" applyFont="1" applyAlignment="1">
      <alignment horizontal="center"/>
    </xf>
    <xf numFmtId="2" fontId="10" fillId="0" borderId="0" xfId="0" applyNumberFormat="1" applyFont="1" applyAlignment="1">
      <alignment horizontal="center"/>
    </xf>
    <xf numFmtId="2" fontId="18" fillId="0" borderId="0" xfId="0" applyNumberFormat="1" applyFont="1"/>
    <xf numFmtId="0" fontId="10" fillId="0" borderId="0" xfId="0" applyFont="1" applyAlignment="1">
      <alignment horizontal="center"/>
    </xf>
  </cellXfs>
  <cellStyles count="4">
    <cellStyle name="Comma 4" xfId="3"/>
    <cellStyle name="Normal" xfId="0" builtinId="0"/>
    <cellStyle name="Normal 2" xfId="1"/>
    <cellStyle name="Normal 7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43"/>
  <sheetViews>
    <sheetView tabSelected="1" workbookViewId="0">
      <pane ySplit="7" topLeftCell="A1807" activePane="bottomLeft" state="frozen"/>
      <selection pane="bottomLeft" activeCell="A1750" sqref="A1750:P1843"/>
    </sheetView>
  </sheetViews>
  <sheetFormatPr defaultRowHeight="15.75"/>
  <cols>
    <col min="1" max="1" width="9.140625" style="34"/>
    <col min="2" max="2" width="15.28515625" style="21" customWidth="1"/>
    <col min="3" max="3" width="23.42578125" style="21" customWidth="1"/>
    <col min="4" max="4" width="9.140625" style="21"/>
    <col min="5" max="5" width="13.5703125" style="21" bestFit="1" customWidth="1"/>
    <col min="6" max="6" width="15.140625" style="21" bestFit="1" customWidth="1"/>
    <col min="7" max="7" width="28.42578125" style="21" bestFit="1" customWidth="1"/>
    <col min="8" max="8" width="7.85546875" style="21" customWidth="1"/>
    <col min="9" max="9" width="9.140625" style="21"/>
    <col min="10" max="10" width="20.140625" style="21" bestFit="1" customWidth="1"/>
    <col min="11" max="11" width="28" style="21" bestFit="1" customWidth="1"/>
    <col min="12" max="12" width="19.5703125" style="21" bestFit="1" customWidth="1"/>
    <col min="13" max="13" width="7.85546875" style="21" customWidth="1"/>
    <col min="14" max="14" width="8.140625" style="21" customWidth="1"/>
    <col min="15" max="15" width="8.28515625" style="21" customWidth="1"/>
    <col min="16" max="16" width="13.7109375" style="21" customWidth="1"/>
    <col min="17" max="17" width="10" style="21" customWidth="1"/>
    <col min="18" max="18" width="12.42578125" style="21" customWidth="1"/>
    <col min="19" max="16384" width="9.140625" style="21"/>
  </cols>
  <sheetData>
    <row r="1" spans="1:16">
      <c r="A1" s="96" t="s">
        <v>111</v>
      </c>
      <c r="B1" s="96"/>
      <c r="C1" s="21" t="s">
        <v>131</v>
      </c>
      <c r="H1" s="42"/>
      <c r="N1" s="42"/>
      <c r="O1" s="97" t="s">
        <v>112</v>
      </c>
      <c r="P1" s="97"/>
    </row>
    <row r="2" spans="1:16">
      <c r="A2" s="96" t="s">
        <v>113</v>
      </c>
      <c r="B2" s="96"/>
      <c r="C2" s="21" t="s">
        <v>130</v>
      </c>
      <c r="H2" s="42"/>
      <c r="N2" s="42"/>
      <c r="O2" s="42" t="s">
        <v>143</v>
      </c>
      <c r="P2" s="42">
        <v>2026</v>
      </c>
    </row>
    <row r="3" spans="1:16">
      <c r="A3" s="96" t="s">
        <v>114</v>
      </c>
      <c r="B3" s="96"/>
      <c r="C3" s="21" t="s">
        <v>129</v>
      </c>
      <c r="H3" s="42"/>
      <c r="N3" s="42"/>
    </row>
    <row r="4" spans="1:16">
      <c r="A4" s="96" t="s">
        <v>115</v>
      </c>
      <c r="B4" s="96"/>
      <c r="C4" s="21" t="s">
        <v>129</v>
      </c>
      <c r="H4" s="42"/>
      <c r="N4" s="42"/>
    </row>
    <row r="5" spans="1:16">
      <c r="H5" s="42"/>
      <c r="N5" s="42"/>
    </row>
    <row r="6" spans="1:16" s="42" customFormat="1" ht="31.5">
      <c r="A6" s="22" t="s">
        <v>116</v>
      </c>
      <c r="B6" s="22" t="s">
        <v>117</v>
      </c>
      <c r="C6" s="22" t="s">
        <v>118</v>
      </c>
      <c r="D6" s="22" t="s">
        <v>119</v>
      </c>
      <c r="E6" s="22" t="s">
        <v>120</v>
      </c>
      <c r="F6" s="99" t="s">
        <v>121</v>
      </c>
      <c r="G6" s="100"/>
      <c r="H6" s="99" t="s">
        <v>122</v>
      </c>
      <c r="I6" s="100"/>
      <c r="J6" s="99" t="s">
        <v>123</v>
      </c>
      <c r="K6" s="100"/>
      <c r="L6" s="99" t="s">
        <v>1</v>
      </c>
      <c r="M6" s="100"/>
      <c r="N6" s="99" t="s">
        <v>0</v>
      </c>
      <c r="O6" s="100"/>
      <c r="P6" s="98" t="s">
        <v>124</v>
      </c>
    </row>
    <row r="7" spans="1:16" ht="63">
      <c r="A7" s="22"/>
      <c r="B7" s="23"/>
      <c r="C7" s="23"/>
      <c r="D7" s="23"/>
      <c r="E7" s="23"/>
      <c r="F7" s="22" t="s">
        <v>125</v>
      </c>
      <c r="G7" s="22" t="s">
        <v>126</v>
      </c>
      <c r="H7" s="22" t="s">
        <v>125</v>
      </c>
      <c r="I7" s="22" t="s">
        <v>126</v>
      </c>
      <c r="J7" s="22" t="s">
        <v>125</v>
      </c>
      <c r="K7" s="22" t="s">
        <v>126</v>
      </c>
      <c r="L7" s="22" t="s">
        <v>125</v>
      </c>
      <c r="M7" s="22" t="s">
        <v>126</v>
      </c>
      <c r="N7" s="22" t="s">
        <v>125</v>
      </c>
      <c r="O7" s="22" t="s">
        <v>126</v>
      </c>
      <c r="P7" s="98"/>
    </row>
    <row r="8" spans="1:16" ht="31.5">
      <c r="A8" s="12">
        <v>1</v>
      </c>
      <c r="B8" s="8"/>
      <c r="C8" s="13" t="s">
        <v>10</v>
      </c>
      <c r="D8" s="10" t="s">
        <v>5</v>
      </c>
      <c r="E8" s="1">
        <v>450</v>
      </c>
      <c r="F8" s="4"/>
      <c r="G8" s="22">
        <f>E8*F8</f>
        <v>0</v>
      </c>
      <c r="H8" s="22"/>
      <c r="I8" s="22">
        <f>H8*E8</f>
        <v>0</v>
      </c>
      <c r="J8" s="22"/>
      <c r="K8" s="22">
        <f>J8*E8</f>
        <v>0</v>
      </c>
      <c r="L8" s="3"/>
      <c r="M8" s="22">
        <f>L8*E8</f>
        <v>0</v>
      </c>
      <c r="N8" s="2">
        <v>2</v>
      </c>
      <c r="O8" s="22">
        <f>N8*E8</f>
        <v>900</v>
      </c>
      <c r="P8" s="43">
        <f>O8+M8+K8+I8+G8</f>
        <v>900</v>
      </c>
    </row>
    <row r="9" spans="1:16" ht="31.5">
      <c r="A9" s="12">
        <v>2</v>
      </c>
      <c r="B9" s="8"/>
      <c r="C9" s="13" t="s">
        <v>11</v>
      </c>
      <c r="D9" s="10" t="s">
        <v>5</v>
      </c>
      <c r="E9" s="1">
        <v>25</v>
      </c>
      <c r="F9" s="4"/>
      <c r="G9" s="22">
        <f t="shared" ref="G9:G76" si="0">E9*F9</f>
        <v>0</v>
      </c>
      <c r="H9" s="22"/>
      <c r="I9" s="22">
        <f t="shared" ref="I9:I76" si="1">H9*E9</f>
        <v>0</v>
      </c>
      <c r="J9" s="22"/>
      <c r="K9" s="22">
        <f t="shared" ref="K9:K76" si="2">J9*E9</f>
        <v>0</v>
      </c>
      <c r="L9" s="3"/>
      <c r="M9" s="22">
        <f t="shared" ref="M9:M76" si="3">L9*E9</f>
        <v>0</v>
      </c>
      <c r="N9" s="2">
        <v>8</v>
      </c>
      <c r="O9" s="22">
        <f t="shared" ref="O9:O76" si="4">N9*E9</f>
        <v>200</v>
      </c>
      <c r="P9" s="43">
        <f t="shared" ref="P9:P76" si="5">O9+M9+K9+I9+G9</f>
        <v>200</v>
      </c>
    </row>
    <row r="10" spans="1:16" ht="31.5">
      <c r="A10" s="12">
        <v>3</v>
      </c>
      <c r="B10" s="8"/>
      <c r="C10" s="13" t="s">
        <v>30</v>
      </c>
      <c r="D10" s="10" t="s">
        <v>5</v>
      </c>
      <c r="E10" s="1">
        <v>10</v>
      </c>
      <c r="F10" s="4"/>
      <c r="G10" s="22">
        <f t="shared" si="0"/>
        <v>0</v>
      </c>
      <c r="H10" s="22"/>
      <c r="I10" s="22">
        <f t="shared" si="1"/>
        <v>0</v>
      </c>
      <c r="J10" s="22"/>
      <c r="K10" s="22">
        <f t="shared" si="2"/>
        <v>0</v>
      </c>
      <c r="L10" s="3"/>
      <c r="M10" s="22">
        <f t="shared" si="3"/>
        <v>0</v>
      </c>
      <c r="N10" s="2">
        <v>18</v>
      </c>
      <c r="O10" s="22">
        <f t="shared" si="4"/>
        <v>180</v>
      </c>
      <c r="P10" s="43">
        <f t="shared" si="5"/>
        <v>180</v>
      </c>
    </row>
    <row r="11" spans="1:16" ht="47.25">
      <c r="A11" s="12">
        <v>4</v>
      </c>
      <c r="B11" s="226" t="s">
        <v>106</v>
      </c>
      <c r="C11" s="227" t="s">
        <v>48</v>
      </c>
      <c r="D11" s="4" t="s">
        <v>37</v>
      </c>
      <c r="E11" s="1">
        <v>20000</v>
      </c>
      <c r="F11" s="1"/>
      <c r="G11" s="22">
        <f t="shared" si="0"/>
        <v>0</v>
      </c>
      <c r="H11" s="22"/>
      <c r="I11" s="22">
        <f t="shared" si="1"/>
        <v>0</v>
      </c>
      <c r="J11" s="22"/>
      <c r="K11" s="22">
        <f t="shared" si="2"/>
        <v>0</v>
      </c>
      <c r="L11" s="3"/>
      <c r="M11" s="22">
        <f t="shared" si="3"/>
        <v>0</v>
      </c>
      <c r="N11" s="3">
        <v>1</v>
      </c>
      <c r="O11" s="22">
        <f t="shared" si="4"/>
        <v>20000</v>
      </c>
      <c r="P11" s="43">
        <f t="shared" si="5"/>
        <v>20000</v>
      </c>
    </row>
    <row r="12" spans="1:16" ht="31.5">
      <c r="A12" s="12">
        <v>5</v>
      </c>
      <c r="B12" s="8" t="s">
        <v>56</v>
      </c>
      <c r="C12" s="25" t="s">
        <v>57</v>
      </c>
      <c r="D12" s="4" t="s">
        <v>37</v>
      </c>
      <c r="E12" s="4">
        <v>27500</v>
      </c>
      <c r="F12" s="1"/>
      <c r="G12" s="22">
        <f t="shared" si="0"/>
        <v>0</v>
      </c>
      <c r="H12" s="22"/>
      <c r="I12" s="22">
        <f t="shared" si="1"/>
        <v>0</v>
      </c>
      <c r="J12" s="22"/>
      <c r="K12" s="22">
        <f t="shared" si="2"/>
        <v>0</v>
      </c>
      <c r="L12" s="3"/>
      <c r="M12" s="22">
        <f t="shared" si="3"/>
        <v>0</v>
      </c>
      <c r="N12" s="3">
        <v>1</v>
      </c>
      <c r="O12" s="22">
        <f t="shared" si="4"/>
        <v>27500</v>
      </c>
      <c r="P12" s="43">
        <f t="shared" si="5"/>
        <v>27500</v>
      </c>
    </row>
    <row r="13" spans="1:16" ht="31.5">
      <c r="A13" s="12">
        <v>6</v>
      </c>
      <c r="B13" s="8"/>
      <c r="C13" s="13" t="s">
        <v>25</v>
      </c>
      <c r="D13" s="10" t="s">
        <v>5</v>
      </c>
      <c r="E13" s="1">
        <v>8000</v>
      </c>
      <c r="F13" s="4"/>
      <c r="G13" s="22">
        <f t="shared" si="0"/>
        <v>0</v>
      </c>
      <c r="H13" s="22"/>
      <c r="I13" s="22">
        <f t="shared" si="1"/>
        <v>0</v>
      </c>
      <c r="J13" s="22"/>
      <c r="K13" s="22">
        <f t="shared" si="2"/>
        <v>0</v>
      </c>
      <c r="L13" s="3"/>
      <c r="M13" s="22">
        <f t="shared" si="3"/>
        <v>0</v>
      </c>
      <c r="N13" s="2">
        <v>1</v>
      </c>
      <c r="O13" s="22">
        <f t="shared" si="4"/>
        <v>8000</v>
      </c>
      <c r="P13" s="43">
        <f t="shared" si="5"/>
        <v>8000</v>
      </c>
    </row>
    <row r="14" spans="1:16" ht="31.5">
      <c r="A14" s="12">
        <v>7</v>
      </c>
      <c r="B14" s="8"/>
      <c r="C14" s="13" t="s">
        <v>24</v>
      </c>
      <c r="D14" s="10" t="s">
        <v>5</v>
      </c>
      <c r="E14" s="1">
        <v>4800</v>
      </c>
      <c r="F14" s="4"/>
      <c r="G14" s="22">
        <f t="shared" si="0"/>
        <v>0</v>
      </c>
      <c r="H14" s="22"/>
      <c r="I14" s="22">
        <f t="shared" si="1"/>
        <v>0</v>
      </c>
      <c r="J14" s="22"/>
      <c r="K14" s="22">
        <f t="shared" si="2"/>
        <v>0</v>
      </c>
      <c r="L14" s="3"/>
      <c r="M14" s="22">
        <f t="shared" si="3"/>
        <v>0</v>
      </c>
      <c r="N14" s="2">
        <v>1</v>
      </c>
      <c r="O14" s="22">
        <f t="shared" si="4"/>
        <v>4800</v>
      </c>
      <c r="P14" s="43">
        <f t="shared" si="5"/>
        <v>4800</v>
      </c>
    </row>
    <row r="15" spans="1:16" ht="31.5">
      <c r="A15" s="12">
        <v>8</v>
      </c>
      <c r="B15" s="8" t="s">
        <v>65</v>
      </c>
      <c r="C15" s="16" t="s">
        <v>66</v>
      </c>
      <c r="D15" s="4" t="s">
        <v>37</v>
      </c>
      <c r="E15" s="3">
        <v>15000</v>
      </c>
      <c r="F15" s="4"/>
      <c r="G15" s="22">
        <f t="shared" si="0"/>
        <v>0</v>
      </c>
      <c r="H15" s="22"/>
      <c r="I15" s="22">
        <f t="shared" si="1"/>
        <v>0</v>
      </c>
      <c r="J15" s="22"/>
      <c r="K15" s="22">
        <f t="shared" si="2"/>
        <v>0</v>
      </c>
      <c r="L15" s="228"/>
      <c r="M15" s="22">
        <f t="shared" si="3"/>
        <v>0</v>
      </c>
      <c r="N15" s="228">
        <v>1</v>
      </c>
      <c r="O15" s="22">
        <f t="shared" si="4"/>
        <v>15000</v>
      </c>
      <c r="P15" s="43">
        <f t="shared" si="5"/>
        <v>15000</v>
      </c>
    </row>
    <row r="16" spans="1:16" ht="31.5">
      <c r="A16" s="12">
        <v>9</v>
      </c>
      <c r="B16" s="46" t="s">
        <v>86</v>
      </c>
      <c r="C16" s="229" t="s">
        <v>85</v>
      </c>
      <c r="D16" s="5" t="s">
        <v>37</v>
      </c>
      <c r="E16" s="5">
        <v>1000</v>
      </c>
      <c r="F16" s="5"/>
      <c r="G16" s="22">
        <f t="shared" si="0"/>
        <v>0</v>
      </c>
      <c r="H16" s="22"/>
      <c r="I16" s="22">
        <f t="shared" si="1"/>
        <v>0</v>
      </c>
      <c r="J16" s="22"/>
      <c r="K16" s="22">
        <f t="shared" si="2"/>
        <v>0</v>
      </c>
      <c r="L16" s="228"/>
      <c r="M16" s="22">
        <f t="shared" si="3"/>
        <v>0</v>
      </c>
      <c r="N16" s="228">
        <v>1</v>
      </c>
      <c r="O16" s="22">
        <f t="shared" si="4"/>
        <v>1000</v>
      </c>
      <c r="P16" s="43">
        <f t="shared" si="5"/>
        <v>1000</v>
      </c>
    </row>
    <row r="17" spans="1:16" ht="31.5">
      <c r="A17" s="12">
        <v>10</v>
      </c>
      <c r="B17" s="56"/>
      <c r="C17" s="230" t="s">
        <v>93</v>
      </c>
      <c r="D17" s="5" t="s">
        <v>37</v>
      </c>
      <c r="E17" s="47">
        <v>2000</v>
      </c>
      <c r="F17" s="5"/>
      <c r="G17" s="22">
        <f t="shared" si="0"/>
        <v>0</v>
      </c>
      <c r="H17" s="22"/>
      <c r="I17" s="22">
        <f t="shared" si="1"/>
        <v>0</v>
      </c>
      <c r="J17" s="22"/>
      <c r="K17" s="22">
        <f t="shared" si="2"/>
        <v>0</v>
      </c>
      <c r="L17" s="228"/>
      <c r="M17" s="22">
        <f t="shared" si="3"/>
        <v>0</v>
      </c>
      <c r="N17" s="228">
        <v>1</v>
      </c>
      <c r="O17" s="22">
        <f t="shared" si="4"/>
        <v>2000</v>
      </c>
      <c r="P17" s="43">
        <f t="shared" si="5"/>
        <v>2000</v>
      </c>
    </row>
    <row r="18" spans="1:16" ht="31.5">
      <c r="A18" s="12">
        <v>11</v>
      </c>
      <c r="B18" s="23"/>
      <c r="C18" s="20" t="s">
        <v>127</v>
      </c>
      <c r="D18" s="5" t="s">
        <v>37</v>
      </c>
      <c r="E18" s="5">
        <v>1000</v>
      </c>
      <c r="F18" s="22"/>
      <c r="G18" s="22">
        <f t="shared" si="0"/>
        <v>0</v>
      </c>
      <c r="H18" s="22"/>
      <c r="I18" s="22">
        <f t="shared" si="1"/>
        <v>0</v>
      </c>
      <c r="J18" s="22"/>
      <c r="K18" s="22">
        <f t="shared" si="2"/>
        <v>0</v>
      </c>
      <c r="L18" s="22"/>
      <c r="M18" s="22">
        <f t="shared" si="3"/>
        <v>0</v>
      </c>
      <c r="N18" s="22">
        <v>1</v>
      </c>
      <c r="O18" s="22">
        <f t="shared" si="4"/>
        <v>1000</v>
      </c>
      <c r="P18" s="43">
        <f t="shared" si="5"/>
        <v>1000</v>
      </c>
    </row>
    <row r="19" spans="1:16" ht="31.5">
      <c r="A19" s="12">
        <v>12</v>
      </c>
      <c r="B19" s="23"/>
      <c r="C19" s="161" t="s">
        <v>145</v>
      </c>
      <c r="D19" s="28" t="s">
        <v>37</v>
      </c>
      <c r="E19" s="28">
        <v>1000</v>
      </c>
      <c r="F19" s="28"/>
      <c r="G19" s="22">
        <f t="shared" si="0"/>
        <v>0</v>
      </c>
      <c r="H19" s="22"/>
      <c r="I19" s="22">
        <f t="shared" si="1"/>
        <v>0</v>
      </c>
      <c r="J19" s="22"/>
      <c r="K19" s="22">
        <f t="shared" si="2"/>
        <v>0</v>
      </c>
      <c r="L19" s="22"/>
      <c r="M19" s="22">
        <f t="shared" si="3"/>
        <v>0</v>
      </c>
      <c r="N19" s="22">
        <v>1</v>
      </c>
      <c r="O19" s="22">
        <f t="shared" si="4"/>
        <v>1000</v>
      </c>
      <c r="P19" s="43">
        <f t="shared" si="5"/>
        <v>1000</v>
      </c>
    </row>
    <row r="20" spans="1:16" ht="47.25">
      <c r="A20" s="12">
        <v>13</v>
      </c>
      <c r="B20" s="23"/>
      <c r="C20" s="162" t="s">
        <v>158</v>
      </c>
      <c r="D20" s="11" t="s">
        <v>37</v>
      </c>
      <c r="E20" s="11">
        <v>1000</v>
      </c>
      <c r="F20" s="11"/>
      <c r="G20" s="22">
        <f t="shared" si="0"/>
        <v>0</v>
      </c>
      <c r="H20" s="22"/>
      <c r="I20" s="22">
        <f t="shared" si="1"/>
        <v>0</v>
      </c>
      <c r="J20" s="22"/>
      <c r="K20" s="22">
        <f t="shared" si="2"/>
        <v>0</v>
      </c>
      <c r="L20" s="22"/>
      <c r="M20" s="22">
        <f t="shared" si="3"/>
        <v>0</v>
      </c>
      <c r="N20" s="22">
        <v>1</v>
      </c>
      <c r="O20" s="22">
        <f t="shared" si="4"/>
        <v>1000</v>
      </c>
      <c r="P20" s="43">
        <f t="shared" si="5"/>
        <v>1000</v>
      </c>
    </row>
    <row r="21" spans="1:16" ht="31.5">
      <c r="A21" s="12">
        <v>14</v>
      </c>
      <c r="B21" s="8" t="s">
        <v>87</v>
      </c>
      <c r="C21" s="25" t="s">
        <v>69</v>
      </c>
      <c r="D21" s="4" t="s">
        <v>62</v>
      </c>
      <c r="E21" s="4">
        <v>1000</v>
      </c>
      <c r="F21" s="2"/>
      <c r="G21" s="22">
        <f t="shared" si="0"/>
        <v>0</v>
      </c>
      <c r="H21" s="22"/>
      <c r="I21" s="22">
        <f t="shared" si="1"/>
        <v>0</v>
      </c>
      <c r="J21" s="22"/>
      <c r="K21" s="22">
        <f t="shared" si="2"/>
        <v>0</v>
      </c>
      <c r="L21" s="228"/>
      <c r="M21" s="22">
        <f t="shared" si="3"/>
        <v>0</v>
      </c>
      <c r="N21" s="228">
        <v>1</v>
      </c>
      <c r="O21" s="22">
        <f t="shared" si="4"/>
        <v>1000</v>
      </c>
      <c r="P21" s="43">
        <f t="shared" si="5"/>
        <v>1000</v>
      </c>
    </row>
    <row r="22" spans="1:16" ht="31.5">
      <c r="A22" s="12">
        <v>15</v>
      </c>
      <c r="B22" s="8" t="s">
        <v>87</v>
      </c>
      <c r="C22" s="25" t="s">
        <v>47</v>
      </c>
      <c r="D22" s="4" t="s">
        <v>62</v>
      </c>
      <c r="E22" s="4">
        <v>1000</v>
      </c>
      <c r="F22" s="2"/>
      <c r="G22" s="22">
        <f t="shared" si="0"/>
        <v>0</v>
      </c>
      <c r="H22" s="22"/>
      <c r="I22" s="22">
        <f t="shared" si="1"/>
        <v>0</v>
      </c>
      <c r="J22" s="22"/>
      <c r="K22" s="22">
        <f t="shared" si="2"/>
        <v>0</v>
      </c>
      <c r="L22" s="4"/>
      <c r="M22" s="22">
        <f t="shared" si="3"/>
        <v>0</v>
      </c>
      <c r="N22" s="3">
        <v>1</v>
      </c>
      <c r="O22" s="22">
        <f t="shared" si="4"/>
        <v>1000</v>
      </c>
      <c r="P22" s="43">
        <f t="shared" si="5"/>
        <v>1000</v>
      </c>
    </row>
    <row r="23" spans="1:16" ht="31.5">
      <c r="A23" s="12">
        <v>16</v>
      </c>
      <c r="B23" s="8" t="s">
        <v>73</v>
      </c>
      <c r="C23" s="229" t="s">
        <v>74</v>
      </c>
      <c r="D23" s="5" t="s">
        <v>37</v>
      </c>
      <c r="E23" s="5">
        <v>2000</v>
      </c>
      <c r="F23" s="5"/>
      <c r="G23" s="22">
        <f t="shared" si="0"/>
        <v>0</v>
      </c>
      <c r="H23" s="22"/>
      <c r="I23" s="22">
        <f t="shared" si="1"/>
        <v>0</v>
      </c>
      <c r="J23" s="22"/>
      <c r="K23" s="22">
        <f t="shared" si="2"/>
        <v>0</v>
      </c>
      <c r="L23" s="228"/>
      <c r="M23" s="22">
        <f t="shared" si="3"/>
        <v>0</v>
      </c>
      <c r="N23" s="5">
        <v>2</v>
      </c>
      <c r="O23" s="22">
        <f t="shared" si="4"/>
        <v>4000</v>
      </c>
      <c r="P23" s="43">
        <f t="shared" si="5"/>
        <v>4000</v>
      </c>
    </row>
    <row r="24" spans="1:16" ht="63">
      <c r="A24" s="12">
        <v>17</v>
      </c>
      <c r="B24" s="231" t="s">
        <v>73</v>
      </c>
      <c r="C24" s="232" t="s">
        <v>100</v>
      </c>
      <c r="D24" s="5" t="s">
        <v>62</v>
      </c>
      <c r="E24" s="47">
        <v>2000</v>
      </c>
      <c r="F24" s="9"/>
      <c r="G24" s="22">
        <f t="shared" si="0"/>
        <v>0</v>
      </c>
      <c r="H24" s="22"/>
      <c r="I24" s="22">
        <f t="shared" si="1"/>
        <v>0</v>
      </c>
      <c r="J24" s="22"/>
      <c r="K24" s="22">
        <f t="shared" si="2"/>
        <v>0</v>
      </c>
      <c r="L24" s="228"/>
      <c r="M24" s="22">
        <f t="shared" si="3"/>
        <v>0</v>
      </c>
      <c r="N24" s="228">
        <v>1</v>
      </c>
      <c r="O24" s="22">
        <f t="shared" si="4"/>
        <v>2000</v>
      </c>
      <c r="P24" s="43">
        <f t="shared" si="5"/>
        <v>2000</v>
      </c>
    </row>
    <row r="25" spans="1:16" ht="63">
      <c r="A25" s="12">
        <v>18</v>
      </c>
      <c r="B25" s="23"/>
      <c r="C25" s="161" t="s">
        <v>139</v>
      </c>
      <c r="D25" s="28" t="s">
        <v>37</v>
      </c>
      <c r="E25" s="28">
        <v>5000</v>
      </c>
      <c r="F25" s="28"/>
      <c r="G25" s="22">
        <f t="shared" si="0"/>
        <v>0</v>
      </c>
      <c r="H25" s="22"/>
      <c r="I25" s="22">
        <f t="shared" si="1"/>
        <v>0</v>
      </c>
      <c r="J25" s="22"/>
      <c r="K25" s="22">
        <f t="shared" si="2"/>
        <v>0</v>
      </c>
      <c r="L25" s="22"/>
      <c r="M25" s="22">
        <f t="shared" si="3"/>
        <v>0</v>
      </c>
      <c r="N25" s="22">
        <v>1</v>
      </c>
      <c r="O25" s="22">
        <f t="shared" si="4"/>
        <v>5000</v>
      </c>
      <c r="P25" s="43">
        <f t="shared" si="5"/>
        <v>5000</v>
      </c>
    </row>
    <row r="26" spans="1:16" ht="31.5">
      <c r="A26" s="12">
        <v>19</v>
      </c>
      <c r="B26" s="23"/>
      <c r="C26" s="20" t="s">
        <v>132</v>
      </c>
      <c r="D26" s="5" t="s">
        <v>37</v>
      </c>
      <c r="E26" s="5">
        <v>1000</v>
      </c>
      <c r="F26" s="22"/>
      <c r="G26" s="22">
        <f t="shared" si="0"/>
        <v>0</v>
      </c>
      <c r="H26" s="22"/>
      <c r="I26" s="22">
        <f t="shared" si="1"/>
        <v>0</v>
      </c>
      <c r="J26" s="22"/>
      <c r="K26" s="22">
        <f t="shared" si="2"/>
        <v>0</v>
      </c>
      <c r="L26" s="22"/>
      <c r="M26" s="22">
        <f t="shared" si="3"/>
        <v>0</v>
      </c>
      <c r="N26" s="22">
        <v>1</v>
      </c>
      <c r="O26" s="22">
        <f t="shared" si="4"/>
        <v>1000</v>
      </c>
      <c r="P26" s="43">
        <f t="shared" si="5"/>
        <v>1000</v>
      </c>
    </row>
    <row r="27" spans="1:16">
      <c r="A27" s="12">
        <v>20</v>
      </c>
      <c r="B27" s="8" t="s">
        <v>18</v>
      </c>
      <c r="C27" s="229" t="s">
        <v>77</v>
      </c>
      <c r="D27" s="5" t="s">
        <v>37</v>
      </c>
      <c r="E27" s="5">
        <v>2000</v>
      </c>
      <c r="F27" s="5"/>
      <c r="G27" s="22">
        <f t="shared" si="0"/>
        <v>0</v>
      </c>
      <c r="H27" s="22"/>
      <c r="I27" s="22">
        <f t="shared" si="1"/>
        <v>0</v>
      </c>
      <c r="J27" s="22"/>
      <c r="K27" s="22">
        <f t="shared" si="2"/>
        <v>0</v>
      </c>
      <c r="L27" s="228"/>
      <c r="M27" s="22">
        <f t="shared" si="3"/>
        <v>0</v>
      </c>
      <c r="N27" s="228">
        <v>1</v>
      </c>
      <c r="O27" s="22">
        <f t="shared" si="4"/>
        <v>2000</v>
      </c>
      <c r="P27" s="43">
        <f t="shared" si="5"/>
        <v>2000</v>
      </c>
    </row>
    <row r="28" spans="1:16">
      <c r="A28" s="12">
        <v>21</v>
      </c>
      <c r="B28" s="8" t="s">
        <v>18</v>
      </c>
      <c r="C28" s="229" t="s">
        <v>88</v>
      </c>
      <c r="D28" s="5" t="s">
        <v>37</v>
      </c>
      <c r="E28" s="5">
        <v>2000</v>
      </c>
      <c r="F28" s="5"/>
      <c r="G28" s="22">
        <f t="shared" si="0"/>
        <v>0</v>
      </c>
      <c r="H28" s="22"/>
      <c r="I28" s="22">
        <f t="shared" si="1"/>
        <v>0</v>
      </c>
      <c r="J28" s="22"/>
      <c r="K28" s="22">
        <f t="shared" si="2"/>
        <v>0</v>
      </c>
      <c r="L28" s="228"/>
      <c r="M28" s="22">
        <f t="shared" si="3"/>
        <v>0</v>
      </c>
      <c r="N28" s="5">
        <v>1</v>
      </c>
      <c r="O28" s="22">
        <f t="shared" si="4"/>
        <v>2000</v>
      </c>
      <c r="P28" s="43">
        <f t="shared" si="5"/>
        <v>2000</v>
      </c>
    </row>
    <row r="29" spans="1:16" ht="31.5">
      <c r="A29" s="12">
        <v>22</v>
      </c>
      <c r="B29" s="23"/>
      <c r="C29" s="161" t="s">
        <v>133</v>
      </c>
      <c r="D29" s="28" t="s">
        <v>37</v>
      </c>
      <c r="E29" s="28">
        <v>5000</v>
      </c>
      <c r="F29" s="28"/>
      <c r="G29" s="22">
        <f t="shared" si="0"/>
        <v>0</v>
      </c>
      <c r="H29" s="22"/>
      <c r="I29" s="22">
        <f t="shared" si="1"/>
        <v>0</v>
      </c>
      <c r="J29" s="22"/>
      <c r="K29" s="22">
        <f t="shared" si="2"/>
        <v>0</v>
      </c>
      <c r="L29" s="22"/>
      <c r="M29" s="22">
        <f t="shared" si="3"/>
        <v>0</v>
      </c>
      <c r="N29" s="22">
        <v>5</v>
      </c>
      <c r="O29" s="22">
        <f t="shared" si="4"/>
        <v>25000</v>
      </c>
      <c r="P29" s="43">
        <f t="shared" si="5"/>
        <v>25000</v>
      </c>
    </row>
    <row r="30" spans="1:16" ht="47.25">
      <c r="A30" s="12">
        <v>23</v>
      </c>
      <c r="B30" s="23"/>
      <c r="C30" s="161" t="s">
        <v>134</v>
      </c>
      <c r="D30" s="28" t="s">
        <v>37</v>
      </c>
      <c r="E30" s="28">
        <v>5000</v>
      </c>
      <c r="F30" s="28"/>
      <c r="G30" s="22">
        <f t="shared" si="0"/>
        <v>0</v>
      </c>
      <c r="H30" s="22"/>
      <c r="I30" s="22">
        <f t="shared" si="1"/>
        <v>0</v>
      </c>
      <c r="J30" s="22"/>
      <c r="K30" s="22">
        <f t="shared" si="2"/>
        <v>0</v>
      </c>
      <c r="L30" s="22"/>
      <c r="M30" s="22">
        <f t="shared" si="3"/>
        <v>0</v>
      </c>
      <c r="N30" s="22">
        <v>5</v>
      </c>
      <c r="O30" s="22">
        <f t="shared" si="4"/>
        <v>25000</v>
      </c>
      <c r="P30" s="43">
        <f t="shared" si="5"/>
        <v>25000</v>
      </c>
    </row>
    <row r="31" spans="1:16" ht="47.25">
      <c r="A31" s="12">
        <v>24</v>
      </c>
      <c r="B31" s="23"/>
      <c r="C31" s="161" t="s">
        <v>135</v>
      </c>
      <c r="D31" s="28" t="s">
        <v>37</v>
      </c>
      <c r="E31" s="28">
        <v>5000</v>
      </c>
      <c r="F31" s="28"/>
      <c r="G31" s="22">
        <f t="shared" si="0"/>
        <v>0</v>
      </c>
      <c r="H31" s="22"/>
      <c r="I31" s="22">
        <f t="shared" si="1"/>
        <v>0</v>
      </c>
      <c r="J31" s="22"/>
      <c r="K31" s="22">
        <f t="shared" si="2"/>
        <v>0</v>
      </c>
      <c r="L31" s="22"/>
      <c r="M31" s="22">
        <f t="shared" si="3"/>
        <v>0</v>
      </c>
      <c r="N31" s="22">
        <v>1</v>
      </c>
      <c r="O31" s="22">
        <f t="shared" si="4"/>
        <v>5000</v>
      </c>
      <c r="P31" s="43">
        <f t="shared" si="5"/>
        <v>5000</v>
      </c>
    </row>
    <row r="32" spans="1:16" ht="47.25">
      <c r="A32" s="12">
        <v>25</v>
      </c>
      <c r="B32" s="23"/>
      <c r="C32" s="161" t="s">
        <v>136</v>
      </c>
      <c r="D32" s="28" t="s">
        <v>37</v>
      </c>
      <c r="E32" s="28">
        <v>5000</v>
      </c>
      <c r="F32" s="28"/>
      <c r="G32" s="22">
        <f t="shared" si="0"/>
        <v>0</v>
      </c>
      <c r="H32" s="22"/>
      <c r="I32" s="22">
        <f t="shared" si="1"/>
        <v>0</v>
      </c>
      <c r="J32" s="22"/>
      <c r="K32" s="22">
        <f t="shared" si="2"/>
        <v>0</v>
      </c>
      <c r="L32" s="22"/>
      <c r="M32" s="22">
        <f t="shared" si="3"/>
        <v>0</v>
      </c>
      <c r="N32" s="22">
        <v>1</v>
      </c>
      <c r="O32" s="22">
        <f t="shared" si="4"/>
        <v>5000</v>
      </c>
      <c r="P32" s="43">
        <f t="shared" si="5"/>
        <v>5000</v>
      </c>
    </row>
    <row r="33" spans="1:16" ht="47.25">
      <c r="A33" s="12">
        <v>26</v>
      </c>
      <c r="B33" s="23"/>
      <c r="C33" s="161" t="s">
        <v>137</v>
      </c>
      <c r="D33" s="28" t="s">
        <v>37</v>
      </c>
      <c r="E33" s="28">
        <v>5000</v>
      </c>
      <c r="F33" s="28"/>
      <c r="G33" s="22">
        <f t="shared" si="0"/>
        <v>0</v>
      </c>
      <c r="H33" s="22"/>
      <c r="I33" s="22">
        <f t="shared" si="1"/>
        <v>0</v>
      </c>
      <c r="J33" s="22"/>
      <c r="K33" s="22">
        <f t="shared" si="2"/>
        <v>0</v>
      </c>
      <c r="L33" s="22"/>
      <c r="M33" s="22">
        <f t="shared" si="3"/>
        <v>0</v>
      </c>
      <c r="N33" s="22">
        <v>2</v>
      </c>
      <c r="O33" s="22">
        <f t="shared" si="4"/>
        <v>10000</v>
      </c>
      <c r="P33" s="43">
        <f t="shared" si="5"/>
        <v>10000</v>
      </c>
    </row>
    <row r="34" spans="1:16" ht="63">
      <c r="A34" s="12">
        <v>27</v>
      </c>
      <c r="B34" s="23"/>
      <c r="C34" s="161" t="s">
        <v>141</v>
      </c>
      <c r="D34" s="28" t="s">
        <v>37</v>
      </c>
      <c r="E34" s="28">
        <v>2000</v>
      </c>
      <c r="F34" s="28"/>
      <c r="G34" s="22">
        <f t="shared" si="0"/>
        <v>0</v>
      </c>
      <c r="H34" s="22"/>
      <c r="I34" s="22">
        <f t="shared" si="1"/>
        <v>0</v>
      </c>
      <c r="J34" s="22"/>
      <c r="K34" s="22">
        <f t="shared" si="2"/>
        <v>0</v>
      </c>
      <c r="L34" s="22"/>
      <c r="M34" s="22">
        <f t="shared" si="3"/>
        <v>0</v>
      </c>
      <c r="N34" s="22">
        <v>3</v>
      </c>
      <c r="O34" s="22">
        <f t="shared" si="4"/>
        <v>6000</v>
      </c>
      <c r="P34" s="43">
        <f t="shared" si="5"/>
        <v>6000</v>
      </c>
    </row>
    <row r="35" spans="1:16" ht="31.5">
      <c r="A35" s="12">
        <v>28</v>
      </c>
      <c r="B35" s="23"/>
      <c r="C35" s="161" t="s">
        <v>142</v>
      </c>
      <c r="D35" s="28" t="s">
        <v>37</v>
      </c>
      <c r="E35" s="28">
        <v>2000</v>
      </c>
      <c r="F35" s="28"/>
      <c r="G35" s="22">
        <f t="shared" si="0"/>
        <v>0</v>
      </c>
      <c r="H35" s="22"/>
      <c r="I35" s="22">
        <f t="shared" si="1"/>
        <v>0</v>
      </c>
      <c r="J35" s="22"/>
      <c r="K35" s="22">
        <f t="shared" si="2"/>
        <v>0</v>
      </c>
      <c r="L35" s="22"/>
      <c r="M35" s="22">
        <f t="shared" si="3"/>
        <v>0</v>
      </c>
      <c r="N35" s="22">
        <v>3</v>
      </c>
      <c r="O35" s="22">
        <f t="shared" si="4"/>
        <v>6000</v>
      </c>
      <c r="P35" s="43">
        <f t="shared" si="5"/>
        <v>6000</v>
      </c>
    </row>
    <row r="36" spans="1:16" ht="31.5">
      <c r="A36" s="12">
        <v>29</v>
      </c>
      <c r="B36" s="8"/>
      <c r="C36" s="16" t="s">
        <v>63</v>
      </c>
      <c r="D36" s="4" t="s">
        <v>62</v>
      </c>
      <c r="E36" s="3">
        <v>5000</v>
      </c>
      <c r="F36" s="4"/>
      <c r="G36" s="22">
        <f t="shared" si="0"/>
        <v>0</v>
      </c>
      <c r="H36" s="22"/>
      <c r="I36" s="22">
        <f t="shared" si="1"/>
        <v>0</v>
      </c>
      <c r="J36" s="22"/>
      <c r="K36" s="22">
        <f t="shared" si="2"/>
        <v>0</v>
      </c>
      <c r="L36" s="4"/>
      <c r="M36" s="22">
        <f t="shared" si="3"/>
        <v>0</v>
      </c>
      <c r="N36" s="2">
        <v>2</v>
      </c>
      <c r="O36" s="22">
        <f t="shared" si="4"/>
        <v>10000</v>
      </c>
      <c r="P36" s="43">
        <f t="shared" si="5"/>
        <v>10000</v>
      </c>
    </row>
    <row r="37" spans="1:16">
      <c r="A37" s="12">
        <v>30</v>
      </c>
      <c r="B37" s="8"/>
      <c r="C37" s="16" t="s">
        <v>64</v>
      </c>
      <c r="D37" s="4" t="s">
        <v>7</v>
      </c>
      <c r="E37" s="3">
        <v>20</v>
      </c>
      <c r="F37" s="4"/>
      <c r="G37" s="22">
        <f t="shared" si="0"/>
        <v>0</v>
      </c>
      <c r="H37" s="22"/>
      <c r="I37" s="22">
        <f t="shared" si="1"/>
        <v>0</v>
      </c>
      <c r="J37" s="22"/>
      <c r="K37" s="22">
        <f t="shared" si="2"/>
        <v>0</v>
      </c>
      <c r="L37" s="228"/>
      <c r="M37" s="22">
        <f t="shared" si="3"/>
        <v>0</v>
      </c>
      <c r="N37" s="228">
        <v>450</v>
      </c>
      <c r="O37" s="22">
        <f t="shared" si="4"/>
        <v>9000</v>
      </c>
      <c r="P37" s="43">
        <f t="shared" si="5"/>
        <v>9000</v>
      </c>
    </row>
    <row r="38" spans="1:16" ht="31.5">
      <c r="A38" s="12">
        <v>31</v>
      </c>
      <c r="B38" s="8" t="s">
        <v>32</v>
      </c>
      <c r="C38" s="16" t="s">
        <v>68</v>
      </c>
      <c r="D38" s="4" t="s">
        <v>37</v>
      </c>
      <c r="E38" s="3">
        <v>10000</v>
      </c>
      <c r="F38" s="4"/>
      <c r="G38" s="22">
        <f t="shared" si="0"/>
        <v>0</v>
      </c>
      <c r="H38" s="22"/>
      <c r="I38" s="22">
        <f t="shared" si="1"/>
        <v>0</v>
      </c>
      <c r="J38" s="22"/>
      <c r="K38" s="22">
        <f t="shared" si="2"/>
        <v>0</v>
      </c>
      <c r="L38" s="228"/>
      <c r="M38" s="22">
        <f t="shared" si="3"/>
        <v>0</v>
      </c>
      <c r="N38" s="228">
        <v>1</v>
      </c>
      <c r="O38" s="22">
        <f t="shared" si="4"/>
        <v>10000</v>
      </c>
      <c r="P38" s="43">
        <f t="shared" si="5"/>
        <v>10000</v>
      </c>
    </row>
    <row r="39" spans="1:16" ht="31.5">
      <c r="A39" s="12">
        <v>32</v>
      </c>
      <c r="B39" s="23"/>
      <c r="C39" s="20" t="s">
        <v>128</v>
      </c>
      <c r="D39" s="5" t="s">
        <v>7</v>
      </c>
      <c r="E39" s="5">
        <v>25</v>
      </c>
      <c r="F39" s="22"/>
      <c r="G39" s="22">
        <f t="shared" si="0"/>
        <v>0</v>
      </c>
      <c r="H39" s="22"/>
      <c r="I39" s="22">
        <f t="shared" si="1"/>
        <v>0</v>
      </c>
      <c r="J39" s="22"/>
      <c r="K39" s="22">
        <f t="shared" si="2"/>
        <v>0</v>
      </c>
      <c r="L39" s="22"/>
      <c r="M39" s="22">
        <f t="shared" si="3"/>
        <v>0</v>
      </c>
      <c r="N39" s="22">
        <v>750</v>
      </c>
      <c r="O39" s="22">
        <f t="shared" si="4"/>
        <v>18750</v>
      </c>
      <c r="P39" s="43">
        <f t="shared" si="5"/>
        <v>18750</v>
      </c>
    </row>
    <row r="40" spans="1:16" ht="31.5">
      <c r="A40" s="12">
        <v>33</v>
      </c>
      <c r="B40" s="8"/>
      <c r="C40" s="13" t="s">
        <v>23</v>
      </c>
      <c r="D40" s="10" t="s">
        <v>5</v>
      </c>
      <c r="E40" s="1">
        <v>300</v>
      </c>
      <c r="F40" s="7"/>
      <c r="G40" s="22">
        <f t="shared" si="0"/>
        <v>0</v>
      </c>
      <c r="H40" s="22"/>
      <c r="I40" s="22">
        <f t="shared" si="1"/>
        <v>0</v>
      </c>
      <c r="J40" s="22"/>
      <c r="K40" s="22">
        <f t="shared" si="2"/>
        <v>0</v>
      </c>
      <c r="L40" s="3">
        <v>6</v>
      </c>
      <c r="M40" s="22">
        <f t="shared" si="3"/>
        <v>1800</v>
      </c>
      <c r="N40" s="3"/>
      <c r="O40" s="22">
        <f t="shared" si="4"/>
        <v>0</v>
      </c>
      <c r="P40" s="43">
        <f t="shared" si="5"/>
        <v>1800</v>
      </c>
    </row>
    <row r="41" spans="1:16">
      <c r="A41" s="12">
        <v>34</v>
      </c>
      <c r="B41" s="8"/>
      <c r="C41" s="13" t="s">
        <v>17</v>
      </c>
      <c r="D41" s="10" t="s">
        <v>5</v>
      </c>
      <c r="E41" s="1">
        <v>250</v>
      </c>
      <c r="F41" s="4"/>
      <c r="G41" s="22">
        <f t="shared" si="0"/>
        <v>0</v>
      </c>
      <c r="H41" s="22"/>
      <c r="I41" s="22">
        <f t="shared" si="1"/>
        <v>0</v>
      </c>
      <c r="J41" s="22"/>
      <c r="K41" s="22">
        <f t="shared" si="2"/>
        <v>0</v>
      </c>
      <c r="L41" s="3">
        <v>2</v>
      </c>
      <c r="M41" s="22">
        <f t="shared" si="3"/>
        <v>500</v>
      </c>
      <c r="N41" s="7"/>
      <c r="O41" s="22">
        <f t="shared" si="4"/>
        <v>0</v>
      </c>
      <c r="P41" s="43">
        <f t="shared" si="5"/>
        <v>500</v>
      </c>
    </row>
    <row r="42" spans="1:16">
      <c r="A42" s="12">
        <v>35</v>
      </c>
      <c r="B42" s="8"/>
      <c r="C42" s="13" t="s">
        <v>31</v>
      </c>
      <c r="D42" s="10" t="s">
        <v>5</v>
      </c>
      <c r="E42" s="1">
        <v>114682.21</v>
      </c>
      <c r="F42" s="2"/>
      <c r="G42" s="22">
        <f t="shared" si="0"/>
        <v>0</v>
      </c>
      <c r="H42" s="22"/>
      <c r="I42" s="22">
        <f t="shared" si="1"/>
        <v>0</v>
      </c>
      <c r="J42" s="22"/>
      <c r="K42" s="22">
        <f t="shared" si="2"/>
        <v>0</v>
      </c>
      <c r="L42" s="3">
        <v>2</v>
      </c>
      <c r="M42" s="22">
        <f t="shared" si="3"/>
        <v>229364.42</v>
      </c>
      <c r="N42" s="3"/>
      <c r="O42" s="22">
        <f t="shared" si="4"/>
        <v>0</v>
      </c>
      <c r="P42" s="43">
        <f t="shared" si="5"/>
        <v>229364.42</v>
      </c>
    </row>
    <row r="43" spans="1:16" ht="31.5">
      <c r="A43" s="12">
        <v>36</v>
      </c>
      <c r="B43" s="8"/>
      <c r="C43" s="162" t="s">
        <v>185</v>
      </c>
      <c r="D43" s="10" t="s">
        <v>5</v>
      </c>
      <c r="E43" s="1">
        <v>1000</v>
      </c>
      <c r="F43" s="2"/>
      <c r="G43" s="22">
        <f t="shared" si="0"/>
        <v>0</v>
      </c>
      <c r="H43" s="22"/>
      <c r="I43" s="22">
        <f t="shared" si="1"/>
        <v>0</v>
      </c>
      <c r="J43" s="22"/>
      <c r="K43" s="22">
        <f t="shared" si="2"/>
        <v>0</v>
      </c>
      <c r="L43" s="3"/>
      <c r="M43" s="22">
        <f t="shared" si="3"/>
        <v>0</v>
      </c>
      <c r="N43" s="3">
        <v>1</v>
      </c>
      <c r="O43" s="22">
        <f t="shared" si="4"/>
        <v>1000</v>
      </c>
      <c r="P43" s="43">
        <f t="shared" si="5"/>
        <v>1000</v>
      </c>
    </row>
    <row r="44" spans="1:16" ht="30">
      <c r="A44" s="12">
        <v>37</v>
      </c>
      <c r="B44" s="8"/>
      <c r="C44" s="233" t="s">
        <v>196</v>
      </c>
      <c r="D44" s="10" t="s">
        <v>5</v>
      </c>
      <c r="E44" s="1">
        <v>1000</v>
      </c>
      <c r="F44" s="2"/>
      <c r="G44" s="22">
        <f t="shared" si="0"/>
        <v>0</v>
      </c>
      <c r="H44" s="22">
        <v>6</v>
      </c>
      <c r="I44" s="22">
        <f t="shared" si="1"/>
        <v>6000</v>
      </c>
      <c r="J44" s="22"/>
      <c r="K44" s="22">
        <f t="shared" si="2"/>
        <v>0</v>
      </c>
      <c r="L44" s="3"/>
      <c r="M44" s="22">
        <f t="shared" si="3"/>
        <v>0</v>
      </c>
      <c r="N44" s="3"/>
      <c r="O44" s="22">
        <f t="shared" si="4"/>
        <v>0</v>
      </c>
      <c r="P44" s="43">
        <f t="shared" si="5"/>
        <v>6000</v>
      </c>
    </row>
    <row r="45" spans="1:16" ht="30">
      <c r="A45" s="12">
        <v>38</v>
      </c>
      <c r="B45" s="8"/>
      <c r="C45" s="233" t="s">
        <v>197</v>
      </c>
      <c r="D45" s="10" t="s">
        <v>5</v>
      </c>
      <c r="E45" s="1">
        <v>1000</v>
      </c>
      <c r="F45" s="2"/>
      <c r="G45" s="22">
        <f t="shared" si="0"/>
        <v>0</v>
      </c>
      <c r="H45" s="22">
        <v>1</v>
      </c>
      <c r="I45" s="22">
        <f t="shared" si="1"/>
        <v>1000</v>
      </c>
      <c r="J45" s="22"/>
      <c r="K45" s="22">
        <f t="shared" si="2"/>
        <v>0</v>
      </c>
      <c r="L45" s="3"/>
      <c r="M45" s="22">
        <f t="shared" si="3"/>
        <v>0</v>
      </c>
      <c r="N45" s="3"/>
      <c r="O45" s="22">
        <f t="shared" si="4"/>
        <v>0</v>
      </c>
      <c r="P45" s="43">
        <f t="shared" si="5"/>
        <v>1000</v>
      </c>
    </row>
    <row r="46" spans="1:16" ht="45">
      <c r="A46" s="12">
        <v>39</v>
      </c>
      <c r="B46" s="8"/>
      <c r="C46" s="233" t="s">
        <v>198</v>
      </c>
      <c r="D46" s="10" t="s">
        <v>5</v>
      </c>
      <c r="E46" s="1">
        <v>1000</v>
      </c>
      <c r="F46" s="2"/>
      <c r="G46" s="22">
        <f t="shared" ref="G46:G49" si="6">E46*F46</f>
        <v>0</v>
      </c>
      <c r="H46" s="22">
        <v>1</v>
      </c>
      <c r="I46" s="22">
        <f t="shared" ref="I46:I48" si="7">H46*E46</f>
        <v>1000</v>
      </c>
      <c r="J46" s="22"/>
      <c r="K46" s="22">
        <f t="shared" ref="K46" si="8">J46*E46</f>
        <v>0</v>
      </c>
      <c r="L46" s="3"/>
      <c r="M46" s="22">
        <f t="shared" ref="M46" si="9">L46*E46</f>
        <v>0</v>
      </c>
      <c r="N46" s="3"/>
      <c r="O46" s="22">
        <f t="shared" ref="O46" si="10">N46*E46</f>
        <v>0</v>
      </c>
      <c r="P46" s="43">
        <f t="shared" ref="P46" si="11">O46+M46+K46+I46+G46</f>
        <v>1000</v>
      </c>
    </row>
    <row r="47" spans="1:16" ht="31.5">
      <c r="A47" s="12">
        <v>40</v>
      </c>
      <c r="B47" s="8"/>
      <c r="C47" s="46" t="s">
        <v>207</v>
      </c>
      <c r="D47" s="234" t="s">
        <v>208</v>
      </c>
      <c r="E47" s="6">
        <v>35</v>
      </c>
      <c r="F47" s="2"/>
      <c r="G47" s="22">
        <f t="shared" si="6"/>
        <v>0</v>
      </c>
      <c r="H47" s="9">
        <v>435</v>
      </c>
      <c r="I47" s="22">
        <f t="shared" si="7"/>
        <v>15225</v>
      </c>
      <c r="J47" s="22"/>
      <c r="K47" s="22">
        <f t="shared" ref="K47:K49" si="12">J47*E47</f>
        <v>0</v>
      </c>
      <c r="L47" s="3"/>
      <c r="M47" s="22">
        <f t="shared" ref="M47:M49" si="13">L47*E47</f>
        <v>0</v>
      </c>
      <c r="N47" s="3"/>
      <c r="O47" s="22">
        <f t="shared" ref="O47:O49" si="14">N47*E47</f>
        <v>0</v>
      </c>
      <c r="P47" s="43">
        <f t="shared" ref="P47:P49" si="15">O47+M47+K47+I47+G47</f>
        <v>15225</v>
      </c>
    </row>
    <row r="48" spans="1:16">
      <c r="A48" s="12">
        <v>41</v>
      </c>
      <c r="B48" s="8"/>
      <c r="C48" s="46" t="s">
        <v>209</v>
      </c>
      <c r="D48" s="234" t="s">
        <v>206</v>
      </c>
      <c r="E48" s="6">
        <v>250</v>
      </c>
      <c r="F48" s="2"/>
      <c r="G48" s="22">
        <f t="shared" si="6"/>
        <v>0</v>
      </c>
      <c r="H48" s="9">
        <v>15</v>
      </c>
      <c r="I48" s="22">
        <f t="shared" si="7"/>
        <v>3750</v>
      </c>
      <c r="J48" s="22"/>
      <c r="K48" s="22">
        <f t="shared" si="12"/>
        <v>0</v>
      </c>
      <c r="L48" s="3"/>
      <c r="M48" s="22">
        <f t="shared" si="13"/>
        <v>0</v>
      </c>
      <c r="N48" s="3"/>
      <c r="O48" s="22">
        <f t="shared" si="14"/>
        <v>0</v>
      </c>
      <c r="P48" s="43">
        <f t="shared" si="15"/>
        <v>3750</v>
      </c>
    </row>
    <row r="49" spans="1:16" ht="31.5">
      <c r="A49" s="12">
        <v>42</v>
      </c>
      <c r="B49" s="8"/>
      <c r="C49" s="46" t="s">
        <v>210</v>
      </c>
      <c r="D49" s="234" t="s">
        <v>206</v>
      </c>
      <c r="E49" s="6">
        <v>500</v>
      </c>
      <c r="F49" s="2"/>
      <c r="G49" s="22">
        <f t="shared" si="6"/>
        <v>0</v>
      </c>
      <c r="H49" s="9">
        <v>24</v>
      </c>
      <c r="I49" s="22">
        <f t="shared" si="1"/>
        <v>12000</v>
      </c>
      <c r="J49" s="22"/>
      <c r="K49" s="22">
        <f t="shared" si="12"/>
        <v>0</v>
      </c>
      <c r="L49" s="3"/>
      <c r="M49" s="22">
        <f t="shared" si="13"/>
        <v>0</v>
      </c>
      <c r="N49" s="3"/>
      <c r="O49" s="22">
        <f t="shared" si="14"/>
        <v>0</v>
      </c>
      <c r="P49" s="43">
        <f t="shared" si="15"/>
        <v>12000</v>
      </c>
    </row>
    <row r="50" spans="1:16" s="32" customFormat="1">
      <c r="A50" s="35"/>
      <c r="B50" s="36"/>
      <c r="C50" s="235"/>
      <c r="D50" s="37"/>
      <c r="E50" s="37"/>
      <c r="F50" s="37"/>
      <c r="G50" s="30"/>
      <c r="H50" s="30"/>
      <c r="I50" s="30"/>
      <c r="J50" s="30"/>
      <c r="K50" s="30"/>
      <c r="L50" s="30"/>
      <c r="M50" s="30"/>
      <c r="N50" s="30"/>
      <c r="O50" s="30"/>
      <c r="P50" s="31">
        <f>SUM(P8:P49)</f>
        <v>501969.42000000004</v>
      </c>
    </row>
    <row r="51" spans="1:16">
      <c r="A51" s="12">
        <v>43</v>
      </c>
      <c r="B51" s="46" t="s">
        <v>2</v>
      </c>
      <c r="C51" s="13" t="s">
        <v>3</v>
      </c>
      <c r="D51" s="10" t="s">
        <v>4</v>
      </c>
      <c r="E51" s="2">
        <v>20000</v>
      </c>
      <c r="F51" s="1">
        <v>0.44</v>
      </c>
      <c r="G51" s="22">
        <f t="shared" si="0"/>
        <v>8800</v>
      </c>
      <c r="H51" s="22"/>
      <c r="I51" s="22">
        <f t="shared" si="1"/>
        <v>0</v>
      </c>
      <c r="J51" s="22"/>
      <c r="K51" s="22">
        <f t="shared" si="2"/>
        <v>0</v>
      </c>
      <c r="L51" s="3"/>
      <c r="M51" s="22">
        <f t="shared" si="3"/>
        <v>0</v>
      </c>
      <c r="N51" s="3"/>
      <c r="O51" s="22">
        <f t="shared" si="4"/>
        <v>0</v>
      </c>
      <c r="P51" s="43">
        <f t="shared" si="5"/>
        <v>8800</v>
      </c>
    </row>
    <row r="52" spans="1:16">
      <c r="A52" s="12">
        <v>44</v>
      </c>
      <c r="B52" s="8"/>
      <c r="C52" s="13" t="s">
        <v>6</v>
      </c>
      <c r="D52" s="10" t="s">
        <v>7</v>
      </c>
      <c r="E52" s="1">
        <v>20</v>
      </c>
      <c r="F52" s="2">
        <v>150</v>
      </c>
      <c r="G52" s="22">
        <f t="shared" si="0"/>
        <v>3000</v>
      </c>
      <c r="H52" s="22"/>
      <c r="I52" s="22">
        <f t="shared" si="1"/>
        <v>0</v>
      </c>
      <c r="J52" s="22"/>
      <c r="K52" s="22">
        <f t="shared" si="2"/>
        <v>0</v>
      </c>
      <c r="L52" s="3"/>
      <c r="M52" s="22">
        <f t="shared" si="3"/>
        <v>0</v>
      </c>
      <c r="N52" s="3"/>
      <c r="O52" s="22">
        <f t="shared" si="4"/>
        <v>0</v>
      </c>
      <c r="P52" s="43">
        <f t="shared" si="5"/>
        <v>3000</v>
      </c>
    </row>
    <row r="53" spans="1:16" ht="31.5">
      <c r="A53" s="12">
        <v>45</v>
      </c>
      <c r="B53" s="236" t="s">
        <v>8</v>
      </c>
      <c r="C53" s="13" t="s">
        <v>9</v>
      </c>
      <c r="D53" s="10" t="s">
        <v>5</v>
      </c>
      <c r="E53" s="1">
        <v>300</v>
      </c>
      <c r="F53" s="2">
        <v>12</v>
      </c>
      <c r="G53" s="22">
        <f t="shared" si="0"/>
        <v>3600</v>
      </c>
      <c r="H53" s="22"/>
      <c r="I53" s="22">
        <f t="shared" si="1"/>
        <v>0</v>
      </c>
      <c r="J53" s="22"/>
      <c r="K53" s="22">
        <f t="shared" si="2"/>
        <v>0</v>
      </c>
      <c r="L53" s="3"/>
      <c r="M53" s="22">
        <f t="shared" si="3"/>
        <v>0</v>
      </c>
      <c r="N53" s="3"/>
      <c r="O53" s="22">
        <f t="shared" si="4"/>
        <v>0</v>
      </c>
      <c r="P53" s="43">
        <f t="shared" si="5"/>
        <v>3600</v>
      </c>
    </row>
    <row r="54" spans="1:16" s="24" customFormat="1">
      <c r="A54" s="12">
        <v>46</v>
      </c>
      <c r="B54" s="46" t="s">
        <v>12</v>
      </c>
      <c r="C54" s="13" t="s">
        <v>13</v>
      </c>
      <c r="D54" s="10" t="s">
        <v>5</v>
      </c>
      <c r="E54" s="1">
        <v>3000</v>
      </c>
      <c r="F54" s="2">
        <v>2</v>
      </c>
      <c r="G54" s="22">
        <f t="shared" si="0"/>
        <v>6000</v>
      </c>
      <c r="H54" s="10"/>
      <c r="I54" s="22">
        <f t="shared" si="1"/>
        <v>0</v>
      </c>
      <c r="J54" s="10"/>
      <c r="K54" s="22">
        <f t="shared" si="2"/>
        <v>0</v>
      </c>
      <c r="L54" s="3"/>
      <c r="M54" s="22">
        <f t="shared" si="3"/>
        <v>0</v>
      </c>
      <c r="N54" s="3"/>
      <c r="O54" s="22">
        <f t="shared" si="4"/>
        <v>0</v>
      </c>
      <c r="P54" s="43">
        <f t="shared" si="5"/>
        <v>6000</v>
      </c>
    </row>
    <row r="55" spans="1:16" ht="31.5">
      <c r="A55" s="12">
        <v>47</v>
      </c>
      <c r="B55" s="8"/>
      <c r="C55" s="15" t="s">
        <v>14</v>
      </c>
      <c r="D55" s="10" t="s">
        <v>5</v>
      </c>
      <c r="E55" s="1">
        <v>120</v>
      </c>
      <c r="F55" s="2">
        <v>8</v>
      </c>
      <c r="G55" s="22">
        <f t="shared" si="0"/>
        <v>960</v>
      </c>
      <c r="H55" s="22"/>
      <c r="I55" s="22">
        <f t="shared" si="1"/>
        <v>0</v>
      </c>
      <c r="J55" s="22"/>
      <c r="K55" s="22">
        <f t="shared" si="2"/>
        <v>0</v>
      </c>
      <c r="L55" s="3"/>
      <c r="M55" s="22">
        <f t="shared" si="3"/>
        <v>0</v>
      </c>
      <c r="N55" s="3"/>
      <c r="O55" s="22">
        <f t="shared" si="4"/>
        <v>0</v>
      </c>
      <c r="P55" s="43">
        <f t="shared" si="5"/>
        <v>960</v>
      </c>
    </row>
    <row r="56" spans="1:16">
      <c r="A56" s="12">
        <v>48</v>
      </c>
      <c r="B56" s="236" t="s">
        <v>8</v>
      </c>
      <c r="C56" s="13" t="s">
        <v>19</v>
      </c>
      <c r="D56" s="10" t="s">
        <v>5</v>
      </c>
      <c r="E56" s="1">
        <v>250</v>
      </c>
      <c r="F56" s="2">
        <v>3</v>
      </c>
      <c r="G56" s="22">
        <f t="shared" si="0"/>
        <v>750</v>
      </c>
      <c r="H56" s="22"/>
      <c r="I56" s="22">
        <f t="shared" si="1"/>
        <v>0</v>
      </c>
      <c r="J56" s="22"/>
      <c r="K56" s="22">
        <f t="shared" si="2"/>
        <v>0</v>
      </c>
      <c r="L56" s="3"/>
      <c r="M56" s="22">
        <f t="shared" si="3"/>
        <v>0</v>
      </c>
      <c r="N56" s="19"/>
      <c r="O56" s="22">
        <f t="shared" si="4"/>
        <v>0</v>
      </c>
      <c r="P56" s="43">
        <f t="shared" si="5"/>
        <v>750</v>
      </c>
    </row>
    <row r="57" spans="1:16">
      <c r="A57" s="12">
        <v>49</v>
      </c>
      <c r="B57" s="46" t="s">
        <v>20</v>
      </c>
      <c r="C57" s="13" t="s">
        <v>21</v>
      </c>
      <c r="D57" s="10" t="s">
        <v>5</v>
      </c>
      <c r="E57" s="1">
        <v>2000</v>
      </c>
      <c r="F57" s="2">
        <v>2</v>
      </c>
      <c r="G57" s="22">
        <f t="shared" si="0"/>
        <v>4000</v>
      </c>
      <c r="H57" s="22"/>
      <c r="I57" s="22">
        <f t="shared" si="1"/>
        <v>0</v>
      </c>
      <c r="J57" s="22"/>
      <c r="K57" s="22">
        <f t="shared" si="2"/>
        <v>0</v>
      </c>
      <c r="L57" s="3"/>
      <c r="M57" s="22">
        <f t="shared" si="3"/>
        <v>0</v>
      </c>
      <c r="N57" s="19"/>
      <c r="O57" s="22">
        <f t="shared" si="4"/>
        <v>0</v>
      </c>
      <c r="P57" s="43">
        <f t="shared" si="5"/>
        <v>4000</v>
      </c>
    </row>
    <row r="58" spans="1:16" ht="31.5">
      <c r="A58" s="12">
        <v>50</v>
      </c>
      <c r="B58" s="8"/>
      <c r="C58" s="14" t="s">
        <v>26</v>
      </c>
      <c r="D58" s="10" t="s">
        <v>5</v>
      </c>
      <c r="E58" s="1">
        <v>4990</v>
      </c>
      <c r="F58" s="2">
        <v>5</v>
      </c>
      <c r="G58" s="22">
        <f t="shared" si="0"/>
        <v>24950</v>
      </c>
      <c r="H58" s="22"/>
      <c r="I58" s="22">
        <f t="shared" si="1"/>
        <v>0</v>
      </c>
      <c r="J58" s="22"/>
      <c r="K58" s="22">
        <f t="shared" si="2"/>
        <v>0</v>
      </c>
      <c r="L58" s="3"/>
      <c r="M58" s="22">
        <f t="shared" si="3"/>
        <v>0</v>
      </c>
      <c r="N58" s="3"/>
      <c r="O58" s="22">
        <f t="shared" si="4"/>
        <v>0</v>
      </c>
      <c r="P58" s="43">
        <f t="shared" si="5"/>
        <v>24950</v>
      </c>
    </row>
    <row r="59" spans="1:16" ht="31.5">
      <c r="A59" s="12">
        <v>51</v>
      </c>
      <c r="B59" s="46" t="s">
        <v>27</v>
      </c>
      <c r="C59" s="13" t="s">
        <v>28</v>
      </c>
      <c r="D59" s="10" t="s">
        <v>5</v>
      </c>
      <c r="E59" s="1">
        <v>60</v>
      </c>
      <c r="F59" s="2">
        <v>4</v>
      </c>
      <c r="G59" s="22">
        <f t="shared" si="0"/>
        <v>240</v>
      </c>
      <c r="H59" s="22"/>
      <c r="I59" s="22">
        <f t="shared" si="1"/>
        <v>0</v>
      </c>
      <c r="J59" s="22"/>
      <c r="K59" s="22">
        <f t="shared" si="2"/>
        <v>0</v>
      </c>
      <c r="L59" s="3"/>
      <c r="M59" s="22">
        <f t="shared" si="3"/>
        <v>0</v>
      </c>
      <c r="N59" s="3"/>
      <c r="O59" s="22">
        <f t="shared" si="4"/>
        <v>0</v>
      </c>
      <c r="P59" s="43">
        <f t="shared" si="5"/>
        <v>240</v>
      </c>
    </row>
    <row r="60" spans="1:16" ht="31.5">
      <c r="A60" s="12">
        <v>52</v>
      </c>
      <c r="B60" s="8"/>
      <c r="C60" s="13" t="s">
        <v>29</v>
      </c>
      <c r="D60" s="10" t="s">
        <v>5</v>
      </c>
      <c r="E60" s="1">
        <v>110</v>
      </c>
      <c r="F60" s="2">
        <v>10</v>
      </c>
      <c r="G60" s="22">
        <f t="shared" si="0"/>
        <v>1100</v>
      </c>
      <c r="H60" s="22"/>
      <c r="I60" s="22">
        <f t="shared" si="1"/>
        <v>0</v>
      </c>
      <c r="J60" s="22"/>
      <c r="K60" s="22">
        <f t="shared" si="2"/>
        <v>0</v>
      </c>
      <c r="L60" s="3"/>
      <c r="M60" s="22">
        <f t="shared" si="3"/>
        <v>0</v>
      </c>
      <c r="N60" s="3"/>
      <c r="O60" s="22">
        <f t="shared" si="4"/>
        <v>0</v>
      </c>
      <c r="P60" s="43">
        <f t="shared" si="5"/>
        <v>1100</v>
      </c>
    </row>
    <row r="61" spans="1:16" ht="31.5">
      <c r="A61" s="12">
        <v>53</v>
      </c>
      <c r="B61" s="46"/>
      <c r="C61" s="13" t="s">
        <v>33</v>
      </c>
      <c r="D61" s="10" t="s">
        <v>5</v>
      </c>
      <c r="E61" s="1">
        <v>3140.81</v>
      </c>
      <c r="F61" s="2">
        <v>1</v>
      </c>
      <c r="G61" s="22">
        <f t="shared" si="0"/>
        <v>3140.81</v>
      </c>
      <c r="H61" s="22"/>
      <c r="I61" s="22">
        <f t="shared" si="1"/>
        <v>0</v>
      </c>
      <c r="J61" s="22"/>
      <c r="K61" s="22">
        <f t="shared" si="2"/>
        <v>0</v>
      </c>
      <c r="L61" s="3"/>
      <c r="M61" s="22">
        <f t="shared" si="3"/>
        <v>0</v>
      </c>
      <c r="N61" s="3"/>
      <c r="O61" s="22">
        <f t="shared" si="4"/>
        <v>0</v>
      </c>
      <c r="P61" s="43">
        <f t="shared" si="5"/>
        <v>3140.81</v>
      </c>
    </row>
    <row r="62" spans="1:16">
      <c r="A62" s="12">
        <v>54</v>
      </c>
      <c r="B62" s="29" t="s">
        <v>22</v>
      </c>
      <c r="C62" s="13" t="s">
        <v>34</v>
      </c>
      <c r="D62" s="10" t="s">
        <v>5</v>
      </c>
      <c r="E62" s="1">
        <v>11226.25</v>
      </c>
      <c r="F62" s="2">
        <v>4</v>
      </c>
      <c r="G62" s="22">
        <f t="shared" si="0"/>
        <v>44905</v>
      </c>
      <c r="H62" s="22"/>
      <c r="I62" s="22">
        <f t="shared" si="1"/>
        <v>0</v>
      </c>
      <c r="J62" s="22"/>
      <c r="K62" s="22">
        <f t="shared" si="2"/>
        <v>0</v>
      </c>
      <c r="L62" s="3"/>
      <c r="M62" s="22">
        <f t="shared" si="3"/>
        <v>0</v>
      </c>
      <c r="N62" s="3"/>
      <c r="O62" s="22">
        <f t="shared" si="4"/>
        <v>0</v>
      </c>
      <c r="P62" s="43">
        <f t="shared" si="5"/>
        <v>44905</v>
      </c>
    </row>
    <row r="63" spans="1:16">
      <c r="A63" s="12">
        <v>55</v>
      </c>
      <c r="B63" s="29" t="s">
        <v>35</v>
      </c>
      <c r="C63" s="13" t="s">
        <v>36</v>
      </c>
      <c r="D63" s="10" t="s">
        <v>5</v>
      </c>
      <c r="E63" s="1">
        <v>31720.29</v>
      </c>
      <c r="F63" s="2">
        <v>4</v>
      </c>
      <c r="G63" s="22">
        <f t="shared" si="0"/>
        <v>126881.16</v>
      </c>
      <c r="H63" s="22"/>
      <c r="I63" s="22">
        <f t="shared" si="1"/>
        <v>0</v>
      </c>
      <c r="J63" s="22"/>
      <c r="K63" s="22">
        <f t="shared" si="2"/>
        <v>0</v>
      </c>
      <c r="L63" s="3"/>
      <c r="M63" s="22">
        <f t="shared" si="3"/>
        <v>0</v>
      </c>
      <c r="N63" s="3"/>
      <c r="O63" s="22">
        <f t="shared" si="4"/>
        <v>0</v>
      </c>
      <c r="P63" s="43">
        <f t="shared" si="5"/>
        <v>126881.16</v>
      </c>
    </row>
    <row r="64" spans="1:16" ht="31.5">
      <c r="A64" s="12">
        <v>56</v>
      </c>
      <c r="B64" s="29" t="s">
        <v>38</v>
      </c>
      <c r="C64" s="25" t="s">
        <v>39</v>
      </c>
      <c r="D64" s="4" t="s">
        <v>40</v>
      </c>
      <c r="E64" s="4">
        <v>1129.33</v>
      </c>
      <c r="F64" s="1">
        <v>2</v>
      </c>
      <c r="G64" s="22">
        <f t="shared" si="0"/>
        <v>2258.66</v>
      </c>
      <c r="H64" s="22"/>
      <c r="I64" s="22">
        <f t="shared" si="1"/>
        <v>0</v>
      </c>
      <c r="J64" s="22"/>
      <c r="K64" s="22">
        <f t="shared" si="2"/>
        <v>0</v>
      </c>
      <c r="L64" s="3"/>
      <c r="M64" s="22">
        <f t="shared" si="3"/>
        <v>0</v>
      </c>
      <c r="N64" s="3"/>
      <c r="O64" s="22">
        <f t="shared" si="4"/>
        <v>0</v>
      </c>
      <c r="P64" s="43">
        <f t="shared" si="5"/>
        <v>2258.66</v>
      </c>
    </row>
    <row r="65" spans="1:16" ht="94.5">
      <c r="A65" s="12">
        <v>57</v>
      </c>
      <c r="B65" s="46"/>
      <c r="C65" s="25" t="s">
        <v>41</v>
      </c>
      <c r="D65" s="4" t="s">
        <v>37</v>
      </c>
      <c r="E65" s="1">
        <v>124848.87</v>
      </c>
      <c r="F65" s="1">
        <v>1</v>
      </c>
      <c r="G65" s="22">
        <f t="shared" si="0"/>
        <v>124848.87</v>
      </c>
      <c r="H65" s="22"/>
      <c r="I65" s="22">
        <f t="shared" si="1"/>
        <v>0</v>
      </c>
      <c r="J65" s="22"/>
      <c r="K65" s="22">
        <f t="shared" si="2"/>
        <v>0</v>
      </c>
      <c r="L65" s="3"/>
      <c r="M65" s="22">
        <f t="shared" si="3"/>
        <v>0</v>
      </c>
      <c r="N65" s="2"/>
      <c r="O65" s="22">
        <f t="shared" si="4"/>
        <v>0</v>
      </c>
      <c r="P65" s="43">
        <f t="shared" si="5"/>
        <v>124848.87</v>
      </c>
    </row>
    <row r="66" spans="1:16" ht="47.25">
      <c r="A66" s="12">
        <v>58</v>
      </c>
      <c r="B66" s="236" t="s">
        <v>42</v>
      </c>
      <c r="C66" s="25" t="s">
        <v>43</v>
      </c>
      <c r="D66" s="4" t="s">
        <v>37</v>
      </c>
      <c r="E66" s="1">
        <v>37455</v>
      </c>
      <c r="F66" s="1">
        <v>2</v>
      </c>
      <c r="G66" s="22">
        <f t="shared" si="0"/>
        <v>74910</v>
      </c>
      <c r="H66" s="22"/>
      <c r="I66" s="22">
        <f t="shared" si="1"/>
        <v>0</v>
      </c>
      <c r="J66" s="22"/>
      <c r="K66" s="22">
        <f t="shared" si="2"/>
        <v>0</v>
      </c>
      <c r="L66" s="3"/>
      <c r="M66" s="22">
        <f t="shared" si="3"/>
        <v>0</v>
      </c>
      <c r="N66" s="2"/>
      <c r="O66" s="22">
        <f t="shared" si="4"/>
        <v>0</v>
      </c>
      <c r="P66" s="43">
        <f t="shared" si="5"/>
        <v>74910</v>
      </c>
    </row>
    <row r="67" spans="1:16" ht="31.5">
      <c r="A67" s="12">
        <v>59</v>
      </c>
      <c r="B67" s="46" t="s">
        <v>44</v>
      </c>
      <c r="C67" s="25" t="s">
        <v>45</v>
      </c>
      <c r="D67" s="4" t="s">
        <v>46</v>
      </c>
      <c r="E67" s="1">
        <v>100</v>
      </c>
      <c r="F67" s="1">
        <v>27</v>
      </c>
      <c r="G67" s="22">
        <f t="shared" si="0"/>
        <v>2700</v>
      </c>
      <c r="H67" s="22"/>
      <c r="I67" s="22">
        <f t="shared" si="1"/>
        <v>0</v>
      </c>
      <c r="J67" s="22"/>
      <c r="K67" s="22">
        <f t="shared" si="2"/>
        <v>0</v>
      </c>
      <c r="L67" s="2"/>
      <c r="M67" s="22">
        <f t="shared" si="3"/>
        <v>0</v>
      </c>
      <c r="N67" s="3"/>
      <c r="O67" s="22">
        <f t="shared" si="4"/>
        <v>0</v>
      </c>
      <c r="P67" s="43">
        <f t="shared" si="5"/>
        <v>2700</v>
      </c>
    </row>
    <row r="68" spans="1:16" ht="47.25">
      <c r="A68" s="12">
        <v>60</v>
      </c>
      <c r="B68" s="183" t="s">
        <v>107</v>
      </c>
      <c r="C68" s="227" t="s">
        <v>49</v>
      </c>
      <c r="D68" s="4" t="s">
        <v>7</v>
      </c>
      <c r="E68" s="4">
        <v>100</v>
      </c>
      <c r="F68" s="1">
        <v>770</v>
      </c>
      <c r="G68" s="22">
        <f t="shared" si="0"/>
        <v>77000</v>
      </c>
      <c r="H68" s="22"/>
      <c r="I68" s="22">
        <f t="shared" si="1"/>
        <v>0</v>
      </c>
      <c r="J68" s="22"/>
      <c r="K68" s="22">
        <f t="shared" si="2"/>
        <v>0</v>
      </c>
      <c r="L68" s="3"/>
      <c r="M68" s="22">
        <f t="shared" si="3"/>
        <v>0</v>
      </c>
      <c r="N68" s="3"/>
      <c r="O68" s="22">
        <f t="shared" si="4"/>
        <v>0</v>
      </c>
      <c r="P68" s="43">
        <f t="shared" si="5"/>
        <v>77000</v>
      </c>
    </row>
    <row r="69" spans="1:16" ht="47.25">
      <c r="A69" s="12">
        <v>61</v>
      </c>
      <c r="B69" s="29" t="s">
        <v>50</v>
      </c>
      <c r="C69" s="227" t="s">
        <v>51</v>
      </c>
      <c r="D69" s="4" t="s">
        <v>37</v>
      </c>
      <c r="E69" s="4">
        <v>783.15</v>
      </c>
      <c r="F69" s="1">
        <v>4</v>
      </c>
      <c r="G69" s="22">
        <f t="shared" si="0"/>
        <v>3132.6</v>
      </c>
      <c r="H69" s="22"/>
      <c r="I69" s="22">
        <f t="shared" si="1"/>
        <v>0</v>
      </c>
      <c r="J69" s="22"/>
      <c r="K69" s="22">
        <f t="shared" si="2"/>
        <v>0</v>
      </c>
      <c r="L69" s="3"/>
      <c r="M69" s="22">
        <f t="shared" si="3"/>
        <v>0</v>
      </c>
      <c r="N69" s="3"/>
      <c r="O69" s="22">
        <f t="shared" si="4"/>
        <v>0</v>
      </c>
      <c r="P69" s="43">
        <f t="shared" si="5"/>
        <v>3132.6</v>
      </c>
    </row>
    <row r="70" spans="1:16" ht="78.75">
      <c r="A70" s="12">
        <v>62</v>
      </c>
      <c r="B70" s="46" t="s">
        <v>52</v>
      </c>
      <c r="C70" s="25" t="s">
        <v>53</v>
      </c>
      <c r="D70" s="4" t="s">
        <v>37</v>
      </c>
      <c r="E70" s="4">
        <v>56523</v>
      </c>
      <c r="F70" s="1">
        <v>1</v>
      </c>
      <c r="G70" s="22">
        <f t="shared" si="0"/>
        <v>56523</v>
      </c>
      <c r="H70" s="22"/>
      <c r="I70" s="22">
        <f t="shared" si="1"/>
        <v>0</v>
      </c>
      <c r="J70" s="22"/>
      <c r="K70" s="22">
        <f t="shared" si="2"/>
        <v>0</v>
      </c>
      <c r="L70" s="3"/>
      <c r="M70" s="22">
        <f t="shared" si="3"/>
        <v>0</v>
      </c>
      <c r="N70" s="2"/>
      <c r="O70" s="22">
        <f t="shared" si="4"/>
        <v>0</v>
      </c>
      <c r="P70" s="43">
        <f t="shared" si="5"/>
        <v>56523</v>
      </c>
    </row>
    <row r="71" spans="1:16" ht="78.75">
      <c r="A71" s="12">
        <v>63</v>
      </c>
      <c r="B71" s="46" t="s">
        <v>54</v>
      </c>
      <c r="C71" s="16" t="s">
        <v>55</v>
      </c>
      <c r="D71" s="4" t="s">
        <v>37</v>
      </c>
      <c r="E71" s="4">
        <v>8824.6299999999992</v>
      </c>
      <c r="F71" s="1">
        <v>2</v>
      </c>
      <c r="G71" s="22">
        <f t="shared" si="0"/>
        <v>17649.259999999998</v>
      </c>
      <c r="H71" s="22"/>
      <c r="I71" s="22">
        <f t="shared" si="1"/>
        <v>0</v>
      </c>
      <c r="J71" s="22"/>
      <c r="K71" s="22">
        <f t="shared" si="2"/>
        <v>0</v>
      </c>
      <c r="L71" s="3"/>
      <c r="M71" s="22">
        <f t="shared" si="3"/>
        <v>0</v>
      </c>
      <c r="N71" s="3"/>
      <c r="O71" s="22">
        <f t="shared" si="4"/>
        <v>0</v>
      </c>
      <c r="P71" s="43">
        <f t="shared" si="5"/>
        <v>17649.259999999998</v>
      </c>
    </row>
    <row r="72" spans="1:16" ht="31.5">
      <c r="A72" s="12">
        <v>64</v>
      </c>
      <c r="B72" s="46" t="s">
        <v>58</v>
      </c>
      <c r="C72" s="232" t="s">
        <v>59</v>
      </c>
      <c r="D72" s="4" t="s">
        <v>46</v>
      </c>
      <c r="E72" s="4">
        <v>183.2</v>
      </c>
      <c r="F72" s="1">
        <v>50</v>
      </c>
      <c r="G72" s="22">
        <f t="shared" si="0"/>
        <v>9160</v>
      </c>
      <c r="H72" s="22"/>
      <c r="I72" s="22">
        <f t="shared" si="1"/>
        <v>0</v>
      </c>
      <c r="J72" s="22"/>
      <c r="K72" s="22">
        <f t="shared" si="2"/>
        <v>0</v>
      </c>
      <c r="L72" s="3"/>
      <c r="M72" s="22">
        <f t="shared" si="3"/>
        <v>0</v>
      </c>
      <c r="N72" s="3"/>
      <c r="O72" s="22">
        <f t="shared" si="4"/>
        <v>0</v>
      </c>
      <c r="P72" s="43">
        <f t="shared" si="5"/>
        <v>9160</v>
      </c>
    </row>
    <row r="73" spans="1:16" ht="63">
      <c r="A73" s="12">
        <v>65</v>
      </c>
      <c r="B73" s="46" t="s">
        <v>60</v>
      </c>
      <c r="C73" s="16" t="s">
        <v>61</v>
      </c>
      <c r="D73" s="4" t="s">
        <v>37</v>
      </c>
      <c r="E73" s="4">
        <v>5357.2</v>
      </c>
      <c r="F73" s="4">
        <v>2</v>
      </c>
      <c r="G73" s="22">
        <f t="shared" si="0"/>
        <v>10714.4</v>
      </c>
      <c r="H73" s="22"/>
      <c r="I73" s="22">
        <f t="shared" si="1"/>
        <v>0</v>
      </c>
      <c r="J73" s="22"/>
      <c r="K73" s="22">
        <f t="shared" si="2"/>
        <v>0</v>
      </c>
      <c r="L73" s="3"/>
      <c r="M73" s="22">
        <f t="shared" si="3"/>
        <v>0</v>
      </c>
      <c r="N73" s="3"/>
      <c r="O73" s="22">
        <f t="shared" si="4"/>
        <v>0</v>
      </c>
      <c r="P73" s="43">
        <f t="shared" si="5"/>
        <v>10714.4</v>
      </c>
    </row>
    <row r="74" spans="1:16" ht="31.5">
      <c r="A74" s="12">
        <v>66</v>
      </c>
      <c r="B74" s="46" t="s">
        <v>71</v>
      </c>
      <c r="C74" s="18" t="s">
        <v>72</v>
      </c>
      <c r="D74" s="5" t="s">
        <v>67</v>
      </c>
      <c r="E74" s="220">
        <v>203700</v>
      </c>
      <c r="F74" s="5">
        <v>0.14000000000000001</v>
      </c>
      <c r="G74" s="22">
        <f t="shared" si="0"/>
        <v>28518.000000000004</v>
      </c>
      <c r="H74" s="22"/>
      <c r="I74" s="22">
        <f t="shared" si="1"/>
        <v>0</v>
      </c>
      <c r="J74" s="22"/>
      <c r="K74" s="22">
        <f t="shared" si="2"/>
        <v>0</v>
      </c>
      <c r="L74" s="228"/>
      <c r="M74" s="22">
        <f t="shared" si="3"/>
        <v>0</v>
      </c>
      <c r="N74" s="228"/>
      <c r="O74" s="22">
        <f t="shared" si="4"/>
        <v>0</v>
      </c>
      <c r="P74" s="43">
        <f t="shared" si="5"/>
        <v>28518.000000000004</v>
      </c>
    </row>
    <row r="75" spans="1:16" ht="31.5">
      <c r="A75" s="12">
        <v>67</v>
      </c>
      <c r="B75" s="46" t="s">
        <v>70</v>
      </c>
      <c r="C75" s="229" t="s">
        <v>75</v>
      </c>
      <c r="D75" s="5" t="s">
        <v>76</v>
      </c>
      <c r="E75" s="5">
        <v>73.16</v>
      </c>
      <c r="F75" s="5">
        <v>209</v>
      </c>
      <c r="G75" s="22">
        <f t="shared" si="0"/>
        <v>15290.439999999999</v>
      </c>
      <c r="H75" s="22"/>
      <c r="I75" s="22">
        <f t="shared" si="1"/>
        <v>0</v>
      </c>
      <c r="J75" s="22"/>
      <c r="K75" s="22">
        <f t="shared" si="2"/>
        <v>0</v>
      </c>
      <c r="L75" s="228"/>
      <c r="M75" s="22">
        <f t="shared" si="3"/>
        <v>0</v>
      </c>
      <c r="N75" s="228"/>
      <c r="O75" s="22">
        <f t="shared" si="4"/>
        <v>0</v>
      </c>
      <c r="P75" s="43">
        <f t="shared" si="5"/>
        <v>15290.439999999999</v>
      </c>
    </row>
    <row r="76" spans="1:16" ht="47.25">
      <c r="A76" s="12">
        <v>68</v>
      </c>
      <c r="B76" s="46"/>
      <c r="C76" s="18" t="s">
        <v>78</v>
      </c>
      <c r="D76" s="5" t="s">
        <v>37</v>
      </c>
      <c r="E76" s="5">
        <v>176539.8</v>
      </c>
      <c r="F76" s="5">
        <v>1</v>
      </c>
      <c r="G76" s="22">
        <f t="shared" si="0"/>
        <v>176539.8</v>
      </c>
      <c r="H76" s="22"/>
      <c r="I76" s="22">
        <f t="shared" si="1"/>
        <v>0</v>
      </c>
      <c r="J76" s="22"/>
      <c r="K76" s="22">
        <f t="shared" si="2"/>
        <v>0</v>
      </c>
      <c r="L76" s="228"/>
      <c r="M76" s="22">
        <f t="shared" si="3"/>
        <v>0</v>
      </c>
      <c r="N76" s="228"/>
      <c r="O76" s="22">
        <f t="shared" si="4"/>
        <v>0</v>
      </c>
      <c r="P76" s="43">
        <f t="shared" si="5"/>
        <v>176539.8</v>
      </c>
    </row>
    <row r="77" spans="1:16" ht="47.25">
      <c r="A77" s="12">
        <v>69</v>
      </c>
      <c r="B77" s="46"/>
      <c r="C77" s="18" t="s">
        <v>79</v>
      </c>
      <c r="D77" s="5" t="s">
        <v>37</v>
      </c>
      <c r="E77" s="220">
        <v>188309.12</v>
      </c>
      <c r="F77" s="5">
        <v>1</v>
      </c>
      <c r="G77" s="22">
        <f t="shared" ref="G77:G124" si="16">E77*F77</f>
        <v>188309.12</v>
      </c>
      <c r="H77" s="22"/>
      <c r="I77" s="22">
        <f t="shared" ref="I77:I124" si="17">H77*E77</f>
        <v>0</v>
      </c>
      <c r="J77" s="22"/>
      <c r="K77" s="22">
        <f t="shared" ref="K77:K124" si="18">J77*E77</f>
        <v>0</v>
      </c>
      <c r="L77" s="228"/>
      <c r="M77" s="22">
        <f t="shared" ref="M77:M124" si="19">L77*E77</f>
        <v>0</v>
      </c>
      <c r="N77" s="228"/>
      <c r="O77" s="22">
        <f t="shared" ref="O77:O124" si="20">N77*E77</f>
        <v>0</v>
      </c>
      <c r="P77" s="43">
        <f t="shared" ref="P77:P124" si="21">O77+M77+K77+I77+G77</f>
        <v>188309.12</v>
      </c>
    </row>
    <row r="78" spans="1:16" ht="31.5">
      <c r="A78" s="12">
        <v>70</v>
      </c>
      <c r="B78" s="8" t="s">
        <v>18</v>
      </c>
      <c r="C78" s="232" t="s">
        <v>89</v>
      </c>
      <c r="D78" s="9" t="s">
        <v>37</v>
      </c>
      <c r="E78" s="237">
        <v>10000</v>
      </c>
      <c r="F78" s="142">
        <v>1</v>
      </c>
      <c r="G78" s="22">
        <f t="shared" si="16"/>
        <v>10000</v>
      </c>
      <c r="H78" s="22"/>
      <c r="I78" s="22">
        <f t="shared" si="17"/>
        <v>0</v>
      </c>
      <c r="J78" s="22"/>
      <c r="K78" s="22">
        <f t="shared" si="18"/>
        <v>0</v>
      </c>
      <c r="L78" s="228"/>
      <c r="M78" s="22">
        <f t="shared" si="19"/>
        <v>0</v>
      </c>
      <c r="N78" s="228"/>
      <c r="O78" s="22">
        <f t="shared" si="20"/>
        <v>0</v>
      </c>
      <c r="P78" s="43">
        <f t="shared" si="21"/>
        <v>10000</v>
      </c>
    </row>
    <row r="79" spans="1:16" ht="31.5">
      <c r="A79" s="12">
        <v>71</v>
      </c>
      <c r="B79" s="226" t="s">
        <v>102</v>
      </c>
      <c r="C79" s="232" t="s">
        <v>94</v>
      </c>
      <c r="D79" s="5" t="s">
        <v>37</v>
      </c>
      <c r="E79" s="47">
        <v>190586.52</v>
      </c>
      <c r="F79" s="9">
        <v>1</v>
      </c>
      <c r="G79" s="22">
        <f t="shared" si="16"/>
        <v>190586.52</v>
      </c>
      <c r="H79" s="22"/>
      <c r="I79" s="22">
        <f t="shared" si="17"/>
        <v>0</v>
      </c>
      <c r="J79" s="22"/>
      <c r="K79" s="22">
        <f t="shared" si="18"/>
        <v>0</v>
      </c>
      <c r="L79" s="228"/>
      <c r="M79" s="22">
        <f t="shared" si="19"/>
        <v>0</v>
      </c>
      <c r="N79" s="228"/>
      <c r="O79" s="22">
        <f t="shared" si="20"/>
        <v>0</v>
      </c>
      <c r="P79" s="43">
        <f t="shared" si="21"/>
        <v>190586.52</v>
      </c>
    </row>
    <row r="80" spans="1:16" ht="47.25">
      <c r="A80" s="12">
        <v>72</v>
      </c>
      <c r="B80" s="23"/>
      <c r="C80" s="161" t="s">
        <v>138</v>
      </c>
      <c r="D80" s="28" t="s">
        <v>37</v>
      </c>
      <c r="E80" s="28">
        <v>5000</v>
      </c>
      <c r="F80" s="28">
        <v>3</v>
      </c>
      <c r="G80" s="22">
        <f>E80*F80</f>
        <v>15000</v>
      </c>
      <c r="H80" s="22"/>
      <c r="I80" s="22">
        <f>H80*E80</f>
        <v>0</v>
      </c>
      <c r="J80" s="22"/>
      <c r="K80" s="22">
        <f>J80*E80</f>
        <v>0</v>
      </c>
      <c r="L80" s="22"/>
      <c r="M80" s="22">
        <f>L80*E80</f>
        <v>0</v>
      </c>
      <c r="N80" s="22"/>
      <c r="O80" s="22">
        <f>N80*E80</f>
        <v>0</v>
      </c>
      <c r="P80" s="43">
        <f>O80+M80+K80+I80+G80</f>
        <v>15000</v>
      </c>
    </row>
    <row r="81" spans="1:16" ht="47.25">
      <c r="A81" s="12">
        <v>73</v>
      </c>
      <c r="B81" s="226" t="s">
        <v>103</v>
      </c>
      <c r="C81" s="232" t="s">
        <v>95</v>
      </c>
      <c r="D81" s="5" t="s">
        <v>37</v>
      </c>
      <c r="E81" s="47">
        <v>58823</v>
      </c>
      <c r="F81" s="9">
        <v>1</v>
      </c>
      <c r="G81" s="22">
        <f t="shared" si="16"/>
        <v>58823</v>
      </c>
      <c r="H81" s="22"/>
      <c r="I81" s="22">
        <f t="shared" si="17"/>
        <v>0</v>
      </c>
      <c r="J81" s="22"/>
      <c r="K81" s="22">
        <f t="shared" si="18"/>
        <v>0</v>
      </c>
      <c r="L81" s="228"/>
      <c r="M81" s="22">
        <f t="shared" si="19"/>
        <v>0</v>
      </c>
      <c r="N81" s="228"/>
      <c r="O81" s="22">
        <f t="shared" si="20"/>
        <v>0</v>
      </c>
      <c r="P81" s="43">
        <f t="shared" si="21"/>
        <v>58823</v>
      </c>
    </row>
    <row r="82" spans="1:16" ht="78.75">
      <c r="A82" s="12">
        <v>74</v>
      </c>
      <c r="B82" s="226" t="s">
        <v>104</v>
      </c>
      <c r="C82" s="26" t="s">
        <v>96</v>
      </c>
      <c r="D82" s="5" t="s">
        <v>37</v>
      </c>
      <c r="E82" s="9">
        <v>15635</v>
      </c>
      <c r="F82" s="9">
        <v>2</v>
      </c>
      <c r="G82" s="22">
        <f t="shared" si="16"/>
        <v>31270</v>
      </c>
      <c r="H82" s="22"/>
      <c r="I82" s="22">
        <f t="shared" si="17"/>
        <v>0</v>
      </c>
      <c r="J82" s="22"/>
      <c r="K82" s="22">
        <f t="shared" si="18"/>
        <v>0</v>
      </c>
      <c r="L82" s="228"/>
      <c r="M82" s="22">
        <f t="shared" si="19"/>
        <v>0</v>
      </c>
      <c r="N82" s="228"/>
      <c r="O82" s="22">
        <f t="shared" si="20"/>
        <v>0</v>
      </c>
      <c r="P82" s="43">
        <f t="shared" si="21"/>
        <v>31270</v>
      </c>
    </row>
    <row r="83" spans="1:16" ht="78.75">
      <c r="A83" s="12">
        <v>75</v>
      </c>
      <c r="B83" s="56" t="s">
        <v>105</v>
      </c>
      <c r="C83" s="26" t="s">
        <v>97</v>
      </c>
      <c r="D83" s="5" t="s">
        <v>37</v>
      </c>
      <c r="E83" s="9">
        <v>9115.5</v>
      </c>
      <c r="F83" s="9">
        <v>2</v>
      </c>
      <c r="G83" s="22">
        <f t="shared" si="16"/>
        <v>18231</v>
      </c>
      <c r="H83" s="22"/>
      <c r="I83" s="22">
        <f t="shared" si="17"/>
        <v>0</v>
      </c>
      <c r="J83" s="22"/>
      <c r="K83" s="22">
        <f t="shared" si="18"/>
        <v>0</v>
      </c>
      <c r="L83" s="228"/>
      <c r="M83" s="22">
        <f t="shared" si="19"/>
        <v>0</v>
      </c>
      <c r="N83" s="228"/>
      <c r="O83" s="22">
        <f t="shared" si="20"/>
        <v>0</v>
      </c>
      <c r="P83" s="43">
        <f t="shared" si="21"/>
        <v>18231</v>
      </c>
    </row>
    <row r="84" spans="1:16" ht="78.75">
      <c r="A84" s="12">
        <v>76</v>
      </c>
      <c r="B84" s="226" t="s">
        <v>16</v>
      </c>
      <c r="C84" s="26" t="s">
        <v>98</v>
      </c>
      <c r="D84" s="5" t="s">
        <v>37</v>
      </c>
      <c r="E84" s="9">
        <v>5723</v>
      </c>
      <c r="F84" s="9">
        <v>2</v>
      </c>
      <c r="G84" s="22">
        <f t="shared" si="16"/>
        <v>11446</v>
      </c>
      <c r="H84" s="22"/>
      <c r="I84" s="22">
        <f t="shared" si="17"/>
        <v>0</v>
      </c>
      <c r="J84" s="22"/>
      <c r="K84" s="22">
        <f t="shared" si="18"/>
        <v>0</v>
      </c>
      <c r="L84" s="228"/>
      <c r="M84" s="22">
        <f t="shared" si="19"/>
        <v>0</v>
      </c>
      <c r="N84" s="228"/>
      <c r="O84" s="22">
        <f t="shared" si="20"/>
        <v>0</v>
      </c>
      <c r="P84" s="43">
        <f t="shared" si="21"/>
        <v>11446</v>
      </c>
    </row>
    <row r="85" spans="1:16" ht="47.25">
      <c r="A85" s="12">
        <v>77</v>
      </c>
      <c r="B85" s="231" t="s">
        <v>101</v>
      </c>
      <c r="C85" s="232" t="s">
        <v>99</v>
      </c>
      <c r="D85" s="5" t="s">
        <v>62</v>
      </c>
      <c r="E85" s="47">
        <v>171750</v>
      </c>
      <c r="F85" s="9">
        <v>2</v>
      </c>
      <c r="G85" s="22">
        <f t="shared" si="16"/>
        <v>343500</v>
      </c>
      <c r="H85" s="22"/>
      <c r="I85" s="22">
        <f t="shared" si="17"/>
        <v>0</v>
      </c>
      <c r="J85" s="22"/>
      <c r="K85" s="22">
        <f t="shared" si="18"/>
        <v>0</v>
      </c>
      <c r="L85" s="228"/>
      <c r="M85" s="22">
        <f t="shared" si="19"/>
        <v>0</v>
      </c>
      <c r="N85" s="228"/>
      <c r="O85" s="22">
        <f t="shared" si="20"/>
        <v>0</v>
      </c>
      <c r="P85" s="43">
        <f t="shared" si="21"/>
        <v>343500</v>
      </c>
    </row>
    <row r="86" spans="1:16" ht="47.25">
      <c r="A86" s="12">
        <v>78</v>
      </c>
      <c r="B86" s="23"/>
      <c r="C86" s="161" t="s">
        <v>140</v>
      </c>
      <c r="D86" s="28" t="s">
        <v>37</v>
      </c>
      <c r="E86" s="28">
        <v>35000</v>
      </c>
      <c r="F86" s="28">
        <v>1</v>
      </c>
      <c r="G86" s="22">
        <f t="shared" si="16"/>
        <v>35000</v>
      </c>
      <c r="H86" s="22"/>
      <c r="I86" s="22">
        <f t="shared" si="17"/>
        <v>0</v>
      </c>
      <c r="J86" s="22"/>
      <c r="K86" s="22">
        <f t="shared" si="18"/>
        <v>0</v>
      </c>
      <c r="L86" s="22"/>
      <c r="M86" s="22">
        <f t="shared" si="19"/>
        <v>0</v>
      </c>
      <c r="N86" s="22"/>
      <c r="O86" s="22">
        <f t="shared" si="20"/>
        <v>0</v>
      </c>
      <c r="P86" s="43">
        <f t="shared" si="21"/>
        <v>35000</v>
      </c>
    </row>
    <row r="87" spans="1:16" ht="31.5">
      <c r="A87" s="12">
        <v>79</v>
      </c>
      <c r="B87" s="23" t="s">
        <v>147</v>
      </c>
      <c r="C87" s="161" t="s">
        <v>146</v>
      </c>
      <c r="D87" s="28" t="s">
        <v>7</v>
      </c>
      <c r="E87" s="27">
        <v>6454.6</v>
      </c>
      <c r="F87" s="28">
        <v>18</v>
      </c>
      <c r="G87" s="22">
        <f t="shared" si="16"/>
        <v>116182.8</v>
      </c>
      <c r="H87" s="22"/>
      <c r="I87" s="22">
        <f t="shared" si="17"/>
        <v>0</v>
      </c>
      <c r="J87" s="22"/>
      <c r="K87" s="22">
        <f t="shared" si="18"/>
        <v>0</v>
      </c>
      <c r="L87" s="22"/>
      <c r="M87" s="22">
        <f t="shared" si="19"/>
        <v>0</v>
      </c>
      <c r="N87" s="22"/>
      <c r="O87" s="22">
        <f t="shared" si="20"/>
        <v>0</v>
      </c>
      <c r="P87" s="43">
        <f t="shared" si="21"/>
        <v>116182.8</v>
      </c>
    </row>
    <row r="88" spans="1:16" ht="63">
      <c r="A88" s="12">
        <v>80</v>
      </c>
      <c r="B88" s="23" t="s">
        <v>15</v>
      </c>
      <c r="C88" s="20" t="s">
        <v>148</v>
      </c>
      <c r="D88" s="28" t="s">
        <v>62</v>
      </c>
      <c r="E88" s="28">
        <v>19458.2</v>
      </c>
      <c r="F88" s="28">
        <v>1</v>
      </c>
      <c r="G88" s="22">
        <f t="shared" si="16"/>
        <v>19458.2</v>
      </c>
      <c r="H88" s="22"/>
      <c r="I88" s="22">
        <f t="shared" si="17"/>
        <v>0</v>
      </c>
      <c r="J88" s="22"/>
      <c r="K88" s="22">
        <f t="shared" si="18"/>
        <v>0</v>
      </c>
      <c r="L88" s="22"/>
      <c r="M88" s="22">
        <f t="shared" si="19"/>
        <v>0</v>
      </c>
      <c r="N88" s="22"/>
      <c r="O88" s="22">
        <f t="shared" si="20"/>
        <v>0</v>
      </c>
      <c r="P88" s="43">
        <f t="shared" si="21"/>
        <v>19458.2</v>
      </c>
    </row>
    <row r="89" spans="1:16" ht="63">
      <c r="A89" s="12">
        <v>81</v>
      </c>
      <c r="B89" s="23" t="s">
        <v>154</v>
      </c>
      <c r="C89" s="20" t="s">
        <v>149</v>
      </c>
      <c r="D89" s="28" t="s">
        <v>62</v>
      </c>
      <c r="E89" s="28">
        <v>19458.2</v>
      </c>
      <c r="F89" s="28">
        <v>1</v>
      </c>
      <c r="G89" s="22">
        <f t="shared" si="16"/>
        <v>19458.2</v>
      </c>
      <c r="H89" s="22"/>
      <c r="I89" s="22">
        <f t="shared" si="17"/>
        <v>0</v>
      </c>
      <c r="J89" s="22"/>
      <c r="K89" s="22">
        <f t="shared" si="18"/>
        <v>0</v>
      </c>
      <c r="L89" s="22"/>
      <c r="M89" s="22">
        <f t="shared" si="19"/>
        <v>0</v>
      </c>
      <c r="N89" s="22"/>
      <c r="O89" s="22">
        <f t="shared" si="20"/>
        <v>0</v>
      </c>
      <c r="P89" s="43">
        <f t="shared" si="21"/>
        <v>19458.2</v>
      </c>
    </row>
    <row r="90" spans="1:16" ht="94.5">
      <c r="A90" s="12">
        <v>82</v>
      </c>
      <c r="B90" s="23" t="s">
        <v>15</v>
      </c>
      <c r="C90" s="20" t="s">
        <v>150</v>
      </c>
      <c r="D90" s="28" t="s">
        <v>62</v>
      </c>
      <c r="E90" s="28">
        <v>21238.82</v>
      </c>
      <c r="F90" s="28">
        <v>1</v>
      </c>
      <c r="G90" s="22">
        <f t="shared" si="16"/>
        <v>21238.82</v>
      </c>
      <c r="H90" s="22"/>
      <c r="I90" s="22">
        <f t="shared" si="17"/>
        <v>0</v>
      </c>
      <c r="J90" s="22"/>
      <c r="K90" s="22">
        <f t="shared" si="18"/>
        <v>0</v>
      </c>
      <c r="L90" s="22"/>
      <c r="M90" s="22">
        <f t="shared" si="19"/>
        <v>0</v>
      </c>
      <c r="N90" s="22"/>
      <c r="O90" s="22">
        <f t="shared" si="20"/>
        <v>0</v>
      </c>
      <c r="P90" s="43">
        <f t="shared" si="21"/>
        <v>21238.82</v>
      </c>
    </row>
    <row r="91" spans="1:16" ht="94.5">
      <c r="A91" s="12">
        <v>83</v>
      </c>
      <c r="B91" s="23" t="s">
        <v>154</v>
      </c>
      <c r="C91" s="20" t="s">
        <v>151</v>
      </c>
      <c r="D91" s="28" t="s">
        <v>62</v>
      </c>
      <c r="E91" s="28">
        <v>21238.82</v>
      </c>
      <c r="F91" s="28">
        <v>1</v>
      </c>
      <c r="G91" s="22">
        <f t="shared" si="16"/>
        <v>21238.82</v>
      </c>
      <c r="H91" s="22"/>
      <c r="I91" s="22">
        <f t="shared" si="17"/>
        <v>0</v>
      </c>
      <c r="J91" s="22"/>
      <c r="K91" s="22">
        <f t="shared" si="18"/>
        <v>0</v>
      </c>
      <c r="L91" s="22"/>
      <c r="M91" s="22">
        <f t="shared" si="19"/>
        <v>0</v>
      </c>
      <c r="N91" s="22"/>
      <c r="O91" s="22">
        <f t="shared" si="20"/>
        <v>0</v>
      </c>
      <c r="P91" s="43">
        <f t="shared" si="21"/>
        <v>21238.82</v>
      </c>
    </row>
    <row r="92" spans="1:16" ht="63">
      <c r="A92" s="12">
        <v>84</v>
      </c>
      <c r="B92" s="23" t="s">
        <v>155</v>
      </c>
      <c r="C92" s="20" t="s">
        <v>152</v>
      </c>
      <c r="D92" s="28" t="s">
        <v>62</v>
      </c>
      <c r="E92" s="28">
        <v>17694.099999999999</v>
      </c>
      <c r="F92" s="28">
        <v>1</v>
      </c>
      <c r="G92" s="22">
        <f t="shared" si="16"/>
        <v>17694.099999999999</v>
      </c>
      <c r="H92" s="22"/>
      <c r="I92" s="22">
        <f t="shared" si="17"/>
        <v>0</v>
      </c>
      <c r="J92" s="22"/>
      <c r="K92" s="22">
        <f t="shared" si="18"/>
        <v>0</v>
      </c>
      <c r="L92" s="22"/>
      <c r="M92" s="22">
        <f t="shared" si="19"/>
        <v>0</v>
      </c>
      <c r="N92" s="22"/>
      <c r="O92" s="22">
        <f t="shared" si="20"/>
        <v>0</v>
      </c>
      <c r="P92" s="43">
        <f t="shared" si="21"/>
        <v>17694.099999999999</v>
      </c>
    </row>
    <row r="93" spans="1:16" ht="63">
      <c r="A93" s="12">
        <v>85</v>
      </c>
      <c r="B93" s="23" t="s">
        <v>156</v>
      </c>
      <c r="C93" s="20" t="s">
        <v>153</v>
      </c>
      <c r="D93" s="28" t="s">
        <v>62</v>
      </c>
      <c r="E93" s="28">
        <v>17694.099999999999</v>
      </c>
      <c r="F93" s="28">
        <v>1</v>
      </c>
      <c r="G93" s="22">
        <f t="shared" si="16"/>
        <v>17694.099999999999</v>
      </c>
      <c r="H93" s="22"/>
      <c r="I93" s="22">
        <f t="shared" si="17"/>
        <v>0</v>
      </c>
      <c r="J93" s="22"/>
      <c r="K93" s="22">
        <f t="shared" si="18"/>
        <v>0</v>
      </c>
      <c r="L93" s="22"/>
      <c r="M93" s="22">
        <f t="shared" si="19"/>
        <v>0</v>
      </c>
      <c r="N93" s="22"/>
      <c r="O93" s="22">
        <f t="shared" si="20"/>
        <v>0</v>
      </c>
      <c r="P93" s="43">
        <f t="shared" si="21"/>
        <v>17694.099999999999</v>
      </c>
    </row>
    <row r="94" spans="1:16" ht="47.25">
      <c r="A94" s="12">
        <v>86</v>
      </c>
      <c r="B94" s="238" t="s">
        <v>157</v>
      </c>
      <c r="C94" s="142" t="s">
        <v>159</v>
      </c>
      <c r="D94" s="183" t="s">
        <v>67</v>
      </c>
      <c r="E94" s="183">
        <v>413000</v>
      </c>
      <c r="F94" s="183">
        <v>1.3080000000000001</v>
      </c>
      <c r="G94" s="22">
        <f t="shared" si="16"/>
        <v>540204</v>
      </c>
      <c r="H94" s="22"/>
      <c r="I94" s="22">
        <f t="shared" si="17"/>
        <v>0</v>
      </c>
      <c r="J94" s="22"/>
      <c r="K94" s="22">
        <f t="shared" si="18"/>
        <v>0</v>
      </c>
      <c r="L94" s="22"/>
      <c r="M94" s="22">
        <f t="shared" si="19"/>
        <v>0</v>
      </c>
      <c r="N94" s="22"/>
      <c r="O94" s="22">
        <f t="shared" si="20"/>
        <v>0</v>
      </c>
      <c r="P94" s="43">
        <f t="shared" si="21"/>
        <v>540204</v>
      </c>
    </row>
    <row r="95" spans="1:16" ht="47.25">
      <c r="A95" s="12">
        <v>87</v>
      </c>
      <c r="B95" s="238" t="s">
        <v>174</v>
      </c>
      <c r="C95" s="142" t="s">
        <v>160</v>
      </c>
      <c r="D95" s="183" t="s">
        <v>67</v>
      </c>
      <c r="E95" s="183">
        <v>259600</v>
      </c>
      <c r="F95" s="183">
        <v>0.746</v>
      </c>
      <c r="G95" s="22">
        <f t="shared" si="16"/>
        <v>193661.6</v>
      </c>
      <c r="H95" s="22"/>
      <c r="I95" s="22">
        <f t="shared" si="17"/>
        <v>0</v>
      </c>
      <c r="J95" s="22"/>
      <c r="K95" s="22">
        <f t="shared" si="18"/>
        <v>0</v>
      </c>
      <c r="L95" s="22"/>
      <c r="M95" s="22">
        <f t="shared" si="19"/>
        <v>0</v>
      </c>
      <c r="N95" s="22"/>
      <c r="O95" s="22">
        <f t="shared" si="20"/>
        <v>0</v>
      </c>
      <c r="P95" s="43">
        <f t="shared" si="21"/>
        <v>193661.6</v>
      </c>
    </row>
    <row r="96" spans="1:16" ht="47.25">
      <c r="A96" s="12">
        <v>88</v>
      </c>
      <c r="B96" s="239" t="s">
        <v>71</v>
      </c>
      <c r="C96" s="142" t="s">
        <v>161</v>
      </c>
      <c r="D96" s="183" t="s">
        <v>67</v>
      </c>
      <c r="E96" s="183">
        <v>224200</v>
      </c>
      <c r="F96" s="183">
        <v>1.6240000000000001</v>
      </c>
      <c r="G96" s="22">
        <f t="shared" si="16"/>
        <v>364100.80000000005</v>
      </c>
      <c r="H96" s="22"/>
      <c r="I96" s="22">
        <f t="shared" si="17"/>
        <v>0</v>
      </c>
      <c r="J96" s="22"/>
      <c r="K96" s="22">
        <f t="shared" si="18"/>
        <v>0</v>
      </c>
      <c r="L96" s="22"/>
      <c r="M96" s="22">
        <f t="shared" si="19"/>
        <v>0</v>
      </c>
      <c r="N96" s="22"/>
      <c r="O96" s="22">
        <f t="shared" si="20"/>
        <v>0</v>
      </c>
      <c r="P96" s="43">
        <f t="shared" si="21"/>
        <v>364100.80000000005</v>
      </c>
    </row>
    <row r="97" spans="1:16">
      <c r="A97" s="12">
        <v>89</v>
      </c>
      <c r="B97" s="183" t="s">
        <v>175</v>
      </c>
      <c r="C97" s="142" t="s">
        <v>162</v>
      </c>
      <c r="D97" s="183" t="s">
        <v>62</v>
      </c>
      <c r="E97" s="183">
        <v>1416</v>
      </c>
      <c r="F97" s="183">
        <v>174</v>
      </c>
      <c r="G97" s="22">
        <f t="shared" si="16"/>
        <v>246384</v>
      </c>
      <c r="H97" s="22"/>
      <c r="I97" s="22">
        <f t="shared" si="17"/>
        <v>0</v>
      </c>
      <c r="J97" s="22"/>
      <c r="K97" s="22">
        <f t="shared" si="18"/>
        <v>0</v>
      </c>
      <c r="L97" s="22"/>
      <c r="M97" s="22">
        <f t="shared" si="19"/>
        <v>0</v>
      </c>
      <c r="N97" s="22"/>
      <c r="O97" s="22">
        <f t="shared" si="20"/>
        <v>0</v>
      </c>
      <c r="P97" s="43">
        <f t="shared" si="21"/>
        <v>246384</v>
      </c>
    </row>
    <row r="98" spans="1:16" ht="63">
      <c r="A98" s="12">
        <v>90</v>
      </c>
      <c r="B98" s="183" t="s">
        <v>92</v>
      </c>
      <c r="C98" s="142" t="s">
        <v>163</v>
      </c>
      <c r="D98" s="183" t="s">
        <v>62</v>
      </c>
      <c r="E98" s="183">
        <v>3540</v>
      </c>
      <c r="F98" s="183">
        <v>38</v>
      </c>
      <c r="G98" s="22">
        <f t="shared" si="16"/>
        <v>134520</v>
      </c>
      <c r="H98" s="22"/>
      <c r="I98" s="22">
        <f t="shared" si="17"/>
        <v>0</v>
      </c>
      <c r="J98" s="22"/>
      <c r="K98" s="22">
        <f t="shared" si="18"/>
        <v>0</v>
      </c>
      <c r="L98" s="22"/>
      <c r="M98" s="22">
        <f t="shared" si="19"/>
        <v>0</v>
      </c>
      <c r="N98" s="22"/>
      <c r="O98" s="22">
        <f t="shared" si="20"/>
        <v>0</v>
      </c>
      <c r="P98" s="43">
        <f t="shared" si="21"/>
        <v>134520</v>
      </c>
    </row>
    <row r="99" spans="1:16" ht="31.5">
      <c r="A99" s="12">
        <v>91</v>
      </c>
      <c r="B99" s="183" t="s">
        <v>176</v>
      </c>
      <c r="C99" s="142" t="s">
        <v>164</v>
      </c>
      <c r="D99" s="183" t="s">
        <v>46</v>
      </c>
      <c r="E99" s="183">
        <v>2360</v>
      </c>
      <c r="F99" s="183">
        <v>657</v>
      </c>
      <c r="G99" s="22">
        <f t="shared" si="16"/>
        <v>1550520</v>
      </c>
      <c r="H99" s="22"/>
      <c r="I99" s="22">
        <f t="shared" si="17"/>
        <v>0</v>
      </c>
      <c r="J99" s="22"/>
      <c r="K99" s="22">
        <f t="shared" si="18"/>
        <v>0</v>
      </c>
      <c r="L99" s="22"/>
      <c r="M99" s="22">
        <f t="shared" si="19"/>
        <v>0</v>
      </c>
      <c r="N99" s="22"/>
      <c r="O99" s="22">
        <f t="shared" si="20"/>
        <v>0</v>
      </c>
      <c r="P99" s="43">
        <f t="shared" si="21"/>
        <v>1550520</v>
      </c>
    </row>
    <row r="100" spans="1:16" ht="47.25">
      <c r="A100" s="12">
        <v>92</v>
      </c>
      <c r="B100" s="183" t="s">
        <v>177</v>
      </c>
      <c r="C100" s="142" t="s">
        <v>165</v>
      </c>
      <c r="D100" s="183" t="s">
        <v>62</v>
      </c>
      <c r="E100" s="183">
        <v>23600</v>
      </c>
      <c r="F100" s="183">
        <v>10</v>
      </c>
      <c r="G100" s="22">
        <f t="shared" si="16"/>
        <v>236000</v>
      </c>
      <c r="H100" s="22"/>
      <c r="I100" s="22">
        <f t="shared" si="17"/>
        <v>0</v>
      </c>
      <c r="J100" s="22"/>
      <c r="K100" s="22">
        <f t="shared" si="18"/>
        <v>0</v>
      </c>
      <c r="L100" s="22"/>
      <c r="M100" s="22">
        <f t="shared" si="19"/>
        <v>0</v>
      </c>
      <c r="N100" s="22"/>
      <c r="O100" s="22">
        <f t="shared" si="20"/>
        <v>0</v>
      </c>
      <c r="P100" s="43">
        <f t="shared" si="21"/>
        <v>236000</v>
      </c>
    </row>
    <row r="101" spans="1:16" ht="31.5">
      <c r="A101" s="12">
        <v>93</v>
      </c>
      <c r="B101" s="183" t="s">
        <v>178</v>
      </c>
      <c r="C101" s="142" t="s">
        <v>166</v>
      </c>
      <c r="D101" s="183" t="s">
        <v>67</v>
      </c>
      <c r="E101" s="183">
        <v>294528</v>
      </c>
      <c r="F101" s="183">
        <v>0.44600000000000001</v>
      </c>
      <c r="G101" s="22">
        <f t="shared" si="16"/>
        <v>131359.48800000001</v>
      </c>
      <c r="H101" s="22"/>
      <c r="I101" s="22">
        <f t="shared" si="17"/>
        <v>0</v>
      </c>
      <c r="J101" s="22"/>
      <c r="K101" s="22">
        <f t="shared" si="18"/>
        <v>0</v>
      </c>
      <c r="L101" s="22"/>
      <c r="M101" s="22">
        <f t="shared" si="19"/>
        <v>0</v>
      </c>
      <c r="N101" s="22"/>
      <c r="O101" s="22">
        <f t="shared" si="20"/>
        <v>0</v>
      </c>
      <c r="P101" s="43">
        <f t="shared" si="21"/>
        <v>131359.48800000001</v>
      </c>
    </row>
    <row r="102" spans="1:16" ht="31.5">
      <c r="A102" s="12">
        <v>94</v>
      </c>
      <c r="B102" s="23" t="s">
        <v>195</v>
      </c>
      <c r="C102" s="142" t="s">
        <v>167</v>
      </c>
      <c r="D102" s="183" t="s">
        <v>62</v>
      </c>
      <c r="E102" s="183">
        <v>1770</v>
      </c>
      <c r="F102" s="147">
        <v>9</v>
      </c>
      <c r="G102" s="22">
        <f t="shared" si="16"/>
        <v>15930</v>
      </c>
      <c r="H102" s="22"/>
      <c r="I102" s="22">
        <f t="shared" si="17"/>
        <v>0</v>
      </c>
      <c r="J102" s="22"/>
      <c r="K102" s="22">
        <f t="shared" si="18"/>
        <v>0</v>
      </c>
      <c r="L102" s="22"/>
      <c r="M102" s="22">
        <f t="shared" si="19"/>
        <v>0</v>
      </c>
      <c r="N102" s="22"/>
      <c r="O102" s="22">
        <f t="shared" si="20"/>
        <v>0</v>
      </c>
      <c r="P102" s="43">
        <f t="shared" si="21"/>
        <v>15930</v>
      </c>
    </row>
    <row r="103" spans="1:16" ht="31.5">
      <c r="A103" s="12">
        <v>95</v>
      </c>
      <c r="B103" s="23"/>
      <c r="C103" s="142" t="s">
        <v>168</v>
      </c>
      <c r="D103" s="183" t="s">
        <v>62</v>
      </c>
      <c r="E103" s="183">
        <v>10431.199999999999</v>
      </c>
      <c r="F103" s="147">
        <v>1</v>
      </c>
      <c r="G103" s="22">
        <f t="shared" si="16"/>
        <v>10431.199999999999</v>
      </c>
      <c r="H103" s="22"/>
      <c r="I103" s="22">
        <f t="shared" si="17"/>
        <v>0</v>
      </c>
      <c r="J103" s="22"/>
      <c r="K103" s="22">
        <f t="shared" si="18"/>
        <v>0</v>
      </c>
      <c r="L103" s="22"/>
      <c r="M103" s="22">
        <f t="shared" si="19"/>
        <v>0</v>
      </c>
      <c r="N103" s="22"/>
      <c r="O103" s="22">
        <f t="shared" si="20"/>
        <v>0</v>
      </c>
      <c r="P103" s="43">
        <f t="shared" si="21"/>
        <v>10431.199999999999</v>
      </c>
    </row>
    <row r="104" spans="1:16" ht="31.5">
      <c r="A104" s="12">
        <v>96</v>
      </c>
      <c r="B104" s="23"/>
      <c r="C104" s="142" t="s">
        <v>169</v>
      </c>
      <c r="D104" s="183" t="s">
        <v>62</v>
      </c>
      <c r="E104" s="183">
        <v>11044.8</v>
      </c>
      <c r="F104" s="27">
        <v>1</v>
      </c>
      <c r="G104" s="22">
        <f t="shared" si="16"/>
        <v>11044.8</v>
      </c>
      <c r="H104" s="22"/>
      <c r="I104" s="22">
        <f t="shared" si="17"/>
        <v>0</v>
      </c>
      <c r="J104" s="22"/>
      <c r="K104" s="22">
        <f t="shared" si="18"/>
        <v>0</v>
      </c>
      <c r="L104" s="22"/>
      <c r="M104" s="22">
        <f t="shared" si="19"/>
        <v>0</v>
      </c>
      <c r="N104" s="22"/>
      <c r="O104" s="22">
        <f t="shared" si="20"/>
        <v>0</v>
      </c>
      <c r="P104" s="43">
        <f t="shared" si="21"/>
        <v>11044.8</v>
      </c>
    </row>
    <row r="105" spans="1:16">
      <c r="A105" s="12">
        <v>97</v>
      </c>
      <c r="B105" s="183" t="s">
        <v>175</v>
      </c>
      <c r="C105" s="231" t="s">
        <v>170</v>
      </c>
      <c r="D105" s="183" t="s">
        <v>62</v>
      </c>
      <c r="E105" s="11">
        <v>160</v>
      </c>
      <c r="F105" s="240">
        <v>20</v>
      </c>
      <c r="G105" s="22">
        <f t="shared" si="16"/>
        <v>3200</v>
      </c>
      <c r="H105" s="22"/>
      <c r="I105" s="22">
        <f t="shared" si="17"/>
        <v>0</v>
      </c>
      <c r="J105" s="22"/>
      <c r="K105" s="22">
        <f t="shared" si="18"/>
        <v>0</v>
      </c>
      <c r="L105" s="22"/>
      <c r="M105" s="22">
        <f t="shared" si="19"/>
        <v>0</v>
      </c>
      <c r="N105" s="22"/>
      <c r="O105" s="22">
        <f t="shared" si="20"/>
        <v>0</v>
      </c>
      <c r="P105" s="43">
        <f t="shared" si="21"/>
        <v>3200</v>
      </c>
    </row>
    <row r="106" spans="1:16" ht="30">
      <c r="A106" s="12">
        <v>98</v>
      </c>
      <c r="B106" s="183" t="s">
        <v>179</v>
      </c>
      <c r="C106" s="241" t="s">
        <v>171</v>
      </c>
      <c r="D106" s="183" t="s">
        <v>62</v>
      </c>
      <c r="E106" s="11">
        <v>180</v>
      </c>
      <c r="F106" s="240">
        <v>5</v>
      </c>
      <c r="G106" s="22">
        <f t="shared" si="16"/>
        <v>900</v>
      </c>
      <c r="H106" s="22"/>
      <c r="I106" s="22">
        <f t="shared" si="17"/>
        <v>0</v>
      </c>
      <c r="J106" s="22"/>
      <c r="K106" s="22">
        <f t="shared" si="18"/>
        <v>0</v>
      </c>
      <c r="L106" s="22"/>
      <c r="M106" s="22">
        <f t="shared" si="19"/>
        <v>0</v>
      </c>
      <c r="N106" s="22"/>
      <c r="O106" s="22">
        <f t="shared" si="20"/>
        <v>0</v>
      </c>
      <c r="P106" s="43">
        <f t="shared" si="21"/>
        <v>900</v>
      </c>
    </row>
    <row r="107" spans="1:16" ht="30">
      <c r="A107" s="12">
        <v>99</v>
      </c>
      <c r="B107" s="23" t="s">
        <v>180</v>
      </c>
      <c r="C107" s="241" t="s">
        <v>172</v>
      </c>
      <c r="D107" s="183" t="s">
        <v>62</v>
      </c>
      <c r="E107" s="11">
        <v>628.94000000000005</v>
      </c>
      <c r="F107" s="240">
        <v>4</v>
      </c>
      <c r="G107" s="22">
        <f t="shared" si="16"/>
        <v>2515.7600000000002</v>
      </c>
      <c r="H107" s="22"/>
      <c r="I107" s="22">
        <f t="shared" si="17"/>
        <v>0</v>
      </c>
      <c r="J107" s="22"/>
      <c r="K107" s="22">
        <f t="shared" si="18"/>
        <v>0</v>
      </c>
      <c r="L107" s="22"/>
      <c r="M107" s="22">
        <f t="shared" si="19"/>
        <v>0</v>
      </c>
      <c r="N107" s="22"/>
      <c r="O107" s="22">
        <f t="shared" si="20"/>
        <v>0</v>
      </c>
      <c r="P107" s="43">
        <f t="shared" si="21"/>
        <v>2515.7600000000002</v>
      </c>
    </row>
    <row r="108" spans="1:16" ht="45">
      <c r="A108" s="12">
        <v>100</v>
      </c>
      <c r="B108" s="23"/>
      <c r="C108" s="241" t="s">
        <v>173</v>
      </c>
      <c r="D108" s="183" t="s">
        <v>62</v>
      </c>
      <c r="E108" s="11">
        <v>4953.1400000000003</v>
      </c>
      <c r="F108" s="240">
        <v>4</v>
      </c>
      <c r="G108" s="22">
        <f t="shared" si="16"/>
        <v>19812.560000000001</v>
      </c>
      <c r="H108" s="22"/>
      <c r="I108" s="22">
        <f t="shared" si="17"/>
        <v>0</v>
      </c>
      <c r="J108" s="22"/>
      <c r="K108" s="22">
        <f t="shared" si="18"/>
        <v>0</v>
      </c>
      <c r="L108" s="22"/>
      <c r="M108" s="22">
        <f t="shared" si="19"/>
        <v>0</v>
      </c>
      <c r="N108" s="22"/>
      <c r="O108" s="22">
        <f t="shared" si="20"/>
        <v>0</v>
      </c>
      <c r="P108" s="43">
        <f t="shared" si="21"/>
        <v>19812.560000000001</v>
      </c>
    </row>
    <row r="109" spans="1:16" ht="47.25">
      <c r="A109" s="12">
        <v>101</v>
      </c>
      <c r="B109" s="23" t="s">
        <v>194</v>
      </c>
      <c r="C109" s="26" t="s">
        <v>181</v>
      </c>
      <c r="D109" s="183" t="s">
        <v>7</v>
      </c>
      <c r="E109" s="11">
        <v>558.14</v>
      </c>
      <c r="F109" s="240">
        <v>134</v>
      </c>
      <c r="G109" s="22">
        <f t="shared" si="16"/>
        <v>74790.759999999995</v>
      </c>
      <c r="H109" s="22"/>
      <c r="I109" s="22">
        <f t="shared" si="17"/>
        <v>0</v>
      </c>
      <c r="J109" s="22"/>
      <c r="K109" s="22">
        <f t="shared" si="18"/>
        <v>0</v>
      </c>
      <c r="L109" s="22"/>
      <c r="M109" s="22">
        <f t="shared" si="19"/>
        <v>0</v>
      </c>
      <c r="N109" s="22"/>
      <c r="O109" s="22">
        <f t="shared" si="20"/>
        <v>0</v>
      </c>
      <c r="P109" s="43">
        <f t="shared" si="21"/>
        <v>74790.759999999995</v>
      </c>
    </row>
    <row r="110" spans="1:16" ht="31.5">
      <c r="A110" s="12">
        <v>102</v>
      </c>
      <c r="B110" s="23" t="s">
        <v>193</v>
      </c>
      <c r="C110" s="29" t="s">
        <v>108</v>
      </c>
      <c r="D110" s="183" t="s">
        <v>37</v>
      </c>
      <c r="E110" s="6">
        <v>1508.04</v>
      </c>
      <c r="F110" s="5">
        <v>7</v>
      </c>
      <c r="G110" s="22">
        <f t="shared" si="16"/>
        <v>10556.279999999999</v>
      </c>
      <c r="H110" s="22"/>
      <c r="I110" s="22">
        <f t="shared" si="17"/>
        <v>0</v>
      </c>
      <c r="J110" s="22"/>
      <c r="K110" s="22">
        <f t="shared" si="18"/>
        <v>0</v>
      </c>
      <c r="L110" s="22"/>
      <c r="M110" s="22">
        <f t="shared" si="19"/>
        <v>0</v>
      </c>
      <c r="N110" s="22"/>
      <c r="O110" s="22">
        <f t="shared" si="20"/>
        <v>0</v>
      </c>
      <c r="P110" s="43">
        <f t="shared" si="21"/>
        <v>10556.279999999999</v>
      </c>
    </row>
    <row r="111" spans="1:16" ht="31.5">
      <c r="A111" s="12">
        <v>103</v>
      </c>
      <c r="B111" s="23" t="s">
        <v>192</v>
      </c>
      <c r="C111" s="29" t="s">
        <v>182</v>
      </c>
      <c r="D111" s="183" t="s">
        <v>37</v>
      </c>
      <c r="E111" s="6">
        <v>1508.04</v>
      </c>
      <c r="F111" s="5">
        <v>3</v>
      </c>
      <c r="G111" s="22">
        <f t="shared" si="16"/>
        <v>4524.12</v>
      </c>
      <c r="H111" s="22"/>
      <c r="I111" s="22">
        <f t="shared" si="17"/>
        <v>0</v>
      </c>
      <c r="J111" s="22"/>
      <c r="K111" s="22">
        <f t="shared" si="18"/>
        <v>0</v>
      </c>
      <c r="L111" s="22"/>
      <c r="M111" s="22">
        <f t="shared" si="19"/>
        <v>0</v>
      </c>
      <c r="N111" s="22"/>
      <c r="O111" s="22">
        <f t="shared" si="20"/>
        <v>0</v>
      </c>
      <c r="P111" s="43">
        <f t="shared" si="21"/>
        <v>4524.12</v>
      </c>
    </row>
    <row r="112" spans="1:16" ht="31.5">
      <c r="A112" s="12">
        <v>104</v>
      </c>
      <c r="B112" s="23"/>
      <c r="C112" s="29" t="s">
        <v>109</v>
      </c>
      <c r="D112" s="183" t="s">
        <v>37</v>
      </c>
      <c r="E112" s="6">
        <v>1508.04</v>
      </c>
      <c r="F112" s="5">
        <v>2</v>
      </c>
      <c r="G112" s="22">
        <f t="shared" si="16"/>
        <v>3016.08</v>
      </c>
      <c r="H112" s="22"/>
      <c r="I112" s="22">
        <f t="shared" si="17"/>
        <v>0</v>
      </c>
      <c r="J112" s="22"/>
      <c r="K112" s="22">
        <f t="shared" si="18"/>
        <v>0</v>
      </c>
      <c r="L112" s="22"/>
      <c r="M112" s="22">
        <f t="shared" si="19"/>
        <v>0</v>
      </c>
      <c r="N112" s="22"/>
      <c r="O112" s="22">
        <f t="shared" si="20"/>
        <v>0</v>
      </c>
      <c r="P112" s="43">
        <f t="shared" si="21"/>
        <v>3016.08</v>
      </c>
    </row>
    <row r="113" spans="1:16" ht="31.5">
      <c r="A113" s="12">
        <v>105</v>
      </c>
      <c r="B113" s="23"/>
      <c r="C113" s="29" t="s">
        <v>110</v>
      </c>
      <c r="D113" s="183" t="s">
        <v>37</v>
      </c>
      <c r="E113" s="6">
        <v>1508.04</v>
      </c>
      <c r="F113" s="5">
        <v>8</v>
      </c>
      <c r="G113" s="22">
        <f t="shared" si="16"/>
        <v>12064.32</v>
      </c>
      <c r="H113" s="22"/>
      <c r="I113" s="22">
        <f t="shared" si="17"/>
        <v>0</v>
      </c>
      <c r="J113" s="22"/>
      <c r="K113" s="22">
        <f t="shared" si="18"/>
        <v>0</v>
      </c>
      <c r="L113" s="22"/>
      <c r="M113" s="22">
        <f t="shared" si="19"/>
        <v>0</v>
      </c>
      <c r="N113" s="22"/>
      <c r="O113" s="22">
        <f t="shared" si="20"/>
        <v>0</v>
      </c>
      <c r="P113" s="43">
        <f t="shared" si="21"/>
        <v>12064.32</v>
      </c>
    </row>
    <row r="114" spans="1:16" ht="31.5">
      <c r="A114" s="12">
        <v>106</v>
      </c>
      <c r="B114" s="23"/>
      <c r="C114" s="29" t="s">
        <v>183</v>
      </c>
      <c r="D114" s="183" t="s">
        <v>37</v>
      </c>
      <c r="E114" s="6">
        <v>1878.56</v>
      </c>
      <c r="F114" s="5">
        <v>10</v>
      </c>
      <c r="G114" s="22">
        <f t="shared" si="16"/>
        <v>18785.599999999999</v>
      </c>
      <c r="H114" s="22"/>
      <c r="I114" s="22">
        <f t="shared" si="17"/>
        <v>0</v>
      </c>
      <c r="J114" s="22"/>
      <c r="K114" s="22">
        <f t="shared" si="18"/>
        <v>0</v>
      </c>
      <c r="L114" s="22"/>
      <c r="M114" s="22">
        <f t="shared" si="19"/>
        <v>0</v>
      </c>
      <c r="N114" s="22"/>
      <c r="O114" s="22">
        <f t="shared" si="20"/>
        <v>0</v>
      </c>
      <c r="P114" s="43">
        <f t="shared" si="21"/>
        <v>18785.599999999999</v>
      </c>
    </row>
    <row r="115" spans="1:16" ht="31.5">
      <c r="A115" s="12">
        <v>107</v>
      </c>
      <c r="B115" s="23" t="s">
        <v>190</v>
      </c>
      <c r="C115" s="38" t="s">
        <v>90</v>
      </c>
      <c r="D115" s="183" t="s">
        <v>37</v>
      </c>
      <c r="E115" s="6">
        <v>2357.64</v>
      </c>
      <c r="F115" s="242">
        <v>15</v>
      </c>
      <c r="G115" s="22">
        <f t="shared" si="16"/>
        <v>35364.6</v>
      </c>
      <c r="H115" s="22"/>
      <c r="I115" s="22">
        <f t="shared" si="17"/>
        <v>0</v>
      </c>
      <c r="J115" s="22"/>
      <c r="K115" s="22">
        <f t="shared" si="18"/>
        <v>0</v>
      </c>
      <c r="L115" s="22"/>
      <c r="M115" s="22">
        <f t="shared" si="19"/>
        <v>0</v>
      </c>
      <c r="N115" s="22"/>
      <c r="O115" s="22">
        <f t="shared" si="20"/>
        <v>0</v>
      </c>
      <c r="P115" s="43">
        <f t="shared" si="21"/>
        <v>35364.6</v>
      </c>
    </row>
    <row r="116" spans="1:16" ht="31.5">
      <c r="A116" s="12">
        <v>108</v>
      </c>
      <c r="B116" s="23" t="s">
        <v>191</v>
      </c>
      <c r="C116" s="38" t="s">
        <v>91</v>
      </c>
      <c r="D116" s="183" t="s">
        <v>37</v>
      </c>
      <c r="E116" s="6">
        <v>2116.92</v>
      </c>
      <c r="F116" s="242">
        <v>6</v>
      </c>
      <c r="G116" s="22">
        <f t="shared" si="16"/>
        <v>12701.52</v>
      </c>
      <c r="H116" s="22"/>
      <c r="I116" s="22">
        <f t="shared" si="17"/>
        <v>0</v>
      </c>
      <c r="J116" s="22"/>
      <c r="K116" s="22">
        <f t="shared" si="18"/>
        <v>0</v>
      </c>
      <c r="L116" s="22"/>
      <c r="M116" s="22">
        <f t="shared" si="19"/>
        <v>0</v>
      </c>
      <c r="N116" s="22"/>
      <c r="O116" s="22">
        <f t="shared" si="20"/>
        <v>0</v>
      </c>
      <c r="P116" s="43">
        <f t="shared" si="21"/>
        <v>12701.52</v>
      </c>
    </row>
    <row r="117" spans="1:16">
      <c r="A117" s="12">
        <v>109</v>
      </c>
      <c r="B117" s="23"/>
      <c r="C117" s="38" t="s">
        <v>184</v>
      </c>
      <c r="D117" s="183" t="s">
        <v>37</v>
      </c>
      <c r="E117" s="6">
        <v>5890.5599999999995</v>
      </c>
      <c r="F117" s="242">
        <v>9</v>
      </c>
      <c r="G117" s="22">
        <f t="shared" si="16"/>
        <v>53015.039999999994</v>
      </c>
      <c r="H117" s="22"/>
      <c r="I117" s="22">
        <f t="shared" si="17"/>
        <v>0</v>
      </c>
      <c r="J117" s="22"/>
      <c r="K117" s="22">
        <f t="shared" si="18"/>
        <v>0</v>
      </c>
      <c r="L117" s="22"/>
      <c r="M117" s="22">
        <f t="shared" si="19"/>
        <v>0</v>
      </c>
      <c r="N117" s="22"/>
      <c r="O117" s="22">
        <f t="shared" si="20"/>
        <v>0</v>
      </c>
      <c r="P117" s="43">
        <f t="shared" si="21"/>
        <v>53015.039999999994</v>
      </c>
    </row>
    <row r="118" spans="1:16" ht="60">
      <c r="A118" s="12">
        <v>110</v>
      </c>
      <c r="B118" s="23" t="s">
        <v>188</v>
      </c>
      <c r="C118" s="233" t="s">
        <v>186</v>
      </c>
      <c r="D118" s="183" t="s">
        <v>46</v>
      </c>
      <c r="E118" s="11">
        <v>1301.54</v>
      </c>
      <c r="F118" s="240">
        <v>150</v>
      </c>
      <c r="G118" s="22">
        <f t="shared" si="16"/>
        <v>195231</v>
      </c>
      <c r="H118" s="22"/>
      <c r="I118" s="22">
        <f t="shared" si="17"/>
        <v>0</v>
      </c>
      <c r="J118" s="22"/>
      <c r="K118" s="22">
        <f t="shared" si="18"/>
        <v>0</v>
      </c>
      <c r="L118" s="22"/>
      <c r="M118" s="22">
        <f t="shared" si="19"/>
        <v>0</v>
      </c>
      <c r="N118" s="22"/>
      <c r="O118" s="22">
        <f t="shared" si="20"/>
        <v>0</v>
      </c>
      <c r="P118" s="43">
        <f t="shared" si="21"/>
        <v>195231</v>
      </c>
    </row>
    <row r="119" spans="1:16" ht="60">
      <c r="A119" s="12">
        <v>111</v>
      </c>
      <c r="B119" s="23" t="s">
        <v>189</v>
      </c>
      <c r="C119" s="233" t="s">
        <v>187</v>
      </c>
      <c r="D119" s="231" t="s">
        <v>62</v>
      </c>
      <c r="E119" s="27">
        <v>19293</v>
      </c>
      <c r="F119" s="27">
        <v>2</v>
      </c>
      <c r="G119" s="22">
        <f t="shared" si="16"/>
        <v>38586</v>
      </c>
      <c r="H119" s="22"/>
      <c r="I119" s="22">
        <f t="shared" si="17"/>
        <v>0</v>
      </c>
      <c r="J119" s="22"/>
      <c r="K119" s="22">
        <f t="shared" si="18"/>
        <v>0</v>
      </c>
      <c r="L119" s="22"/>
      <c r="M119" s="22">
        <f t="shared" si="19"/>
        <v>0</v>
      </c>
      <c r="N119" s="22"/>
      <c r="O119" s="22">
        <f t="shared" si="20"/>
        <v>0</v>
      </c>
      <c r="P119" s="43">
        <f t="shared" si="21"/>
        <v>38586</v>
      </c>
    </row>
    <row r="120" spans="1:16" ht="94.5">
      <c r="A120" s="12">
        <v>112</v>
      </c>
      <c r="B120" s="23"/>
      <c r="C120" s="243" t="s">
        <v>200</v>
      </c>
      <c r="D120" s="6" t="s">
        <v>37</v>
      </c>
      <c r="E120" s="39">
        <v>153400</v>
      </c>
      <c r="F120" s="6">
        <v>1</v>
      </c>
      <c r="G120" s="22">
        <f t="shared" si="16"/>
        <v>153400</v>
      </c>
      <c r="H120" s="22"/>
      <c r="I120" s="22">
        <f t="shared" si="17"/>
        <v>0</v>
      </c>
      <c r="J120" s="22"/>
      <c r="K120" s="22">
        <f t="shared" si="18"/>
        <v>0</v>
      </c>
      <c r="L120" s="22"/>
      <c r="M120" s="22">
        <f t="shared" si="19"/>
        <v>0</v>
      </c>
      <c r="N120" s="22"/>
      <c r="O120" s="22">
        <f t="shared" si="20"/>
        <v>0</v>
      </c>
      <c r="P120" s="43">
        <f t="shared" si="21"/>
        <v>153400</v>
      </c>
    </row>
    <row r="121" spans="1:16" ht="33.75">
      <c r="A121" s="12">
        <v>113</v>
      </c>
      <c r="B121" s="238" t="s">
        <v>157</v>
      </c>
      <c r="C121" s="162" t="s">
        <v>1259</v>
      </c>
      <c r="D121" s="6" t="s">
        <v>67</v>
      </c>
      <c r="E121" s="6">
        <v>441390.8</v>
      </c>
      <c r="F121" s="27">
        <v>0.4</v>
      </c>
      <c r="G121" s="22">
        <f t="shared" si="16"/>
        <v>176556.32</v>
      </c>
      <c r="H121" s="22"/>
      <c r="I121" s="22">
        <f t="shared" si="17"/>
        <v>0</v>
      </c>
      <c r="J121" s="22"/>
      <c r="K121" s="22">
        <f t="shared" si="18"/>
        <v>0</v>
      </c>
      <c r="L121" s="22"/>
      <c r="M121" s="22">
        <f t="shared" si="19"/>
        <v>0</v>
      </c>
      <c r="N121" s="22"/>
      <c r="O121" s="22">
        <f t="shared" si="20"/>
        <v>0</v>
      </c>
      <c r="P121" s="43">
        <f t="shared" si="21"/>
        <v>176556.32</v>
      </c>
    </row>
    <row r="122" spans="1:16" ht="33.75">
      <c r="A122" s="12">
        <v>114</v>
      </c>
      <c r="B122" s="46" t="s">
        <v>71</v>
      </c>
      <c r="C122" s="162" t="s">
        <v>1260</v>
      </c>
      <c r="D122" s="6" t="s">
        <v>67</v>
      </c>
      <c r="E122" s="6">
        <v>205556</v>
      </c>
      <c r="F122" s="27">
        <v>0.32500000000000001</v>
      </c>
      <c r="G122" s="22">
        <f t="shared" si="16"/>
        <v>66805.7</v>
      </c>
      <c r="H122" s="22"/>
      <c r="I122" s="22">
        <f t="shared" si="17"/>
        <v>0</v>
      </c>
      <c r="J122" s="22"/>
      <c r="K122" s="22">
        <f t="shared" si="18"/>
        <v>0</v>
      </c>
      <c r="L122" s="22"/>
      <c r="M122" s="22">
        <f t="shared" si="19"/>
        <v>0</v>
      </c>
      <c r="N122" s="22"/>
      <c r="O122" s="22">
        <f t="shared" si="20"/>
        <v>0</v>
      </c>
      <c r="P122" s="43">
        <f t="shared" si="21"/>
        <v>66805.7</v>
      </c>
    </row>
    <row r="123" spans="1:16" ht="33.75">
      <c r="A123" s="12">
        <v>115</v>
      </c>
      <c r="B123" s="23"/>
      <c r="C123" s="162" t="s">
        <v>1261</v>
      </c>
      <c r="D123" s="6" t="s">
        <v>67</v>
      </c>
      <c r="E123" s="6">
        <v>127204</v>
      </c>
      <c r="F123" s="27">
        <v>0.25</v>
      </c>
      <c r="G123" s="22">
        <f t="shared" si="16"/>
        <v>31801</v>
      </c>
      <c r="H123" s="22"/>
      <c r="I123" s="22">
        <f t="shared" si="17"/>
        <v>0</v>
      </c>
      <c r="J123" s="22"/>
      <c r="K123" s="22">
        <f t="shared" si="18"/>
        <v>0</v>
      </c>
      <c r="L123" s="22"/>
      <c r="M123" s="22">
        <f t="shared" si="19"/>
        <v>0</v>
      </c>
      <c r="N123" s="22"/>
      <c r="O123" s="22">
        <f t="shared" si="20"/>
        <v>0</v>
      </c>
      <c r="P123" s="43">
        <f t="shared" si="21"/>
        <v>31801</v>
      </c>
    </row>
    <row r="124" spans="1:16" ht="31.5">
      <c r="A124" s="12">
        <v>116</v>
      </c>
      <c r="B124" s="23"/>
      <c r="C124" s="244" t="s">
        <v>201</v>
      </c>
      <c r="D124" s="6" t="s">
        <v>67</v>
      </c>
      <c r="E124" s="39">
        <v>268992.8</v>
      </c>
      <c r="F124" s="27">
        <v>0.2</v>
      </c>
      <c r="G124" s="22">
        <f t="shared" si="16"/>
        <v>53798.559999999998</v>
      </c>
      <c r="H124" s="22"/>
      <c r="I124" s="22">
        <f t="shared" si="17"/>
        <v>0</v>
      </c>
      <c r="J124" s="22"/>
      <c r="K124" s="22">
        <f t="shared" si="18"/>
        <v>0</v>
      </c>
      <c r="L124" s="22"/>
      <c r="M124" s="22">
        <f t="shared" si="19"/>
        <v>0</v>
      </c>
      <c r="N124" s="22"/>
      <c r="O124" s="22">
        <f t="shared" si="20"/>
        <v>0</v>
      </c>
      <c r="P124" s="43">
        <f t="shared" si="21"/>
        <v>53798.559999999998</v>
      </c>
    </row>
    <row r="125" spans="1:16" ht="30">
      <c r="A125" s="12">
        <v>117</v>
      </c>
      <c r="B125" s="23"/>
      <c r="C125" s="233" t="s">
        <v>199</v>
      </c>
      <c r="D125" s="231" t="s">
        <v>62</v>
      </c>
      <c r="E125" s="27">
        <v>47058</v>
      </c>
      <c r="F125" s="27">
        <v>1</v>
      </c>
      <c r="G125" s="22">
        <f>E125*F125</f>
        <v>47058</v>
      </c>
      <c r="H125" s="22"/>
      <c r="I125" s="22">
        <f>H125*E125</f>
        <v>0</v>
      </c>
      <c r="J125" s="22"/>
      <c r="K125" s="22">
        <f>J125*E125</f>
        <v>0</v>
      </c>
      <c r="L125" s="22"/>
      <c r="M125" s="22">
        <f>L125*E125</f>
        <v>0</v>
      </c>
      <c r="N125" s="22"/>
      <c r="O125" s="22">
        <f>N125*E125</f>
        <v>0</v>
      </c>
      <c r="P125" s="43">
        <f>O125+M125+K125+I125+G125</f>
        <v>47058</v>
      </c>
    </row>
    <row r="126" spans="1:16" ht="60">
      <c r="A126" s="12">
        <v>118</v>
      </c>
      <c r="B126" s="23"/>
      <c r="C126" s="40" t="s">
        <v>202</v>
      </c>
      <c r="D126" s="11" t="s">
        <v>37</v>
      </c>
      <c r="E126" s="6">
        <v>8826.4</v>
      </c>
      <c r="F126" s="11">
        <v>10</v>
      </c>
      <c r="G126" s="22">
        <f t="shared" ref="G126:G129" si="22">E126*F126</f>
        <v>88264</v>
      </c>
      <c r="H126" s="22"/>
      <c r="I126" s="22">
        <f t="shared" ref="I126:I129" si="23">H126*E126</f>
        <v>0</v>
      </c>
      <c r="J126" s="22"/>
      <c r="K126" s="22">
        <f t="shared" ref="K126:K129" si="24">J126*E126</f>
        <v>0</v>
      </c>
      <c r="L126" s="22"/>
      <c r="M126" s="22">
        <f t="shared" ref="M126:M129" si="25">L126*E126</f>
        <v>0</v>
      </c>
      <c r="N126" s="22"/>
      <c r="O126" s="22">
        <f t="shared" ref="O126:O129" si="26">N126*E126</f>
        <v>0</v>
      </c>
      <c r="P126" s="43">
        <f t="shared" ref="P126:P129" si="27">O126+M126+K126+I126+G126</f>
        <v>88264</v>
      </c>
    </row>
    <row r="127" spans="1:16" ht="60">
      <c r="A127" s="12">
        <v>119</v>
      </c>
      <c r="B127" s="23"/>
      <c r="C127" s="40" t="s">
        <v>203</v>
      </c>
      <c r="D127" s="11" t="s">
        <v>37</v>
      </c>
      <c r="E127" s="6">
        <v>8826.4</v>
      </c>
      <c r="F127" s="11">
        <v>5</v>
      </c>
      <c r="G127" s="22">
        <f t="shared" si="22"/>
        <v>44132</v>
      </c>
      <c r="H127" s="22"/>
      <c r="I127" s="22">
        <f t="shared" si="23"/>
        <v>0</v>
      </c>
      <c r="J127" s="22"/>
      <c r="K127" s="22">
        <f t="shared" si="24"/>
        <v>0</v>
      </c>
      <c r="L127" s="22"/>
      <c r="M127" s="22">
        <f t="shared" si="25"/>
        <v>0</v>
      </c>
      <c r="N127" s="22"/>
      <c r="O127" s="22">
        <f t="shared" si="26"/>
        <v>0</v>
      </c>
      <c r="P127" s="43">
        <f t="shared" si="27"/>
        <v>44132</v>
      </c>
    </row>
    <row r="128" spans="1:16" ht="63">
      <c r="A128" s="12">
        <v>120</v>
      </c>
      <c r="B128" s="23"/>
      <c r="C128" s="245" t="s">
        <v>204</v>
      </c>
      <c r="D128" s="11" t="s">
        <v>37</v>
      </c>
      <c r="E128" s="6">
        <v>5888.2</v>
      </c>
      <c r="F128" s="11">
        <v>10</v>
      </c>
      <c r="G128" s="22">
        <f t="shared" si="22"/>
        <v>58882</v>
      </c>
      <c r="H128" s="22"/>
      <c r="I128" s="22">
        <f t="shared" si="23"/>
        <v>0</v>
      </c>
      <c r="J128" s="22"/>
      <c r="K128" s="22">
        <f t="shared" si="24"/>
        <v>0</v>
      </c>
      <c r="L128" s="22"/>
      <c r="M128" s="22">
        <f t="shared" si="25"/>
        <v>0</v>
      </c>
      <c r="N128" s="22"/>
      <c r="O128" s="22">
        <f t="shared" si="26"/>
        <v>0</v>
      </c>
      <c r="P128" s="43">
        <f t="shared" si="27"/>
        <v>58882</v>
      </c>
    </row>
    <row r="129" spans="1:16" ht="45">
      <c r="A129" s="12">
        <v>121</v>
      </c>
      <c r="B129" s="23"/>
      <c r="C129" s="40" t="s">
        <v>205</v>
      </c>
      <c r="D129" s="11" t="s">
        <v>37</v>
      </c>
      <c r="E129" s="6">
        <v>4106.3999999999996</v>
      </c>
      <c r="F129" s="11">
        <v>10</v>
      </c>
      <c r="G129" s="22">
        <f t="shared" si="22"/>
        <v>41064</v>
      </c>
      <c r="H129" s="22"/>
      <c r="I129" s="22">
        <f t="shared" si="23"/>
        <v>0</v>
      </c>
      <c r="J129" s="22"/>
      <c r="K129" s="22">
        <f t="shared" si="24"/>
        <v>0</v>
      </c>
      <c r="L129" s="22"/>
      <c r="M129" s="22">
        <f t="shared" si="25"/>
        <v>0</v>
      </c>
      <c r="N129" s="22"/>
      <c r="O129" s="22">
        <f t="shared" si="26"/>
        <v>0</v>
      </c>
      <c r="P129" s="43">
        <f t="shared" si="27"/>
        <v>41064</v>
      </c>
    </row>
    <row r="130" spans="1:16">
      <c r="C130" s="246"/>
      <c r="G130" s="41">
        <f>SUM(G8:G129)</f>
        <v>6643683.7879999988</v>
      </c>
      <c r="H130" s="41"/>
      <c r="I130" s="41">
        <f t="shared" ref="I130:O130" si="28">SUM(I8:I129)</f>
        <v>38975</v>
      </c>
      <c r="J130" s="41"/>
      <c r="K130" s="41">
        <f t="shared" si="28"/>
        <v>0</v>
      </c>
      <c r="L130" s="41"/>
      <c r="M130" s="41">
        <f t="shared" si="28"/>
        <v>231664.42</v>
      </c>
      <c r="N130" s="41"/>
      <c r="O130" s="41">
        <f t="shared" si="28"/>
        <v>231330</v>
      </c>
      <c r="P130" s="33">
        <f>SUM(P51:P129)</f>
        <v>6643683.7879999988</v>
      </c>
    </row>
    <row r="131" spans="1:16">
      <c r="C131" s="246"/>
      <c r="P131" s="33">
        <f>P130+P50</f>
        <v>7145653.2079999987</v>
      </c>
    </row>
    <row r="132" spans="1:16">
      <c r="C132" s="246"/>
    </row>
    <row r="133" spans="1:16">
      <c r="A133" s="21"/>
      <c r="B133" s="247" t="s">
        <v>80</v>
      </c>
      <c r="C133" s="248"/>
      <c r="D133" s="248"/>
      <c r="E133" s="248"/>
      <c r="F133" s="248"/>
      <c r="G133" s="248"/>
      <c r="H133" s="248"/>
      <c r="I133" s="248"/>
    </row>
    <row r="134" spans="1:16">
      <c r="A134" s="249" t="s">
        <v>81</v>
      </c>
      <c r="B134" s="249"/>
      <c r="C134" s="8" t="s">
        <v>144</v>
      </c>
      <c r="D134" s="249" t="s">
        <v>82</v>
      </c>
      <c r="E134" s="249"/>
      <c r="F134" s="249" t="s">
        <v>83</v>
      </c>
      <c r="G134" s="249"/>
      <c r="H134" s="249" t="s">
        <v>84</v>
      </c>
      <c r="I134" s="249"/>
    </row>
    <row r="135" spans="1:16">
      <c r="A135" s="250">
        <v>7152175.4735600054</v>
      </c>
      <c r="B135" s="251"/>
      <c r="C135" s="27">
        <v>0</v>
      </c>
      <c r="D135" s="252">
        <f>A135+C135</f>
        <v>7152175.4735600054</v>
      </c>
      <c r="E135" s="252"/>
      <c r="F135" s="252">
        <v>6523.04</v>
      </c>
      <c r="G135" s="252"/>
      <c r="H135" s="253">
        <f>D135-F135</f>
        <v>7145652.4335600054</v>
      </c>
      <c r="I135" s="254"/>
    </row>
    <row r="136" spans="1:16">
      <c r="A136" s="21"/>
      <c r="B136" s="255"/>
      <c r="C136" s="256"/>
      <c r="D136" s="255"/>
      <c r="E136" s="255"/>
      <c r="F136" s="255"/>
      <c r="H136" s="42"/>
      <c r="N136" s="42"/>
    </row>
    <row r="137" spans="1:16">
      <c r="A137" s="21"/>
      <c r="B137" s="255"/>
      <c r="C137" s="256"/>
      <c r="D137" s="255"/>
      <c r="E137" s="255"/>
      <c r="F137" s="257">
        <f>P131-H135</f>
        <v>0.77443999331444502</v>
      </c>
      <c r="H137" s="102"/>
      <c r="I137" s="102"/>
      <c r="N137" s="42"/>
    </row>
    <row r="138" spans="1:16">
      <c r="A138" s="21"/>
      <c r="H138" s="101"/>
      <c r="I138" s="102"/>
      <c r="N138" s="42"/>
    </row>
    <row r="139" spans="1:16">
      <c r="A139" s="21"/>
      <c r="H139" s="101"/>
      <c r="I139" s="102"/>
      <c r="N139" s="42"/>
    </row>
    <row r="142" spans="1:16">
      <c r="A142" s="258" t="s">
        <v>211</v>
      </c>
      <c r="B142" s="258"/>
      <c r="C142" s="258"/>
      <c r="D142" s="258"/>
      <c r="E142" s="258"/>
      <c r="F142" s="258"/>
      <c r="G142" s="258"/>
      <c r="H142" s="258"/>
      <c r="I142" s="258"/>
      <c r="J142" s="258"/>
      <c r="K142" s="258"/>
    </row>
    <row r="143" spans="1:16">
      <c r="A143" s="258"/>
      <c r="B143" s="258"/>
      <c r="C143" s="258"/>
      <c r="D143" s="258"/>
      <c r="E143" s="258"/>
      <c r="F143" s="258"/>
      <c r="G143" s="258"/>
      <c r="H143" s="258"/>
      <c r="I143" s="258"/>
      <c r="J143" s="258"/>
      <c r="K143" s="258"/>
    </row>
    <row r="144" spans="1:16">
      <c r="A144" s="45"/>
      <c r="B144" s="45"/>
      <c r="C144" s="45"/>
      <c r="D144" s="45"/>
      <c r="E144" s="45"/>
      <c r="F144" s="45"/>
      <c r="G144" s="45"/>
      <c r="H144" s="45"/>
      <c r="I144" s="45"/>
      <c r="J144" s="45"/>
      <c r="K144" s="45"/>
    </row>
    <row r="145" spans="1:11">
      <c r="A145" s="85" t="s">
        <v>212</v>
      </c>
      <c r="B145" s="85"/>
      <c r="C145" s="85"/>
      <c r="D145" s="85"/>
      <c r="E145" s="85"/>
      <c r="F145" s="85"/>
      <c r="G145" s="85"/>
      <c r="H145" s="85"/>
      <c r="I145" s="259"/>
      <c r="J145" s="259"/>
      <c r="K145" s="259"/>
    </row>
    <row r="146" spans="1:11">
      <c r="A146" s="260" t="s">
        <v>213</v>
      </c>
      <c r="B146" s="260"/>
      <c r="C146" s="260"/>
      <c r="D146" s="260" t="s">
        <v>214</v>
      </c>
      <c r="E146" s="260"/>
      <c r="F146" s="259"/>
      <c r="G146" s="259"/>
      <c r="H146" s="261" t="s">
        <v>215</v>
      </c>
      <c r="I146" s="259"/>
      <c r="J146" s="261" t="s">
        <v>216</v>
      </c>
      <c r="K146" s="261"/>
    </row>
    <row r="147" spans="1:11">
      <c r="A147" s="262" t="s">
        <v>217</v>
      </c>
      <c r="B147" s="262"/>
      <c r="C147" s="262"/>
      <c r="D147" s="263" t="s">
        <v>218</v>
      </c>
      <c r="E147" s="263"/>
      <c r="F147" s="263"/>
      <c r="G147" s="259"/>
      <c r="H147" s="59" t="s">
        <v>219</v>
      </c>
      <c r="I147" s="259"/>
      <c r="J147" s="264">
        <v>46113</v>
      </c>
      <c r="K147" s="264"/>
    </row>
    <row r="148" spans="1:11">
      <c r="A148" s="265" t="s">
        <v>220</v>
      </c>
      <c r="B148" s="266" t="s">
        <v>221</v>
      </c>
      <c r="C148" s="266" t="s">
        <v>222</v>
      </c>
      <c r="D148" s="267" t="s">
        <v>119</v>
      </c>
      <c r="E148" s="57"/>
      <c r="F148" s="90" t="s">
        <v>223</v>
      </c>
      <c r="G148" s="91"/>
      <c r="H148" s="91"/>
      <c r="I148" s="92"/>
      <c r="J148" s="268" t="s">
        <v>224</v>
      </c>
      <c r="K148" s="265" t="s">
        <v>225</v>
      </c>
    </row>
    <row r="149" spans="1:11">
      <c r="A149" s="266"/>
      <c r="B149" s="266"/>
      <c r="C149" s="266"/>
      <c r="D149" s="269"/>
      <c r="E149" s="181" t="s">
        <v>121</v>
      </c>
      <c r="F149" s="181" t="s">
        <v>226</v>
      </c>
      <c r="G149" s="181" t="s">
        <v>1</v>
      </c>
      <c r="H149" s="181" t="s">
        <v>227</v>
      </c>
      <c r="I149" s="181" t="s">
        <v>228</v>
      </c>
      <c r="J149" s="270"/>
      <c r="K149" s="265"/>
    </row>
    <row r="150" spans="1:11" ht="31.5">
      <c r="A150" s="181">
        <v>1</v>
      </c>
      <c r="B150" s="53" t="s">
        <v>229</v>
      </c>
      <c r="C150" s="46" t="s">
        <v>230</v>
      </c>
      <c r="D150" s="47" t="s">
        <v>231</v>
      </c>
      <c r="E150" s="4">
        <v>7.0949999999999998</v>
      </c>
      <c r="F150" s="141">
        <v>0</v>
      </c>
      <c r="G150" s="141">
        <v>0</v>
      </c>
      <c r="H150" s="141">
        <v>0</v>
      </c>
      <c r="I150" s="141">
        <v>0</v>
      </c>
      <c r="J150" s="271">
        <v>24000</v>
      </c>
      <c r="K150" s="49">
        <f>SUM(E150*24000)</f>
        <v>170280</v>
      </c>
    </row>
    <row r="151" spans="1:11" ht="31.5">
      <c r="A151" s="181">
        <v>2</v>
      </c>
      <c r="B151" s="53" t="s">
        <v>232</v>
      </c>
      <c r="C151" s="50" t="s">
        <v>233</v>
      </c>
      <c r="D151" s="47" t="s">
        <v>5</v>
      </c>
      <c r="E151" s="141">
        <v>0</v>
      </c>
      <c r="F151" s="141">
        <v>0</v>
      </c>
      <c r="G151" s="141">
        <v>0</v>
      </c>
      <c r="H151" s="141">
        <v>0</v>
      </c>
      <c r="I151" s="51">
        <v>1</v>
      </c>
      <c r="J151" s="49">
        <v>100</v>
      </c>
      <c r="K151" s="49">
        <f>SUM(I151*100)</f>
        <v>100</v>
      </c>
    </row>
    <row r="152" spans="1:11" ht="31.5">
      <c r="A152" s="181">
        <v>3</v>
      </c>
      <c r="B152" s="53" t="s">
        <v>229</v>
      </c>
      <c r="C152" s="46" t="s">
        <v>234</v>
      </c>
      <c r="D152" s="47" t="s">
        <v>231</v>
      </c>
      <c r="E152" s="141">
        <v>0</v>
      </c>
      <c r="F152" s="141">
        <v>0</v>
      </c>
      <c r="G152" s="141">
        <v>0</v>
      </c>
      <c r="H152" s="141">
        <v>0</v>
      </c>
      <c r="I152" s="272">
        <v>0.20499999999999999</v>
      </c>
      <c r="J152" s="272">
        <v>10000</v>
      </c>
      <c r="K152" s="271">
        <f>SUM(I152*10000)</f>
        <v>2050</v>
      </c>
    </row>
    <row r="153" spans="1:11" ht="31.5">
      <c r="A153" s="181">
        <v>4</v>
      </c>
      <c r="B153" s="53" t="s">
        <v>235</v>
      </c>
      <c r="C153" s="4" t="s">
        <v>236</v>
      </c>
      <c r="D153" s="47" t="s">
        <v>5</v>
      </c>
      <c r="E153" s="49">
        <v>34</v>
      </c>
      <c r="F153" s="141">
        <v>0</v>
      </c>
      <c r="G153" s="141">
        <v>0</v>
      </c>
      <c r="H153" s="141">
        <v>0</v>
      </c>
      <c r="I153" s="141">
        <v>0</v>
      </c>
      <c r="J153" s="271">
        <v>60</v>
      </c>
      <c r="K153" s="271">
        <f>SUM(E153*60)</f>
        <v>2040</v>
      </c>
    </row>
    <row r="154" spans="1:11" ht="31.5">
      <c r="A154" s="181">
        <v>5</v>
      </c>
      <c r="B154" s="273" t="s">
        <v>237</v>
      </c>
      <c r="C154" s="46" t="s">
        <v>238</v>
      </c>
      <c r="D154" s="47" t="s">
        <v>5</v>
      </c>
      <c r="E154" s="49">
        <v>16</v>
      </c>
      <c r="F154" s="141">
        <v>0</v>
      </c>
      <c r="G154" s="141">
        <v>0</v>
      </c>
      <c r="H154" s="141">
        <v>0</v>
      </c>
      <c r="I154" s="141">
        <v>0</v>
      </c>
      <c r="J154" s="271">
        <v>281</v>
      </c>
      <c r="K154" s="271">
        <f>SUM(E154*281)</f>
        <v>4496</v>
      </c>
    </row>
    <row r="155" spans="1:11" ht="31.5">
      <c r="A155" s="181">
        <v>6</v>
      </c>
      <c r="B155" s="53" t="s">
        <v>239</v>
      </c>
      <c r="C155" s="46" t="s">
        <v>240</v>
      </c>
      <c r="D155" s="47" t="s">
        <v>241</v>
      </c>
      <c r="E155" s="52">
        <v>0</v>
      </c>
      <c r="F155" s="141">
        <v>0</v>
      </c>
      <c r="G155" s="141">
        <v>0</v>
      </c>
      <c r="H155" s="141">
        <v>0</v>
      </c>
      <c r="I155" s="272">
        <v>0.84399999999999997</v>
      </c>
      <c r="J155" s="49">
        <v>54161</v>
      </c>
      <c r="K155" s="141">
        <f>SUM(I155*54161)</f>
        <v>45711.883999999998</v>
      </c>
    </row>
    <row r="156" spans="1:11" ht="31.5">
      <c r="A156" s="181">
        <v>7</v>
      </c>
      <c r="B156" s="53" t="s">
        <v>242</v>
      </c>
      <c r="C156" s="46" t="s">
        <v>243</v>
      </c>
      <c r="D156" s="47" t="s">
        <v>241</v>
      </c>
      <c r="E156" s="141">
        <v>0</v>
      </c>
      <c r="F156" s="141">
        <v>0</v>
      </c>
      <c r="G156" s="141">
        <v>0</v>
      </c>
      <c r="H156" s="141">
        <v>0</v>
      </c>
      <c r="I156" s="272">
        <v>1.008</v>
      </c>
      <c r="J156" s="272">
        <v>54161</v>
      </c>
      <c r="K156" s="141">
        <f>SUM(I156*54161)</f>
        <v>54594.288</v>
      </c>
    </row>
    <row r="157" spans="1:11" ht="31.5">
      <c r="A157" s="181">
        <v>8</v>
      </c>
      <c r="B157" s="53" t="s">
        <v>244</v>
      </c>
      <c r="C157" s="46" t="s">
        <v>245</v>
      </c>
      <c r="D157" s="47" t="s">
        <v>5</v>
      </c>
      <c r="E157" s="141">
        <v>8</v>
      </c>
      <c r="F157" s="141">
        <v>0</v>
      </c>
      <c r="G157" s="141">
        <v>0</v>
      </c>
      <c r="H157" s="141">
        <v>0</v>
      </c>
      <c r="I157" s="141">
        <v>0</v>
      </c>
      <c r="J157" s="141">
        <v>484.65</v>
      </c>
      <c r="K157" s="141">
        <f>SUM(E157*484.65)</f>
        <v>3877.2</v>
      </c>
    </row>
    <row r="158" spans="1:11" ht="31.5">
      <c r="A158" s="181">
        <v>9</v>
      </c>
      <c r="B158" s="53" t="s">
        <v>246</v>
      </c>
      <c r="C158" s="46" t="s">
        <v>247</v>
      </c>
      <c r="D158" s="47" t="s">
        <v>5</v>
      </c>
      <c r="E158" s="141">
        <v>3</v>
      </c>
      <c r="F158" s="141">
        <v>0</v>
      </c>
      <c r="G158" s="141">
        <v>0</v>
      </c>
      <c r="H158" s="141">
        <v>0</v>
      </c>
      <c r="I158" s="141">
        <v>0</v>
      </c>
      <c r="J158" s="271">
        <v>1150.8</v>
      </c>
      <c r="K158" s="271">
        <f>SUM(E158*1150.8)</f>
        <v>3452.3999999999996</v>
      </c>
    </row>
    <row r="159" spans="1:11" ht="31.5">
      <c r="A159" s="181">
        <v>10</v>
      </c>
      <c r="B159" s="53" t="s">
        <v>248</v>
      </c>
      <c r="C159" s="54" t="s">
        <v>249</v>
      </c>
      <c r="D159" s="47" t="s">
        <v>250</v>
      </c>
      <c r="E159" s="141">
        <v>16</v>
      </c>
      <c r="F159" s="141"/>
      <c r="G159" s="141"/>
      <c r="H159" s="141"/>
      <c r="I159" s="141"/>
      <c r="J159" s="271">
        <v>7003.3</v>
      </c>
      <c r="K159" s="271">
        <f>SUM(E159*7003.3)</f>
        <v>112052.8</v>
      </c>
    </row>
    <row r="160" spans="1:11">
      <c r="A160" s="181">
        <v>11</v>
      </c>
      <c r="B160" s="53" t="s">
        <v>251</v>
      </c>
      <c r="C160" s="54" t="s">
        <v>252</v>
      </c>
      <c r="D160" s="47" t="s">
        <v>37</v>
      </c>
      <c r="E160" s="141">
        <v>48</v>
      </c>
      <c r="F160" s="141"/>
      <c r="G160" s="141"/>
      <c r="H160" s="141"/>
      <c r="I160" s="141"/>
      <c r="J160" s="271">
        <v>1829</v>
      </c>
      <c r="K160" s="271">
        <f>SUM(E160*J160)</f>
        <v>87792</v>
      </c>
    </row>
    <row r="161" spans="1:11" ht="31.5">
      <c r="A161" s="181">
        <v>12</v>
      </c>
      <c r="B161" s="274" t="s">
        <v>253</v>
      </c>
      <c r="C161" s="55" t="s">
        <v>254</v>
      </c>
      <c r="D161" s="47" t="s">
        <v>5</v>
      </c>
      <c r="E161" s="141">
        <v>7</v>
      </c>
      <c r="F161" s="141">
        <v>0</v>
      </c>
      <c r="G161" s="141">
        <v>0</v>
      </c>
      <c r="H161" s="141">
        <v>0</v>
      </c>
      <c r="I161" s="141">
        <v>0</v>
      </c>
      <c r="J161" s="271">
        <v>590</v>
      </c>
      <c r="K161" s="275">
        <f>SUM(E161*590)</f>
        <v>4130</v>
      </c>
    </row>
    <row r="162" spans="1:11" ht="47.25">
      <c r="A162" s="181">
        <v>13</v>
      </c>
      <c r="B162" s="274" t="s">
        <v>255</v>
      </c>
      <c r="C162" s="46" t="s">
        <v>256</v>
      </c>
      <c r="D162" s="88" t="s">
        <v>257</v>
      </c>
      <c r="E162" s="141">
        <v>8</v>
      </c>
      <c r="F162" s="141">
        <v>0</v>
      </c>
      <c r="G162" s="141">
        <v>0</v>
      </c>
      <c r="H162" s="141">
        <v>0</v>
      </c>
      <c r="I162" s="141">
        <v>0</v>
      </c>
      <c r="J162" s="141">
        <v>1739.32</v>
      </c>
      <c r="K162" s="271">
        <f>SUM(E162*1739.32)</f>
        <v>13914.56</v>
      </c>
    </row>
    <row r="163" spans="1:11" ht="47.25">
      <c r="A163" s="181">
        <v>14</v>
      </c>
      <c r="B163" s="274" t="s">
        <v>255</v>
      </c>
      <c r="C163" s="46" t="s">
        <v>258</v>
      </c>
      <c r="D163" s="89"/>
      <c r="E163" s="141">
        <v>8</v>
      </c>
      <c r="F163" s="141">
        <v>0</v>
      </c>
      <c r="G163" s="141">
        <v>0</v>
      </c>
      <c r="H163" s="141">
        <v>0</v>
      </c>
      <c r="I163" s="141">
        <v>0</v>
      </c>
      <c r="J163" s="271">
        <v>1622.5</v>
      </c>
      <c r="K163" s="271">
        <f>SUM(E163*1622.5)</f>
        <v>12980</v>
      </c>
    </row>
    <row r="164" spans="1:11" ht="60">
      <c r="A164" s="181">
        <v>15</v>
      </c>
      <c r="B164" s="274" t="s">
        <v>259</v>
      </c>
      <c r="C164" s="276" t="s">
        <v>260</v>
      </c>
      <c r="D164" s="47" t="s">
        <v>257</v>
      </c>
      <c r="E164" s="141">
        <v>7</v>
      </c>
      <c r="F164" s="141">
        <v>0</v>
      </c>
      <c r="G164" s="141">
        <v>0</v>
      </c>
      <c r="H164" s="141">
        <v>0</v>
      </c>
      <c r="I164" s="141">
        <v>0</v>
      </c>
      <c r="J164" s="141">
        <v>1739.32</v>
      </c>
      <c r="K164" s="271">
        <f>SUM(E164*1739.32)</f>
        <v>12175.24</v>
      </c>
    </row>
    <row r="165" spans="1:11" ht="60">
      <c r="A165" s="181">
        <v>16</v>
      </c>
      <c r="B165" s="274" t="s">
        <v>259</v>
      </c>
      <c r="C165" s="276" t="s">
        <v>261</v>
      </c>
      <c r="D165" s="47" t="s">
        <v>257</v>
      </c>
      <c r="E165" s="141">
        <v>5</v>
      </c>
      <c r="F165" s="141">
        <v>0</v>
      </c>
      <c r="G165" s="141">
        <v>0</v>
      </c>
      <c r="H165" s="141">
        <v>0</v>
      </c>
      <c r="I165" s="141">
        <v>0</v>
      </c>
      <c r="J165" s="271">
        <v>1864.4</v>
      </c>
      <c r="K165" s="271">
        <f>SUM(E165*1864.4)</f>
        <v>9322</v>
      </c>
    </row>
    <row r="166" spans="1:11" ht="47.25">
      <c r="A166" s="181">
        <v>17</v>
      </c>
      <c r="B166" s="274" t="s">
        <v>262</v>
      </c>
      <c r="C166" s="46" t="s">
        <v>263</v>
      </c>
      <c r="D166" s="47" t="s">
        <v>264</v>
      </c>
      <c r="E166" s="141">
        <v>4</v>
      </c>
      <c r="F166" s="141">
        <v>0</v>
      </c>
      <c r="G166" s="141">
        <v>0</v>
      </c>
      <c r="H166" s="141">
        <v>0</v>
      </c>
      <c r="I166" s="141">
        <v>0</v>
      </c>
      <c r="J166" s="141">
        <v>626.58000000000004</v>
      </c>
      <c r="K166" s="141">
        <f>SUM(E166*626.58)</f>
        <v>2506.3200000000002</v>
      </c>
    </row>
    <row r="167" spans="1:11">
      <c r="A167" s="181">
        <v>18</v>
      </c>
      <c r="B167" s="274" t="s">
        <v>265</v>
      </c>
      <c r="C167" s="56" t="s">
        <v>266</v>
      </c>
      <c r="D167" s="141" t="s">
        <v>267</v>
      </c>
      <c r="E167" s="9">
        <v>155</v>
      </c>
      <c r="F167" s="141">
        <v>0</v>
      </c>
      <c r="G167" s="141">
        <v>0</v>
      </c>
      <c r="H167" s="141">
        <v>0</v>
      </c>
      <c r="I167" s="141">
        <v>0</v>
      </c>
      <c r="J167" s="271">
        <v>20</v>
      </c>
      <c r="K167" s="141">
        <f>SUM(E167*20)</f>
        <v>3100</v>
      </c>
    </row>
    <row r="168" spans="1:11" ht="47.25">
      <c r="A168" s="181">
        <v>19</v>
      </c>
      <c r="B168" s="274" t="s">
        <v>268</v>
      </c>
      <c r="C168" s="46" t="s">
        <v>269</v>
      </c>
      <c r="D168" s="141" t="s">
        <v>208</v>
      </c>
      <c r="E168" s="9">
        <v>0</v>
      </c>
      <c r="F168" s="141">
        <v>0</v>
      </c>
      <c r="G168" s="141">
        <v>0</v>
      </c>
      <c r="H168" s="141">
        <v>0</v>
      </c>
      <c r="I168" s="271">
        <v>1439.26</v>
      </c>
      <c r="J168" s="271">
        <v>10</v>
      </c>
      <c r="K168" s="141">
        <f>SUM(I168*J168)</f>
        <v>14392.6</v>
      </c>
    </row>
    <row r="169" spans="1:11">
      <c r="A169" s="181">
        <v>20</v>
      </c>
      <c r="B169" s="274" t="s">
        <v>268</v>
      </c>
      <c r="C169" s="46" t="s">
        <v>270</v>
      </c>
      <c r="D169" s="141" t="s">
        <v>67</v>
      </c>
      <c r="E169" s="9">
        <v>1.46</v>
      </c>
      <c r="F169" s="141">
        <v>0</v>
      </c>
      <c r="G169" s="141">
        <v>0</v>
      </c>
      <c r="H169" s="141">
        <v>0</v>
      </c>
      <c r="I169" s="271">
        <v>0</v>
      </c>
      <c r="J169" s="271">
        <v>78735.5</v>
      </c>
      <c r="K169" s="141">
        <f>SUM(E169*J169)</f>
        <v>114953.83</v>
      </c>
    </row>
    <row r="170" spans="1:11" ht="31.5">
      <c r="A170" s="181">
        <v>21</v>
      </c>
      <c r="B170" s="274" t="s">
        <v>271</v>
      </c>
      <c r="C170" s="46" t="s">
        <v>272</v>
      </c>
      <c r="D170" s="141" t="s">
        <v>37</v>
      </c>
      <c r="E170" s="9">
        <v>0</v>
      </c>
      <c r="F170" s="141">
        <v>0</v>
      </c>
      <c r="G170" s="141">
        <v>0</v>
      </c>
      <c r="H170" s="141">
        <v>0</v>
      </c>
      <c r="I170" s="271">
        <v>0</v>
      </c>
      <c r="J170" s="271">
        <v>3770.1</v>
      </c>
      <c r="K170" s="141">
        <f>SUM(E170*J170)</f>
        <v>0</v>
      </c>
    </row>
    <row r="171" spans="1:11" ht="31.5">
      <c r="A171" s="181">
        <v>22</v>
      </c>
      <c r="B171" s="274" t="s">
        <v>273</v>
      </c>
      <c r="C171" s="46" t="s">
        <v>274</v>
      </c>
      <c r="D171" s="141" t="s">
        <v>208</v>
      </c>
      <c r="E171" s="9">
        <v>20</v>
      </c>
      <c r="F171" s="141">
        <v>0</v>
      </c>
      <c r="G171" s="141">
        <v>0</v>
      </c>
      <c r="H171" s="141">
        <v>0</v>
      </c>
      <c r="I171" s="271">
        <v>0</v>
      </c>
      <c r="J171" s="271">
        <v>348.1</v>
      </c>
      <c r="K171" s="141">
        <f>SUM(E171*J171)</f>
        <v>6962</v>
      </c>
    </row>
    <row r="172" spans="1:11" ht="47.25">
      <c r="A172" s="181">
        <v>23</v>
      </c>
      <c r="B172" s="274" t="s">
        <v>275</v>
      </c>
      <c r="C172" s="46" t="s">
        <v>276</v>
      </c>
      <c r="D172" s="141" t="s">
        <v>277</v>
      </c>
      <c r="E172" s="277">
        <v>0</v>
      </c>
      <c r="F172" s="141">
        <v>0</v>
      </c>
      <c r="G172" s="141">
        <v>0</v>
      </c>
      <c r="H172" s="141">
        <v>0</v>
      </c>
      <c r="I172" s="271">
        <v>6</v>
      </c>
      <c r="J172" s="271">
        <v>4965.62</v>
      </c>
      <c r="K172" s="141">
        <f>SUM(I172*4965.62)</f>
        <v>29793.72</v>
      </c>
    </row>
    <row r="173" spans="1:11">
      <c r="A173" s="181"/>
      <c r="B173" s="141"/>
      <c r="C173" s="141"/>
      <c r="D173" s="141"/>
      <c r="E173" s="141"/>
      <c r="F173" s="141"/>
      <c r="G173" s="141"/>
      <c r="H173" s="90" t="s">
        <v>278</v>
      </c>
      <c r="I173" s="91"/>
      <c r="J173" s="92"/>
      <c r="K173" s="58">
        <f>SUM(K150:K172)</f>
        <v>710676.84199999995</v>
      </c>
    </row>
    <row r="174" spans="1:11">
      <c r="A174" s="181"/>
      <c r="B174" s="141"/>
      <c r="C174" s="141"/>
      <c r="D174" s="141"/>
      <c r="E174" s="141"/>
      <c r="F174" s="141"/>
      <c r="G174" s="141"/>
      <c r="H174" s="141"/>
      <c r="I174" s="141"/>
      <c r="J174" s="141"/>
      <c r="K174" s="141"/>
    </row>
    <row r="175" spans="1:11">
      <c r="A175" s="259"/>
      <c r="B175" s="259"/>
      <c r="C175" s="259"/>
      <c r="D175" s="259"/>
      <c r="E175" s="259"/>
      <c r="F175" s="259"/>
      <c r="G175" s="259"/>
      <c r="H175" s="259"/>
      <c r="I175" s="259"/>
      <c r="J175" s="259"/>
      <c r="K175" s="259"/>
    </row>
    <row r="176" spans="1:11">
      <c r="A176" s="59"/>
      <c r="B176" s="59" t="s">
        <v>279</v>
      </c>
      <c r="C176" s="259"/>
      <c r="D176" s="259"/>
      <c r="E176" s="259"/>
      <c r="F176" s="259"/>
      <c r="G176" s="259"/>
      <c r="H176" s="259"/>
      <c r="I176" s="259"/>
      <c r="J176" s="259"/>
      <c r="K176" s="259"/>
    </row>
    <row r="177" spans="1:11">
      <c r="A177" s="265" t="s">
        <v>280</v>
      </c>
      <c r="B177" s="266" t="s">
        <v>221</v>
      </c>
      <c r="C177" s="266" t="s">
        <v>222</v>
      </c>
      <c r="D177" s="267" t="s">
        <v>119</v>
      </c>
      <c r="E177" s="57"/>
      <c r="F177" s="90" t="s">
        <v>223</v>
      </c>
      <c r="G177" s="91"/>
      <c r="H177" s="91"/>
      <c r="I177" s="92"/>
      <c r="J177" s="268" t="s">
        <v>224</v>
      </c>
      <c r="K177" s="265" t="s">
        <v>225</v>
      </c>
    </row>
    <row r="178" spans="1:11">
      <c r="A178" s="266"/>
      <c r="B178" s="266"/>
      <c r="C178" s="266"/>
      <c r="D178" s="269"/>
      <c r="E178" s="181" t="s">
        <v>281</v>
      </c>
      <c r="F178" s="181" t="s">
        <v>226</v>
      </c>
      <c r="G178" s="181" t="s">
        <v>1</v>
      </c>
      <c r="H178" s="181" t="s">
        <v>227</v>
      </c>
      <c r="I178" s="181" t="s">
        <v>228</v>
      </c>
      <c r="J178" s="270"/>
      <c r="K178" s="265"/>
    </row>
    <row r="179" spans="1:11" ht="78.75">
      <c r="A179" s="181">
        <v>1</v>
      </c>
      <c r="B179" s="141" t="s">
        <v>282</v>
      </c>
      <c r="C179" s="54" t="s">
        <v>283</v>
      </c>
      <c r="D179" s="60" t="s">
        <v>37</v>
      </c>
      <c r="E179" s="141">
        <v>1</v>
      </c>
      <c r="F179" s="181"/>
      <c r="G179" s="181"/>
      <c r="H179" s="181"/>
      <c r="I179" s="181"/>
      <c r="J179" s="60">
        <v>82718</v>
      </c>
      <c r="K179" s="60">
        <f>SUM(E179*J179)</f>
        <v>82718</v>
      </c>
    </row>
    <row r="180" spans="1:11" ht="78.75">
      <c r="A180" s="181">
        <v>2</v>
      </c>
      <c r="B180" s="141" t="s">
        <v>284</v>
      </c>
      <c r="C180" s="46" t="s">
        <v>285</v>
      </c>
      <c r="D180" s="141" t="s">
        <v>277</v>
      </c>
      <c r="E180" s="141">
        <v>1</v>
      </c>
      <c r="F180" s="141"/>
      <c r="G180" s="141"/>
      <c r="H180" s="181"/>
      <c r="I180" s="141"/>
      <c r="J180" s="60">
        <v>11782.3</v>
      </c>
      <c r="K180" s="60">
        <f t="shared" ref="K180:K192" si="29">SUM(E180*J180)</f>
        <v>11782.3</v>
      </c>
    </row>
    <row r="181" spans="1:11" ht="78.75">
      <c r="A181" s="181">
        <v>3</v>
      </c>
      <c r="B181" s="141" t="s">
        <v>286</v>
      </c>
      <c r="C181" s="54" t="s">
        <v>287</v>
      </c>
      <c r="D181" s="141" t="s">
        <v>277</v>
      </c>
      <c r="E181" s="141">
        <v>1</v>
      </c>
      <c r="F181" s="141"/>
      <c r="G181" s="141"/>
      <c r="H181" s="141"/>
      <c r="I181" s="141"/>
      <c r="J181" s="60">
        <v>11782.3</v>
      </c>
      <c r="K181" s="60">
        <f t="shared" si="29"/>
        <v>11782.3</v>
      </c>
    </row>
    <row r="182" spans="1:11" ht="78.75">
      <c r="A182" s="181">
        <v>4</v>
      </c>
      <c r="B182" s="141" t="s">
        <v>288</v>
      </c>
      <c r="C182" s="54" t="s">
        <v>289</v>
      </c>
      <c r="D182" s="141" t="s">
        <v>277</v>
      </c>
      <c r="E182" s="141">
        <v>1</v>
      </c>
      <c r="F182" s="141"/>
      <c r="G182" s="141"/>
      <c r="H182" s="141"/>
      <c r="I182" s="141"/>
      <c r="J182" s="60">
        <v>13623.1</v>
      </c>
      <c r="K182" s="60">
        <f t="shared" si="29"/>
        <v>13623.1</v>
      </c>
    </row>
    <row r="183" spans="1:11" ht="78.75">
      <c r="A183" s="181">
        <v>5</v>
      </c>
      <c r="B183" s="141" t="s">
        <v>290</v>
      </c>
      <c r="C183" s="54" t="s">
        <v>291</v>
      </c>
      <c r="D183" s="141" t="s">
        <v>277</v>
      </c>
      <c r="E183" s="141">
        <v>1</v>
      </c>
      <c r="F183" s="141"/>
      <c r="G183" s="141"/>
      <c r="H183" s="141"/>
      <c r="I183" s="141"/>
      <c r="J183" s="60">
        <v>14803.1</v>
      </c>
      <c r="K183" s="60">
        <f t="shared" si="29"/>
        <v>14803.1</v>
      </c>
    </row>
    <row r="184" spans="1:11" ht="31.5">
      <c r="A184" s="181">
        <v>6</v>
      </c>
      <c r="B184" s="141"/>
      <c r="C184" s="54" t="s">
        <v>292</v>
      </c>
      <c r="D184" s="141" t="s">
        <v>37</v>
      </c>
      <c r="E184" s="141">
        <v>1</v>
      </c>
      <c r="F184" s="141"/>
      <c r="G184" s="141"/>
      <c r="H184" s="141"/>
      <c r="I184" s="141"/>
      <c r="J184" s="271">
        <v>29441</v>
      </c>
      <c r="K184" s="60">
        <f t="shared" si="29"/>
        <v>29441</v>
      </c>
    </row>
    <row r="185" spans="1:11" ht="47.25">
      <c r="A185" s="181">
        <v>7</v>
      </c>
      <c r="B185" s="141" t="s">
        <v>293</v>
      </c>
      <c r="C185" s="54" t="s">
        <v>294</v>
      </c>
      <c r="D185" s="141" t="s">
        <v>37</v>
      </c>
      <c r="E185" s="141">
        <v>2</v>
      </c>
      <c r="F185" s="141"/>
      <c r="G185" s="141"/>
      <c r="H185" s="141"/>
      <c r="I185" s="141"/>
      <c r="J185" s="271">
        <v>3127</v>
      </c>
      <c r="K185" s="60">
        <f t="shared" si="29"/>
        <v>6254</v>
      </c>
    </row>
    <row r="186" spans="1:11" ht="31.5">
      <c r="A186" s="181">
        <v>8</v>
      </c>
      <c r="B186" s="141" t="s">
        <v>295</v>
      </c>
      <c r="C186" s="54" t="s">
        <v>296</v>
      </c>
      <c r="D186" s="141" t="s">
        <v>37</v>
      </c>
      <c r="E186" s="141">
        <v>1</v>
      </c>
      <c r="F186" s="141"/>
      <c r="G186" s="141"/>
      <c r="H186" s="141"/>
      <c r="I186" s="141"/>
      <c r="J186" s="271">
        <v>4071</v>
      </c>
      <c r="K186" s="60">
        <f t="shared" si="29"/>
        <v>4071</v>
      </c>
    </row>
    <row r="187" spans="1:11" ht="31.5">
      <c r="A187" s="181">
        <v>9</v>
      </c>
      <c r="B187" s="141"/>
      <c r="C187" s="54" t="s">
        <v>297</v>
      </c>
      <c r="D187" s="141" t="s">
        <v>37</v>
      </c>
      <c r="E187" s="141">
        <v>1</v>
      </c>
      <c r="F187" s="141"/>
      <c r="G187" s="141"/>
      <c r="H187" s="141"/>
      <c r="I187" s="141"/>
      <c r="J187" s="271">
        <v>31978</v>
      </c>
      <c r="K187" s="60">
        <f t="shared" si="29"/>
        <v>31978</v>
      </c>
    </row>
    <row r="188" spans="1:11" ht="47.25">
      <c r="A188" s="181">
        <v>10</v>
      </c>
      <c r="B188" s="141" t="s">
        <v>298</v>
      </c>
      <c r="C188" s="54" t="s">
        <v>299</v>
      </c>
      <c r="D188" s="141" t="s">
        <v>37</v>
      </c>
      <c r="E188" s="141">
        <v>4</v>
      </c>
      <c r="F188" s="141"/>
      <c r="G188" s="141"/>
      <c r="H188" s="141"/>
      <c r="I188" s="141"/>
      <c r="J188" s="271">
        <v>4661</v>
      </c>
      <c r="K188" s="60">
        <f t="shared" si="29"/>
        <v>18644</v>
      </c>
    </row>
    <row r="189" spans="1:11" ht="47.25">
      <c r="A189" s="181">
        <v>11</v>
      </c>
      <c r="B189" s="141" t="s">
        <v>300</v>
      </c>
      <c r="C189" s="54" t="s">
        <v>301</v>
      </c>
      <c r="D189" s="141" t="s">
        <v>37</v>
      </c>
      <c r="E189" s="141">
        <v>2</v>
      </c>
      <c r="F189" s="141"/>
      <c r="G189" s="141"/>
      <c r="H189" s="181"/>
      <c r="I189" s="141"/>
      <c r="J189" s="271">
        <v>4661</v>
      </c>
      <c r="K189" s="60">
        <f t="shared" si="29"/>
        <v>9322</v>
      </c>
    </row>
    <row r="190" spans="1:11" ht="47.25">
      <c r="A190" s="181">
        <v>12</v>
      </c>
      <c r="B190" s="141" t="s">
        <v>302</v>
      </c>
      <c r="C190" s="54" t="s">
        <v>303</v>
      </c>
      <c r="D190" s="141" t="s">
        <v>37</v>
      </c>
      <c r="E190" s="141">
        <v>2</v>
      </c>
      <c r="F190" s="141"/>
      <c r="G190" s="141"/>
      <c r="H190" s="181"/>
      <c r="I190" s="141"/>
      <c r="J190" s="271">
        <v>2265.6</v>
      </c>
      <c r="K190" s="60">
        <f t="shared" si="29"/>
        <v>4531.2</v>
      </c>
    </row>
    <row r="191" spans="1:11" ht="31.5">
      <c r="A191" s="181">
        <v>13</v>
      </c>
      <c r="B191" s="141" t="s">
        <v>304</v>
      </c>
      <c r="C191" s="54" t="s">
        <v>305</v>
      </c>
      <c r="D191" s="141" t="s">
        <v>37</v>
      </c>
      <c r="E191" s="141">
        <v>2</v>
      </c>
      <c r="F191" s="141"/>
      <c r="G191" s="141"/>
      <c r="H191" s="141"/>
      <c r="I191" s="141"/>
      <c r="J191" s="271">
        <v>7599.2</v>
      </c>
      <c r="K191" s="60">
        <f t="shared" si="29"/>
        <v>15198.4</v>
      </c>
    </row>
    <row r="192" spans="1:11">
      <c r="A192" s="181">
        <v>14</v>
      </c>
      <c r="B192" s="141"/>
      <c r="C192" s="278" t="s">
        <v>306</v>
      </c>
      <c r="D192" s="141" t="s">
        <v>37</v>
      </c>
      <c r="E192" s="141">
        <v>2</v>
      </c>
      <c r="F192" s="141"/>
      <c r="G192" s="141"/>
      <c r="H192" s="141"/>
      <c r="I192" s="141"/>
      <c r="J192" s="271">
        <v>4082.8</v>
      </c>
      <c r="K192" s="60">
        <f t="shared" si="29"/>
        <v>8165.6</v>
      </c>
    </row>
    <row r="193" spans="1:16">
      <c r="A193" s="181">
        <v>15</v>
      </c>
      <c r="B193" s="141"/>
      <c r="C193" s="279" t="s">
        <v>307</v>
      </c>
      <c r="D193" s="141" t="s">
        <v>37</v>
      </c>
      <c r="E193" s="141">
        <v>5</v>
      </c>
      <c r="F193" s="141"/>
      <c r="G193" s="141"/>
      <c r="H193" s="141"/>
      <c r="I193" s="141"/>
      <c r="J193" s="271">
        <v>2631.4</v>
      </c>
      <c r="K193" s="271">
        <f>SUM(E193*J193)</f>
        <v>13157</v>
      </c>
    </row>
    <row r="194" spans="1:16">
      <c r="A194" s="181">
        <v>16</v>
      </c>
      <c r="B194" s="141" t="s">
        <v>308</v>
      </c>
      <c r="C194" s="279" t="s">
        <v>309</v>
      </c>
      <c r="D194" s="141" t="s">
        <v>37</v>
      </c>
      <c r="E194" s="141">
        <v>6</v>
      </c>
      <c r="F194" s="141"/>
      <c r="G194" s="141"/>
      <c r="H194" s="141"/>
      <c r="I194" s="141"/>
      <c r="J194" s="271">
        <v>407.1</v>
      </c>
      <c r="K194" s="271">
        <f t="shared" ref="K194:K198" si="30">SUM(E194*J194)</f>
        <v>2442.6000000000004</v>
      </c>
    </row>
    <row r="195" spans="1:16" ht="63">
      <c r="A195" s="181">
        <v>17</v>
      </c>
      <c r="B195" s="141" t="s">
        <v>310</v>
      </c>
      <c r="C195" s="279" t="s">
        <v>311</v>
      </c>
      <c r="D195" s="141" t="s">
        <v>37</v>
      </c>
      <c r="E195" s="141">
        <v>5</v>
      </c>
      <c r="F195" s="141"/>
      <c r="G195" s="141"/>
      <c r="H195" s="141"/>
      <c r="I195" s="141"/>
      <c r="J195" s="271">
        <v>4436.8</v>
      </c>
      <c r="K195" s="271">
        <f t="shared" si="30"/>
        <v>22184</v>
      </c>
    </row>
    <row r="196" spans="1:16" ht="31.5">
      <c r="A196" s="181">
        <v>18</v>
      </c>
      <c r="B196" s="141" t="s">
        <v>312</v>
      </c>
      <c r="C196" s="279" t="s">
        <v>313</v>
      </c>
      <c r="D196" s="141" t="s">
        <v>46</v>
      </c>
      <c r="E196" s="141">
        <v>130</v>
      </c>
      <c r="F196" s="141"/>
      <c r="G196" s="141"/>
      <c r="H196" s="141"/>
      <c r="I196" s="141"/>
      <c r="J196" s="141">
        <v>1270.8599999999999</v>
      </c>
      <c r="K196" s="141">
        <f t="shared" si="30"/>
        <v>165211.79999999999</v>
      </c>
    </row>
    <row r="197" spans="1:16" ht="47.25">
      <c r="A197" s="181">
        <v>19</v>
      </c>
      <c r="B197" s="141"/>
      <c r="C197" s="279" t="s">
        <v>314</v>
      </c>
      <c r="D197" s="141" t="s">
        <v>37</v>
      </c>
      <c r="E197" s="141">
        <v>2</v>
      </c>
      <c r="F197" s="141"/>
      <c r="G197" s="141"/>
      <c r="H197" s="141"/>
      <c r="I197" s="141"/>
      <c r="J197" s="271">
        <v>38768.9</v>
      </c>
      <c r="K197" s="271">
        <f t="shared" si="30"/>
        <v>77537.8</v>
      </c>
    </row>
    <row r="198" spans="1:16" ht="47.25">
      <c r="A198" s="182">
        <v>20</v>
      </c>
      <c r="B198" s="141" t="s">
        <v>315</v>
      </c>
      <c r="C198" s="279" t="s">
        <v>316</v>
      </c>
      <c r="D198" s="134" t="s">
        <v>37</v>
      </c>
      <c r="E198" s="134">
        <v>1</v>
      </c>
      <c r="F198" s="134"/>
      <c r="G198" s="134"/>
      <c r="H198" s="134"/>
      <c r="I198" s="134"/>
      <c r="J198" s="280">
        <v>12059.6</v>
      </c>
      <c r="K198" s="280">
        <f t="shared" si="30"/>
        <v>12059.6</v>
      </c>
    </row>
    <row r="199" spans="1:16">
      <c r="A199" s="141"/>
      <c r="B199" s="141"/>
      <c r="C199" s="281"/>
      <c r="D199" s="141"/>
      <c r="E199" s="141"/>
      <c r="F199" s="141"/>
      <c r="G199" s="141"/>
      <c r="H199" s="141"/>
      <c r="I199" s="141"/>
      <c r="J199" s="181" t="s">
        <v>82</v>
      </c>
      <c r="K199" s="58">
        <f>SUM(K179:K198)</f>
        <v>554906.79999999993</v>
      </c>
    </row>
    <row r="200" spans="1:16">
      <c r="A200" s="259"/>
      <c r="B200" s="259"/>
      <c r="C200" s="282"/>
      <c r="D200" s="259"/>
      <c r="E200" s="259"/>
      <c r="F200" s="259"/>
      <c r="G200" s="259"/>
      <c r="H200" s="259"/>
      <c r="I200" s="259"/>
      <c r="J200" s="259"/>
      <c r="K200" s="259"/>
    </row>
    <row r="201" spans="1:16">
      <c r="A201" s="259"/>
      <c r="B201" s="259"/>
      <c r="C201" s="282"/>
      <c r="D201" s="259"/>
      <c r="E201" s="259"/>
      <c r="F201" s="259"/>
      <c r="G201" s="259"/>
      <c r="H201" s="259"/>
      <c r="I201" s="259"/>
      <c r="J201" s="259"/>
      <c r="K201" s="259"/>
    </row>
    <row r="202" spans="1:16">
      <c r="A202" s="259"/>
      <c r="B202" s="259"/>
      <c r="C202" s="61"/>
      <c r="D202" s="259"/>
      <c r="E202" s="85"/>
      <c r="F202" s="85"/>
      <c r="G202" s="259"/>
      <c r="H202" s="259"/>
      <c r="I202" s="259"/>
      <c r="J202" s="259"/>
      <c r="K202" s="259"/>
    </row>
    <row r="203" spans="1:16">
      <c r="A203" s="259"/>
      <c r="B203" s="259"/>
      <c r="C203" s="282"/>
      <c r="D203" s="259"/>
      <c r="E203" s="259"/>
      <c r="F203" s="259"/>
      <c r="G203" s="259"/>
      <c r="H203" s="259"/>
      <c r="I203" s="259"/>
      <c r="J203" s="259"/>
      <c r="K203" s="259"/>
    </row>
    <row r="204" spans="1:16">
      <c r="A204" s="259"/>
      <c r="B204" s="259"/>
      <c r="C204" s="261"/>
      <c r="D204" s="260"/>
      <c r="E204" s="260"/>
      <c r="F204" s="260"/>
      <c r="G204" s="259"/>
      <c r="H204" s="259"/>
      <c r="I204" s="261"/>
      <c r="J204" s="259"/>
      <c r="K204" s="259"/>
    </row>
    <row r="206" spans="1:16">
      <c r="A206" s="283" t="s">
        <v>317</v>
      </c>
      <c r="B206" s="283"/>
      <c r="C206" s="283"/>
      <c r="D206" s="283"/>
      <c r="E206" s="284"/>
      <c r="F206" s="285"/>
      <c r="G206" s="286" t="s">
        <v>318</v>
      </c>
      <c r="H206" s="287" t="s">
        <v>319</v>
      </c>
      <c r="I206" s="286"/>
      <c r="J206" s="286"/>
      <c r="K206" s="286"/>
      <c r="L206" s="288" t="s">
        <v>320</v>
      </c>
      <c r="M206" s="288"/>
      <c r="N206" s="288"/>
      <c r="O206" s="288"/>
      <c r="P206" s="288"/>
    </row>
    <row r="207" spans="1:16">
      <c r="A207" s="283" t="s">
        <v>321</v>
      </c>
      <c r="B207" s="283"/>
      <c r="C207" s="283"/>
      <c r="D207" s="283"/>
      <c r="E207" s="284"/>
      <c r="F207" s="285"/>
      <c r="G207" s="286"/>
      <c r="H207" s="286"/>
      <c r="I207" s="286"/>
      <c r="J207" s="286"/>
      <c r="K207" s="286"/>
      <c r="L207" s="286"/>
      <c r="M207" s="286"/>
      <c r="N207" s="286"/>
      <c r="O207" s="286"/>
      <c r="P207" s="289"/>
    </row>
    <row r="208" spans="1:16">
      <c r="A208" s="283" t="s">
        <v>322</v>
      </c>
      <c r="B208" s="283"/>
      <c r="C208" s="283"/>
      <c r="D208" s="283"/>
      <c r="E208" s="283"/>
      <c r="F208" s="285"/>
      <c r="G208" s="290"/>
      <c r="H208" s="286"/>
      <c r="I208" s="286"/>
      <c r="J208" s="286"/>
      <c r="K208" s="286"/>
      <c r="L208" s="286"/>
      <c r="M208" s="286"/>
      <c r="N208" s="286"/>
      <c r="O208" s="286"/>
      <c r="P208" s="289"/>
    </row>
    <row r="209" spans="1:16">
      <c r="A209" s="291" t="s">
        <v>323</v>
      </c>
      <c r="B209" s="291"/>
      <c r="C209" s="291"/>
      <c r="D209" s="291"/>
      <c r="E209" s="291"/>
      <c r="F209" s="285"/>
      <c r="G209" s="286"/>
      <c r="H209" s="286"/>
      <c r="I209" s="286"/>
      <c r="J209" s="286"/>
      <c r="K209" s="286"/>
      <c r="L209" s="286"/>
      <c r="M209" s="286"/>
      <c r="N209" s="286"/>
      <c r="O209" s="286"/>
      <c r="P209" s="289"/>
    </row>
    <row r="210" spans="1:16" ht="31.5">
      <c r="A210" s="181" t="s">
        <v>116</v>
      </c>
      <c r="B210" s="292" t="s">
        <v>117</v>
      </c>
      <c r="C210" s="239" t="s">
        <v>118</v>
      </c>
      <c r="D210" s="292" t="s">
        <v>119</v>
      </c>
      <c r="E210" s="292" t="s">
        <v>120</v>
      </c>
      <c r="F210" s="293" t="s">
        <v>121</v>
      </c>
      <c r="G210" s="294"/>
      <c r="H210" s="293" t="s">
        <v>122</v>
      </c>
      <c r="I210" s="294"/>
      <c r="J210" s="293" t="s">
        <v>123</v>
      </c>
      <c r="K210" s="294"/>
      <c r="L210" s="293" t="s">
        <v>1</v>
      </c>
      <c r="M210" s="294"/>
      <c r="N210" s="293" t="s">
        <v>0</v>
      </c>
      <c r="O210" s="294"/>
      <c r="P210" s="295" t="s">
        <v>124</v>
      </c>
    </row>
    <row r="211" spans="1:16" ht="47.25">
      <c r="A211" s="181"/>
      <c r="B211" s="292"/>
      <c r="C211" s="239"/>
      <c r="D211" s="296"/>
      <c r="E211" s="296"/>
      <c r="F211" s="292" t="s">
        <v>125</v>
      </c>
      <c r="G211" s="292" t="s">
        <v>126</v>
      </c>
      <c r="H211" s="292" t="s">
        <v>125</v>
      </c>
      <c r="I211" s="292" t="s">
        <v>126</v>
      </c>
      <c r="J211" s="292" t="s">
        <v>125</v>
      </c>
      <c r="K211" s="292" t="s">
        <v>126</v>
      </c>
      <c r="L211" s="292" t="s">
        <v>125</v>
      </c>
      <c r="M211" s="292" t="s">
        <v>126</v>
      </c>
      <c r="N211" s="292" t="s">
        <v>125</v>
      </c>
      <c r="O211" s="292" t="s">
        <v>126</v>
      </c>
      <c r="P211" s="295"/>
    </row>
    <row r="212" spans="1:16" ht="31.5">
      <c r="A212" s="297">
        <v>1</v>
      </c>
      <c r="B212" s="298" t="s">
        <v>324</v>
      </c>
      <c r="C212" s="8" t="s">
        <v>325</v>
      </c>
      <c r="D212" s="10" t="s">
        <v>46</v>
      </c>
      <c r="E212" s="299">
        <v>80</v>
      </c>
      <c r="F212" s="300">
        <v>90</v>
      </c>
      <c r="G212" s="301">
        <f>E212*F212</f>
        <v>7200</v>
      </c>
      <c r="H212" s="302"/>
      <c r="I212" s="303">
        <f>H212*E212</f>
        <v>0</v>
      </c>
      <c r="J212" s="302"/>
      <c r="K212" s="292">
        <f>E212*J212</f>
        <v>0</v>
      </c>
      <c r="L212" s="304"/>
      <c r="M212" s="292">
        <f>E212*L212</f>
        <v>0</v>
      </c>
      <c r="N212" s="304">
        <v>0</v>
      </c>
      <c r="O212" s="292">
        <f>E212*N212</f>
        <v>0</v>
      </c>
      <c r="P212" s="299">
        <f>G212+I212+K212+M212+O212</f>
        <v>7200</v>
      </c>
    </row>
    <row r="213" spans="1:16">
      <c r="A213" s="297">
        <v>2</v>
      </c>
      <c r="B213" s="298" t="s">
        <v>326</v>
      </c>
      <c r="C213" s="8" t="s">
        <v>327</v>
      </c>
      <c r="D213" s="10" t="s">
        <v>46</v>
      </c>
      <c r="E213" s="299">
        <v>85</v>
      </c>
      <c r="F213" s="300">
        <v>18</v>
      </c>
      <c r="G213" s="301">
        <f t="shared" ref="G213:G276" si="31">E213*F213</f>
        <v>1530</v>
      </c>
      <c r="H213" s="302"/>
      <c r="I213" s="303">
        <f t="shared" ref="I213:I254" si="32">H213*E213</f>
        <v>0</v>
      </c>
      <c r="J213" s="302"/>
      <c r="K213" s="292">
        <f t="shared" ref="K213:K255" si="33">E213*J213</f>
        <v>0</v>
      </c>
      <c r="L213" s="304"/>
      <c r="M213" s="292">
        <f t="shared" ref="M213:M255" si="34">E213*L213</f>
        <v>0</v>
      </c>
      <c r="N213" s="304">
        <v>0</v>
      </c>
      <c r="O213" s="292">
        <f t="shared" ref="O213:O276" si="35">E213*N213</f>
        <v>0</v>
      </c>
      <c r="P213" s="299">
        <f>G213+I213+K213+M213+O213</f>
        <v>1530</v>
      </c>
    </row>
    <row r="214" spans="1:16" ht="31.5">
      <c r="A214" s="297">
        <v>3</v>
      </c>
      <c r="B214" s="298" t="s">
        <v>328</v>
      </c>
      <c r="C214" s="8" t="s">
        <v>329</v>
      </c>
      <c r="D214" s="10" t="s">
        <v>46</v>
      </c>
      <c r="E214" s="299">
        <v>257</v>
      </c>
      <c r="F214" s="300">
        <v>41</v>
      </c>
      <c r="G214" s="301">
        <f t="shared" si="31"/>
        <v>10537</v>
      </c>
      <c r="H214" s="302"/>
      <c r="I214" s="303">
        <f t="shared" si="32"/>
        <v>0</v>
      </c>
      <c r="J214" s="302"/>
      <c r="K214" s="292">
        <f t="shared" si="33"/>
        <v>0</v>
      </c>
      <c r="L214" s="304"/>
      <c r="M214" s="292">
        <f t="shared" si="34"/>
        <v>0</v>
      </c>
      <c r="N214" s="304">
        <v>0</v>
      </c>
      <c r="O214" s="292">
        <f t="shared" si="35"/>
        <v>0</v>
      </c>
      <c r="P214" s="299">
        <f t="shared" ref="P214:P254" si="36">G214+I214+K214+M214+O214</f>
        <v>10537</v>
      </c>
    </row>
    <row r="215" spans="1:16">
      <c r="A215" s="297">
        <v>4</v>
      </c>
      <c r="B215" s="298" t="s">
        <v>330</v>
      </c>
      <c r="C215" s="8" t="s">
        <v>331</v>
      </c>
      <c r="D215" s="10" t="s">
        <v>5</v>
      </c>
      <c r="E215" s="299">
        <v>350</v>
      </c>
      <c r="F215" s="300">
        <v>8</v>
      </c>
      <c r="G215" s="301">
        <f t="shared" si="31"/>
        <v>2800</v>
      </c>
      <c r="H215" s="302"/>
      <c r="I215" s="303">
        <f t="shared" si="32"/>
        <v>0</v>
      </c>
      <c r="J215" s="302"/>
      <c r="K215" s="292">
        <f t="shared" si="33"/>
        <v>0</v>
      </c>
      <c r="L215" s="304"/>
      <c r="M215" s="292">
        <f t="shared" si="34"/>
        <v>0</v>
      </c>
      <c r="N215" s="304">
        <v>0</v>
      </c>
      <c r="O215" s="292">
        <f t="shared" si="35"/>
        <v>0</v>
      </c>
      <c r="P215" s="299">
        <f t="shared" si="36"/>
        <v>2800</v>
      </c>
    </row>
    <row r="216" spans="1:16">
      <c r="A216" s="297">
        <v>5</v>
      </c>
      <c r="B216" s="181" t="s">
        <v>332</v>
      </c>
      <c r="C216" s="8" t="s">
        <v>333</v>
      </c>
      <c r="D216" s="10" t="s">
        <v>208</v>
      </c>
      <c r="E216" s="299">
        <v>19.600000000000001</v>
      </c>
      <c r="F216" s="300">
        <v>718</v>
      </c>
      <c r="G216" s="301">
        <f t="shared" si="31"/>
        <v>14072.800000000001</v>
      </c>
      <c r="H216" s="302"/>
      <c r="I216" s="303">
        <f t="shared" si="32"/>
        <v>0</v>
      </c>
      <c r="J216" s="302"/>
      <c r="K216" s="292">
        <f t="shared" si="33"/>
        <v>0</v>
      </c>
      <c r="L216" s="304"/>
      <c r="M216" s="292">
        <f t="shared" si="34"/>
        <v>0</v>
      </c>
      <c r="N216" s="304">
        <v>0</v>
      </c>
      <c r="O216" s="292">
        <f t="shared" si="35"/>
        <v>0</v>
      </c>
      <c r="P216" s="299">
        <f>G216+I216+K216+M216+O216</f>
        <v>14072.800000000001</v>
      </c>
    </row>
    <row r="217" spans="1:16" ht="31.5">
      <c r="A217" s="297">
        <v>6</v>
      </c>
      <c r="B217" s="181" t="s">
        <v>334</v>
      </c>
      <c r="C217" s="8" t="s">
        <v>335</v>
      </c>
      <c r="D217" s="10" t="s">
        <v>208</v>
      </c>
      <c r="E217" s="299">
        <v>28.74</v>
      </c>
      <c r="F217" s="305">
        <v>2465</v>
      </c>
      <c r="G217" s="301">
        <f t="shared" si="31"/>
        <v>70844.099999999991</v>
      </c>
      <c r="H217" s="302"/>
      <c r="I217" s="303">
        <f t="shared" si="32"/>
        <v>0</v>
      </c>
      <c r="J217" s="304"/>
      <c r="K217" s="292">
        <f t="shared" si="33"/>
        <v>0</v>
      </c>
      <c r="L217" s="304"/>
      <c r="M217" s="292">
        <f t="shared" si="34"/>
        <v>0</v>
      </c>
      <c r="N217" s="304">
        <v>0</v>
      </c>
      <c r="O217" s="292">
        <f t="shared" si="35"/>
        <v>0</v>
      </c>
      <c r="P217" s="299">
        <f t="shared" si="36"/>
        <v>70844.099999999991</v>
      </c>
    </row>
    <row r="218" spans="1:16" ht="31.5">
      <c r="A218" s="297">
        <v>7</v>
      </c>
      <c r="B218" s="298" t="s">
        <v>336</v>
      </c>
      <c r="C218" s="8" t="s">
        <v>337</v>
      </c>
      <c r="D218" s="10" t="s">
        <v>208</v>
      </c>
      <c r="E218" s="299">
        <v>28.74</v>
      </c>
      <c r="F218" s="305">
        <v>1119.6500000000001</v>
      </c>
      <c r="G218" s="301">
        <f t="shared" si="31"/>
        <v>32178.741000000002</v>
      </c>
      <c r="H218" s="302"/>
      <c r="I218" s="303">
        <f t="shared" si="32"/>
        <v>0</v>
      </c>
      <c r="J218" s="304"/>
      <c r="K218" s="292">
        <f t="shared" si="33"/>
        <v>0</v>
      </c>
      <c r="L218" s="304"/>
      <c r="M218" s="292">
        <f t="shared" si="34"/>
        <v>0</v>
      </c>
      <c r="N218" s="304">
        <v>0</v>
      </c>
      <c r="O218" s="292">
        <f t="shared" si="35"/>
        <v>0</v>
      </c>
      <c r="P218" s="299">
        <f t="shared" si="36"/>
        <v>32178.741000000002</v>
      </c>
    </row>
    <row r="219" spans="1:16">
      <c r="A219" s="297">
        <v>8</v>
      </c>
      <c r="B219" s="298" t="s">
        <v>338</v>
      </c>
      <c r="C219" s="8" t="s">
        <v>339</v>
      </c>
      <c r="D219" s="10" t="s">
        <v>208</v>
      </c>
      <c r="E219" s="299">
        <v>28.74</v>
      </c>
      <c r="F219" s="305">
        <v>2903.7049999999999</v>
      </c>
      <c r="G219" s="301">
        <f t="shared" si="31"/>
        <v>83452.481699999989</v>
      </c>
      <c r="H219" s="302"/>
      <c r="I219" s="303">
        <f t="shared" si="32"/>
        <v>0</v>
      </c>
      <c r="J219" s="304"/>
      <c r="K219" s="292">
        <f t="shared" si="33"/>
        <v>0</v>
      </c>
      <c r="L219" s="304"/>
      <c r="M219" s="292">
        <f t="shared" si="34"/>
        <v>0</v>
      </c>
      <c r="N219" s="304">
        <v>0</v>
      </c>
      <c r="O219" s="292">
        <f t="shared" si="35"/>
        <v>0</v>
      </c>
      <c r="P219" s="299">
        <f t="shared" si="36"/>
        <v>83452.481699999989</v>
      </c>
    </row>
    <row r="220" spans="1:16">
      <c r="A220" s="297">
        <v>9</v>
      </c>
      <c r="B220" s="298" t="s">
        <v>340</v>
      </c>
      <c r="C220" s="8" t="s">
        <v>341</v>
      </c>
      <c r="D220" s="10" t="s">
        <v>208</v>
      </c>
      <c r="E220" s="299">
        <v>28.74</v>
      </c>
      <c r="F220" s="305">
        <v>354.23</v>
      </c>
      <c r="G220" s="301">
        <f t="shared" si="31"/>
        <v>10180.5702</v>
      </c>
      <c r="H220" s="302"/>
      <c r="I220" s="303">
        <f t="shared" si="32"/>
        <v>0</v>
      </c>
      <c r="J220" s="304"/>
      <c r="K220" s="292">
        <f t="shared" si="33"/>
        <v>0</v>
      </c>
      <c r="L220" s="304"/>
      <c r="M220" s="292">
        <f t="shared" si="34"/>
        <v>0</v>
      </c>
      <c r="N220" s="304">
        <v>0</v>
      </c>
      <c r="O220" s="292">
        <f t="shared" si="35"/>
        <v>0</v>
      </c>
      <c r="P220" s="299">
        <f t="shared" si="36"/>
        <v>10180.5702</v>
      </c>
    </row>
    <row r="221" spans="1:16" ht="31.5">
      <c r="A221" s="297">
        <v>10</v>
      </c>
      <c r="B221" s="298" t="s">
        <v>342</v>
      </c>
      <c r="C221" s="8" t="s">
        <v>343</v>
      </c>
      <c r="D221" s="10" t="s">
        <v>46</v>
      </c>
      <c r="E221" s="299">
        <v>250</v>
      </c>
      <c r="F221" s="300">
        <v>38</v>
      </c>
      <c r="G221" s="301">
        <f t="shared" si="31"/>
        <v>9500</v>
      </c>
      <c r="H221" s="302"/>
      <c r="I221" s="303">
        <f t="shared" si="32"/>
        <v>0</v>
      </c>
      <c r="J221" s="302"/>
      <c r="K221" s="292">
        <f t="shared" si="33"/>
        <v>0</v>
      </c>
      <c r="L221" s="304"/>
      <c r="M221" s="292">
        <f t="shared" si="34"/>
        <v>0</v>
      </c>
      <c r="N221" s="304">
        <v>0</v>
      </c>
      <c r="O221" s="292">
        <f t="shared" si="35"/>
        <v>0</v>
      </c>
      <c r="P221" s="299">
        <f t="shared" si="36"/>
        <v>9500</v>
      </c>
    </row>
    <row r="222" spans="1:16" ht="31.5">
      <c r="A222" s="297">
        <v>11</v>
      </c>
      <c r="B222" s="298" t="s">
        <v>344</v>
      </c>
      <c r="C222" s="8" t="s">
        <v>345</v>
      </c>
      <c r="D222" s="10" t="s">
        <v>46</v>
      </c>
      <c r="E222" s="299">
        <v>132.75</v>
      </c>
      <c r="F222" s="300">
        <v>57</v>
      </c>
      <c r="G222" s="301">
        <f t="shared" si="31"/>
        <v>7566.75</v>
      </c>
      <c r="H222" s="302"/>
      <c r="I222" s="303">
        <f t="shared" si="32"/>
        <v>0</v>
      </c>
      <c r="J222" s="302"/>
      <c r="K222" s="292">
        <f t="shared" si="33"/>
        <v>0</v>
      </c>
      <c r="L222" s="304"/>
      <c r="M222" s="292">
        <f t="shared" si="34"/>
        <v>0</v>
      </c>
      <c r="N222" s="304">
        <v>0</v>
      </c>
      <c r="O222" s="292">
        <f t="shared" si="35"/>
        <v>0</v>
      </c>
      <c r="P222" s="299">
        <f t="shared" si="36"/>
        <v>7566.75</v>
      </c>
    </row>
    <row r="223" spans="1:16" ht="47.25">
      <c r="A223" s="297">
        <v>12</v>
      </c>
      <c r="B223" s="306" t="s">
        <v>346</v>
      </c>
      <c r="C223" s="8" t="s">
        <v>347</v>
      </c>
      <c r="D223" s="10" t="s">
        <v>5</v>
      </c>
      <c r="E223" s="299">
        <v>11917.5</v>
      </c>
      <c r="F223" s="300">
        <v>1</v>
      </c>
      <c r="G223" s="301">
        <f t="shared" si="31"/>
        <v>11917.5</v>
      </c>
      <c r="H223" s="302"/>
      <c r="I223" s="303">
        <f t="shared" si="32"/>
        <v>0</v>
      </c>
      <c r="J223" s="302"/>
      <c r="K223" s="292">
        <f t="shared" si="33"/>
        <v>0</v>
      </c>
      <c r="L223" s="304"/>
      <c r="M223" s="292">
        <f t="shared" si="34"/>
        <v>0</v>
      </c>
      <c r="N223" s="304">
        <v>0</v>
      </c>
      <c r="O223" s="292">
        <f t="shared" si="35"/>
        <v>0</v>
      </c>
      <c r="P223" s="299">
        <f t="shared" si="36"/>
        <v>11917.5</v>
      </c>
    </row>
    <row r="224" spans="1:16" ht="47.25">
      <c r="A224" s="297">
        <v>13</v>
      </c>
      <c r="B224" s="298" t="s">
        <v>271</v>
      </c>
      <c r="C224" s="8" t="s">
        <v>348</v>
      </c>
      <c r="D224" s="10" t="s">
        <v>5</v>
      </c>
      <c r="E224" s="299">
        <v>1912.48</v>
      </c>
      <c r="F224" s="300">
        <v>15</v>
      </c>
      <c r="G224" s="301">
        <f t="shared" si="31"/>
        <v>28687.200000000001</v>
      </c>
      <c r="H224" s="302"/>
      <c r="I224" s="303">
        <f t="shared" si="32"/>
        <v>0</v>
      </c>
      <c r="J224" s="302"/>
      <c r="K224" s="292">
        <f t="shared" si="33"/>
        <v>0</v>
      </c>
      <c r="L224" s="304"/>
      <c r="M224" s="292">
        <f t="shared" si="34"/>
        <v>0</v>
      </c>
      <c r="N224" s="304">
        <v>0</v>
      </c>
      <c r="O224" s="292">
        <f t="shared" si="35"/>
        <v>0</v>
      </c>
      <c r="P224" s="299">
        <f t="shared" si="36"/>
        <v>28687.200000000001</v>
      </c>
    </row>
    <row r="225" spans="1:16" ht="31.5">
      <c r="A225" s="297">
        <v>14</v>
      </c>
      <c r="B225" s="298" t="s">
        <v>349</v>
      </c>
      <c r="C225" s="8" t="s">
        <v>350</v>
      </c>
      <c r="D225" s="10" t="s">
        <v>5</v>
      </c>
      <c r="E225" s="299">
        <v>12100</v>
      </c>
      <c r="F225" s="300">
        <v>2</v>
      </c>
      <c r="G225" s="301">
        <f t="shared" si="31"/>
        <v>24200</v>
      </c>
      <c r="H225" s="302"/>
      <c r="I225" s="303">
        <f t="shared" si="32"/>
        <v>0</v>
      </c>
      <c r="J225" s="302"/>
      <c r="K225" s="292">
        <f t="shared" si="33"/>
        <v>0</v>
      </c>
      <c r="L225" s="304"/>
      <c r="M225" s="292">
        <f t="shared" si="34"/>
        <v>0</v>
      </c>
      <c r="N225" s="304">
        <v>0</v>
      </c>
      <c r="O225" s="292">
        <f t="shared" si="35"/>
        <v>0</v>
      </c>
      <c r="P225" s="299">
        <f t="shared" si="36"/>
        <v>24200</v>
      </c>
    </row>
    <row r="226" spans="1:16" ht="47.25">
      <c r="A226" s="297">
        <v>15</v>
      </c>
      <c r="B226" s="306" t="s">
        <v>351</v>
      </c>
      <c r="C226" s="8" t="s">
        <v>352</v>
      </c>
      <c r="D226" s="10" t="s">
        <v>5</v>
      </c>
      <c r="E226" s="299">
        <v>2815</v>
      </c>
      <c r="F226" s="300">
        <v>2</v>
      </c>
      <c r="G226" s="301">
        <f t="shared" si="31"/>
        <v>5630</v>
      </c>
      <c r="H226" s="302"/>
      <c r="I226" s="303">
        <f t="shared" si="32"/>
        <v>0</v>
      </c>
      <c r="J226" s="302"/>
      <c r="K226" s="292">
        <f t="shared" si="33"/>
        <v>0</v>
      </c>
      <c r="L226" s="304"/>
      <c r="M226" s="292">
        <f t="shared" si="34"/>
        <v>0</v>
      </c>
      <c r="N226" s="304">
        <v>0</v>
      </c>
      <c r="O226" s="292">
        <f t="shared" si="35"/>
        <v>0</v>
      </c>
      <c r="P226" s="299">
        <f t="shared" si="36"/>
        <v>5630</v>
      </c>
    </row>
    <row r="227" spans="1:16" ht="31.5">
      <c r="A227" s="297">
        <v>16</v>
      </c>
      <c r="B227" s="298" t="s">
        <v>353</v>
      </c>
      <c r="C227" s="8" t="s">
        <v>354</v>
      </c>
      <c r="D227" s="10" t="s">
        <v>5</v>
      </c>
      <c r="E227" s="299">
        <v>1123.5999999999999</v>
      </c>
      <c r="F227" s="300">
        <v>3</v>
      </c>
      <c r="G227" s="301">
        <f t="shared" si="31"/>
        <v>3370.7999999999997</v>
      </c>
      <c r="H227" s="302"/>
      <c r="I227" s="303">
        <f t="shared" si="32"/>
        <v>0</v>
      </c>
      <c r="J227" s="302"/>
      <c r="K227" s="292">
        <f t="shared" si="33"/>
        <v>0</v>
      </c>
      <c r="L227" s="304"/>
      <c r="M227" s="292">
        <f t="shared" si="34"/>
        <v>0</v>
      </c>
      <c r="N227" s="304">
        <v>0</v>
      </c>
      <c r="O227" s="292">
        <f t="shared" si="35"/>
        <v>0</v>
      </c>
      <c r="P227" s="299">
        <f t="shared" si="36"/>
        <v>3370.7999999999997</v>
      </c>
    </row>
    <row r="228" spans="1:16" ht="47.25">
      <c r="A228" s="297">
        <v>17</v>
      </c>
      <c r="B228" s="306" t="s">
        <v>355</v>
      </c>
      <c r="C228" s="8" t="s">
        <v>356</v>
      </c>
      <c r="D228" s="10" t="s">
        <v>5</v>
      </c>
      <c r="E228" s="299">
        <v>519.79999999999995</v>
      </c>
      <c r="F228" s="300">
        <v>5</v>
      </c>
      <c r="G228" s="301">
        <f t="shared" si="31"/>
        <v>2599</v>
      </c>
      <c r="H228" s="302"/>
      <c r="I228" s="303">
        <f t="shared" si="32"/>
        <v>0</v>
      </c>
      <c r="J228" s="302"/>
      <c r="K228" s="292">
        <f t="shared" si="33"/>
        <v>0</v>
      </c>
      <c r="L228" s="304"/>
      <c r="M228" s="292">
        <f t="shared" si="34"/>
        <v>0</v>
      </c>
      <c r="N228" s="304">
        <v>0</v>
      </c>
      <c r="O228" s="292">
        <f t="shared" si="35"/>
        <v>0</v>
      </c>
      <c r="P228" s="299">
        <f t="shared" si="36"/>
        <v>2599</v>
      </c>
    </row>
    <row r="229" spans="1:16" ht="31.5">
      <c r="A229" s="297">
        <v>18</v>
      </c>
      <c r="B229" s="298" t="s">
        <v>357</v>
      </c>
      <c r="C229" s="8" t="s">
        <v>358</v>
      </c>
      <c r="D229" s="10" t="s">
        <v>359</v>
      </c>
      <c r="E229" s="299">
        <v>81207</v>
      </c>
      <c r="F229" s="305">
        <v>0.4</v>
      </c>
      <c r="G229" s="301">
        <f t="shared" si="31"/>
        <v>32482.800000000003</v>
      </c>
      <c r="H229" s="302"/>
      <c r="I229" s="303">
        <f t="shared" si="32"/>
        <v>0</v>
      </c>
      <c r="J229" s="302"/>
      <c r="K229" s="292">
        <f t="shared" si="33"/>
        <v>0</v>
      </c>
      <c r="L229" s="304"/>
      <c r="M229" s="292">
        <f t="shared" si="34"/>
        <v>0</v>
      </c>
      <c r="N229" s="304">
        <v>0</v>
      </c>
      <c r="O229" s="292">
        <f t="shared" si="35"/>
        <v>0</v>
      </c>
      <c r="P229" s="299">
        <f t="shared" si="36"/>
        <v>32482.800000000003</v>
      </c>
    </row>
    <row r="230" spans="1:16" ht="31.5">
      <c r="A230" s="297">
        <v>19</v>
      </c>
      <c r="B230" s="298" t="s">
        <v>360</v>
      </c>
      <c r="C230" s="8" t="s">
        <v>361</v>
      </c>
      <c r="D230" s="10" t="s">
        <v>359</v>
      </c>
      <c r="E230" s="299">
        <v>140002.29999999999</v>
      </c>
      <c r="F230" s="305">
        <v>0.3</v>
      </c>
      <c r="G230" s="301">
        <f t="shared" si="31"/>
        <v>42000.689999999995</v>
      </c>
      <c r="H230" s="302"/>
      <c r="I230" s="303">
        <f t="shared" si="32"/>
        <v>0</v>
      </c>
      <c r="J230" s="302"/>
      <c r="K230" s="292">
        <f t="shared" si="33"/>
        <v>0</v>
      </c>
      <c r="L230" s="304"/>
      <c r="M230" s="292">
        <f t="shared" si="34"/>
        <v>0</v>
      </c>
      <c r="N230" s="304">
        <v>0</v>
      </c>
      <c r="O230" s="292">
        <f t="shared" si="35"/>
        <v>0</v>
      </c>
      <c r="P230" s="299">
        <f t="shared" si="36"/>
        <v>42000.689999999995</v>
      </c>
    </row>
    <row r="231" spans="1:16" ht="47.25">
      <c r="A231" s="297">
        <v>20</v>
      </c>
      <c r="B231" s="304" t="s">
        <v>362</v>
      </c>
      <c r="C231" s="8" t="s">
        <v>363</v>
      </c>
      <c r="D231" s="10" t="s">
        <v>5</v>
      </c>
      <c r="E231" s="299">
        <v>179286.22</v>
      </c>
      <c r="F231" s="300">
        <v>1</v>
      </c>
      <c r="G231" s="301">
        <f t="shared" si="31"/>
        <v>179286.22</v>
      </c>
      <c r="H231" s="304"/>
      <c r="I231" s="303">
        <f t="shared" si="32"/>
        <v>0</v>
      </c>
      <c r="J231" s="304"/>
      <c r="K231" s="292">
        <f t="shared" si="33"/>
        <v>0</v>
      </c>
      <c r="L231" s="304"/>
      <c r="M231" s="292">
        <f t="shared" si="34"/>
        <v>0</v>
      </c>
      <c r="N231" s="304">
        <v>0</v>
      </c>
      <c r="O231" s="292">
        <f t="shared" si="35"/>
        <v>0</v>
      </c>
      <c r="P231" s="299">
        <f t="shared" si="36"/>
        <v>179286.22</v>
      </c>
    </row>
    <row r="232" spans="1:16" ht="31.5">
      <c r="A232" s="297">
        <v>21</v>
      </c>
      <c r="B232" s="306" t="s">
        <v>364</v>
      </c>
      <c r="C232" s="8" t="s">
        <v>365</v>
      </c>
      <c r="D232" s="10" t="s">
        <v>5</v>
      </c>
      <c r="E232" s="299">
        <v>3825</v>
      </c>
      <c r="F232" s="300">
        <v>7</v>
      </c>
      <c r="G232" s="301">
        <f t="shared" si="31"/>
        <v>26775</v>
      </c>
      <c r="H232" s="302"/>
      <c r="I232" s="303">
        <f t="shared" si="32"/>
        <v>0</v>
      </c>
      <c r="J232" s="302"/>
      <c r="K232" s="292">
        <f t="shared" si="33"/>
        <v>0</v>
      </c>
      <c r="L232" s="304"/>
      <c r="M232" s="292">
        <f t="shared" si="34"/>
        <v>0</v>
      </c>
      <c r="N232" s="304">
        <v>0</v>
      </c>
      <c r="O232" s="292">
        <f t="shared" si="35"/>
        <v>0</v>
      </c>
      <c r="P232" s="299">
        <f t="shared" si="36"/>
        <v>26775</v>
      </c>
    </row>
    <row r="233" spans="1:16">
      <c r="A233" s="297">
        <v>22</v>
      </c>
      <c r="B233" s="306" t="s">
        <v>248</v>
      </c>
      <c r="C233" s="8" t="s">
        <v>366</v>
      </c>
      <c r="D233" s="10" t="s">
        <v>5</v>
      </c>
      <c r="E233" s="299">
        <v>900</v>
      </c>
      <c r="F233" s="300">
        <v>10</v>
      </c>
      <c r="G233" s="301">
        <f t="shared" si="31"/>
        <v>9000</v>
      </c>
      <c r="H233" s="302"/>
      <c r="I233" s="303">
        <f t="shared" si="32"/>
        <v>0</v>
      </c>
      <c r="J233" s="302"/>
      <c r="K233" s="292">
        <f t="shared" si="33"/>
        <v>0</v>
      </c>
      <c r="L233" s="304"/>
      <c r="M233" s="292">
        <f t="shared" si="34"/>
        <v>0</v>
      </c>
      <c r="N233" s="304">
        <v>0</v>
      </c>
      <c r="O233" s="292">
        <f t="shared" si="35"/>
        <v>0</v>
      </c>
      <c r="P233" s="299">
        <f t="shared" si="36"/>
        <v>9000</v>
      </c>
    </row>
    <row r="234" spans="1:16" ht="63">
      <c r="A234" s="297">
        <v>23</v>
      </c>
      <c r="B234" s="298" t="s">
        <v>367</v>
      </c>
      <c r="C234" s="307" t="s">
        <v>368</v>
      </c>
      <c r="D234" s="10" t="s">
        <v>40</v>
      </c>
      <c r="E234" s="299">
        <v>1500</v>
      </c>
      <c r="F234" s="300">
        <v>0</v>
      </c>
      <c r="G234" s="301">
        <f t="shared" si="31"/>
        <v>0</v>
      </c>
      <c r="H234" s="304">
        <v>0</v>
      </c>
      <c r="I234" s="303">
        <f t="shared" si="32"/>
        <v>0</v>
      </c>
      <c r="J234" s="302"/>
      <c r="K234" s="292">
        <f t="shared" si="33"/>
        <v>0</v>
      </c>
      <c r="L234" s="304"/>
      <c r="M234" s="292">
        <f t="shared" si="34"/>
        <v>0</v>
      </c>
      <c r="N234" s="304">
        <v>1</v>
      </c>
      <c r="O234" s="292">
        <f t="shared" si="35"/>
        <v>1500</v>
      </c>
      <c r="P234" s="299">
        <f t="shared" si="36"/>
        <v>1500</v>
      </c>
    </row>
    <row r="235" spans="1:16" ht="31.5">
      <c r="A235" s="297">
        <v>24</v>
      </c>
      <c r="B235" s="298" t="s">
        <v>369</v>
      </c>
      <c r="C235" s="8" t="s">
        <v>370</v>
      </c>
      <c r="D235" s="10" t="s">
        <v>5</v>
      </c>
      <c r="E235" s="299">
        <v>1041.8699999999999</v>
      </c>
      <c r="F235" s="300">
        <v>20</v>
      </c>
      <c r="G235" s="301">
        <f t="shared" si="31"/>
        <v>20837.399999999998</v>
      </c>
      <c r="H235" s="302"/>
      <c r="I235" s="303">
        <f t="shared" si="32"/>
        <v>0</v>
      </c>
      <c r="J235" s="302"/>
      <c r="K235" s="292">
        <f t="shared" si="33"/>
        <v>0</v>
      </c>
      <c r="L235" s="304"/>
      <c r="M235" s="292">
        <f t="shared" si="34"/>
        <v>0</v>
      </c>
      <c r="N235" s="304">
        <v>0</v>
      </c>
      <c r="O235" s="292">
        <f t="shared" si="35"/>
        <v>0</v>
      </c>
      <c r="P235" s="299">
        <f t="shared" si="36"/>
        <v>20837.399999999998</v>
      </c>
    </row>
    <row r="236" spans="1:16" ht="31.5">
      <c r="A236" s="297">
        <v>25</v>
      </c>
      <c r="B236" s="298" t="s">
        <v>371</v>
      </c>
      <c r="C236" s="8" t="s">
        <v>372</v>
      </c>
      <c r="D236" s="10" t="s">
        <v>5</v>
      </c>
      <c r="E236" s="299">
        <v>1095.1600000000001</v>
      </c>
      <c r="F236" s="300">
        <v>10</v>
      </c>
      <c r="G236" s="301">
        <f t="shared" si="31"/>
        <v>10951.6</v>
      </c>
      <c r="H236" s="302"/>
      <c r="I236" s="303">
        <f t="shared" si="32"/>
        <v>0</v>
      </c>
      <c r="J236" s="302"/>
      <c r="K236" s="292">
        <f t="shared" si="33"/>
        <v>0</v>
      </c>
      <c r="L236" s="304"/>
      <c r="M236" s="292">
        <f t="shared" si="34"/>
        <v>0</v>
      </c>
      <c r="N236" s="304">
        <v>0</v>
      </c>
      <c r="O236" s="292">
        <f t="shared" si="35"/>
        <v>0</v>
      </c>
      <c r="P236" s="299">
        <f t="shared" si="36"/>
        <v>10951.6</v>
      </c>
    </row>
    <row r="237" spans="1:16" ht="63">
      <c r="A237" s="297">
        <v>26</v>
      </c>
      <c r="B237" s="298" t="s">
        <v>42</v>
      </c>
      <c r="C237" s="8" t="s">
        <v>373</v>
      </c>
      <c r="D237" s="10" t="s">
        <v>5</v>
      </c>
      <c r="E237" s="299">
        <v>32915</v>
      </c>
      <c r="F237" s="300">
        <v>1</v>
      </c>
      <c r="G237" s="301">
        <f t="shared" si="31"/>
        <v>32915</v>
      </c>
      <c r="H237" s="302"/>
      <c r="I237" s="303">
        <f t="shared" si="32"/>
        <v>0</v>
      </c>
      <c r="J237" s="302"/>
      <c r="K237" s="292">
        <f t="shared" si="33"/>
        <v>0</v>
      </c>
      <c r="L237" s="304"/>
      <c r="M237" s="292">
        <v>0</v>
      </c>
      <c r="N237" s="304">
        <v>0</v>
      </c>
      <c r="O237" s="292">
        <f t="shared" si="35"/>
        <v>0</v>
      </c>
      <c r="P237" s="299">
        <f t="shared" si="36"/>
        <v>32915</v>
      </c>
    </row>
    <row r="238" spans="1:16" ht="31.5">
      <c r="A238" s="297">
        <v>27</v>
      </c>
      <c r="B238" s="306" t="s">
        <v>362</v>
      </c>
      <c r="C238" s="308" t="s">
        <v>374</v>
      </c>
      <c r="D238" s="10" t="s">
        <v>5</v>
      </c>
      <c r="E238" s="299">
        <v>5000</v>
      </c>
      <c r="F238" s="300">
        <v>0</v>
      </c>
      <c r="G238" s="301">
        <f t="shared" si="31"/>
        <v>0</v>
      </c>
      <c r="H238" s="302"/>
      <c r="I238" s="303">
        <f t="shared" si="32"/>
        <v>0</v>
      </c>
      <c r="J238" s="302"/>
      <c r="K238" s="292">
        <f t="shared" si="33"/>
        <v>0</v>
      </c>
      <c r="L238" s="304"/>
      <c r="M238" s="292">
        <f t="shared" si="34"/>
        <v>0</v>
      </c>
      <c r="N238" s="304">
        <v>1</v>
      </c>
      <c r="O238" s="292">
        <f t="shared" si="35"/>
        <v>5000</v>
      </c>
      <c r="P238" s="299">
        <f t="shared" si="36"/>
        <v>5000</v>
      </c>
    </row>
    <row r="239" spans="1:16" ht="31.5">
      <c r="A239" s="297">
        <v>28</v>
      </c>
      <c r="B239" s="298" t="s">
        <v>367</v>
      </c>
      <c r="C239" s="308" t="s">
        <v>375</v>
      </c>
      <c r="D239" s="10" t="s">
        <v>37</v>
      </c>
      <c r="E239" s="299">
        <v>1000</v>
      </c>
      <c r="F239" s="300">
        <v>0</v>
      </c>
      <c r="G239" s="301">
        <f t="shared" si="31"/>
        <v>0</v>
      </c>
      <c r="H239" s="302"/>
      <c r="I239" s="303">
        <v>0</v>
      </c>
      <c r="J239" s="302"/>
      <c r="K239" s="292"/>
      <c r="L239" s="304"/>
      <c r="M239" s="292"/>
      <c r="N239" s="304">
        <v>1</v>
      </c>
      <c r="O239" s="292">
        <f t="shared" si="35"/>
        <v>1000</v>
      </c>
      <c r="P239" s="299">
        <f t="shared" si="36"/>
        <v>1000</v>
      </c>
    </row>
    <row r="240" spans="1:16" ht="47.25">
      <c r="A240" s="297">
        <v>29</v>
      </c>
      <c r="B240" s="298" t="s">
        <v>376</v>
      </c>
      <c r="C240" s="308" t="s">
        <v>377</v>
      </c>
      <c r="D240" s="10" t="s">
        <v>277</v>
      </c>
      <c r="E240" s="299">
        <v>27500</v>
      </c>
      <c r="F240" s="300">
        <v>0</v>
      </c>
      <c r="G240" s="301">
        <f t="shared" si="31"/>
        <v>0</v>
      </c>
      <c r="H240" s="302"/>
      <c r="I240" s="303">
        <f t="shared" si="32"/>
        <v>0</v>
      </c>
      <c r="J240" s="302"/>
      <c r="K240" s="292">
        <f t="shared" si="33"/>
        <v>0</v>
      </c>
      <c r="L240" s="302"/>
      <c r="M240" s="292">
        <f t="shared" si="34"/>
        <v>0</v>
      </c>
      <c r="N240" s="304">
        <v>1</v>
      </c>
      <c r="O240" s="292">
        <f t="shared" si="35"/>
        <v>27500</v>
      </c>
      <c r="P240" s="299">
        <f t="shared" si="36"/>
        <v>27500</v>
      </c>
    </row>
    <row r="241" spans="1:16" ht="47.25">
      <c r="A241" s="297">
        <v>30</v>
      </c>
      <c r="B241" s="306" t="s">
        <v>378</v>
      </c>
      <c r="C241" s="308" t="s">
        <v>379</v>
      </c>
      <c r="D241" s="10" t="s">
        <v>5</v>
      </c>
      <c r="E241" s="299">
        <v>1000</v>
      </c>
      <c r="F241" s="300">
        <v>2</v>
      </c>
      <c r="G241" s="301">
        <f t="shared" si="31"/>
        <v>2000</v>
      </c>
      <c r="H241" s="302"/>
      <c r="I241" s="303">
        <f t="shared" si="32"/>
        <v>0</v>
      </c>
      <c r="J241" s="302"/>
      <c r="K241" s="292">
        <f t="shared" si="33"/>
        <v>0</v>
      </c>
      <c r="L241" s="302"/>
      <c r="M241" s="292">
        <f t="shared" si="34"/>
        <v>0</v>
      </c>
      <c r="N241" s="304">
        <v>0</v>
      </c>
      <c r="O241" s="292">
        <f t="shared" si="35"/>
        <v>0</v>
      </c>
      <c r="P241" s="299">
        <f t="shared" si="36"/>
        <v>2000</v>
      </c>
    </row>
    <row r="242" spans="1:16" ht="47.25">
      <c r="A242" s="297">
        <v>31</v>
      </c>
      <c r="B242" s="298" t="s">
        <v>380</v>
      </c>
      <c r="C242" s="8" t="s">
        <v>381</v>
      </c>
      <c r="D242" s="10" t="s">
        <v>5</v>
      </c>
      <c r="E242" s="299">
        <v>500</v>
      </c>
      <c r="F242" s="300">
        <v>0</v>
      </c>
      <c r="G242" s="301">
        <f t="shared" si="31"/>
        <v>0</v>
      </c>
      <c r="H242" s="302"/>
      <c r="I242" s="303">
        <f t="shared" si="32"/>
        <v>0</v>
      </c>
      <c r="J242" s="302"/>
      <c r="K242" s="292">
        <f t="shared" si="33"/>
        <v>0</v>
      </c>
      <c r="L242" s="302"/>
      <c r="M242" s="292">
        <f t="shared" si="34"/>
        <v>0</v>
      </c>
      <c r="N242" s="304">
        <v>5</v>
      </c>
      <c r="O242" s="292">
        <f t="shared" si="35"/>
        <v>2500</v>
      </c>
      <c r="P242" s="299">
        <f t="shared" si="36"/>
        <v>2500</v>
      </c>
    </row>
    <row r="243" spans="1:16" ht="31.5">
      <c r="A243" s="297">
        <v>32</v>
      </c>
      <c r="B243" s="306" t="s">
        <v>382</v>
      </c>
      <c r="C243" s="8" t="s">
        <v>383</v>
      </c>
      <c r="D243" s="10" t="s">
        <v>5</v>
      </c>
      <c r="E243" s="299">
        <v>2940.56</v>
      </c>
      <c r="F243" s="300">
        <v>2</v>
      </c>
      <c r="G243" s="301">
        <f t="shared" si="31"/>
        <v>5881.12</v>
      </c>
      <c r="H243" s="302"/>
      <c r="I243" s="303">
        <f t="shared" si="32"/>
        <v>0</v>
      </c>
      <c r="J243" s="302"/>
      <c r="K243" s="292">
        <f t="shared" si="33"/>
        <v>0</v>
      </c>
      <c r="L243" s="302"/>
      <c r="M243" s="292">
        <v>0</v>
      </c>
      <c r="N243" s="304">
        <v>0</v>
      </c>
      <c r="O243" s="292">
        <f t="shared" si="35"/>
        <v>0</v>
      </c>
      <c r="P243" s="299">
        <f t="shared" si="36"/>
        <v>5881.12</v>
      </c>
    </row>
    <row r="244" spans="1:16" ht="31.5">
      <c r="A244" s="297">
        <v>33</v>
      </c>
      <c r="B244" s="298" t="s">
        <v>384</v>
      </c>
      <c r="C244" s="8" t="s">
        <v>385</v>
      </c>
      <c r="D244" s="10" t="s">
        <v>5</v>
      </c>
      <c r="E244" s="299">
        <v>1177.6400000000001</v>
      </c>
      <c r="F244" s="300">
        <v>2</v>
      </c>
      <c r="G244" s="301">
        <f t="shared" si="31"/>
        <v>2355.2800000000002</v>
      </c>
      <c r="H244" s="302"/>
      <c r="I244" s="303">
        <f t="shared" si="32"/>
        <v>0</v>
      </c>
      <c r="J244" s="302"/>
      <c r="K244" s="292">
        <f t="shared" si="33"/>
        <v>0</v>
      </c>
      <c r="L244" s="302"/>
      <c r="M244" s="292">
        <f t="shared" si="34"/>
        <v>0</v>
      </c>
      <c r="N244" s="304">
        <v>0</v>
      </c>
      <c r="O244" s="292">
        <f t="shared" si="35"/>
        <v>0</v>
      </c>
      <c r="P244" s="299">
        <f t="shared" si="36"/>
        <v>2355.2800000000002</v>
      </c>
    </row>
    <row r="245" spans="1:16" ht="31.5">
      <c r="A245" s="297">
        <v>34</v>
      </c>
      <c r="B245" s="309" t="s">
        <v>344</v>
      </c>
      <c r="C245" s="8" t="s">
        <v>386</v>
      </c>
      <c r="D245" s="10" t="s">
        <v>387</v>
      </c>
      <c r="E245" s="299">
        <v>197.53</v>
      </c>
      <c r="F245" s="300">
        <v>200</v>
      </c>
      <c r="G245" s="301">
        <f t="shared" si="31"/>
        <v>39506</v>
      </c>
      <c r="H245" s="302"/>
      <c r="I245" s="303">
        <f t="shared" si="32"/>
        <v>0</v>
      </c>
      <c r="J245" s="302"/>
      <c r="K245" s="292">
        <f t="shared" si="33"/>
        <v>0</v>
      </c>
      <c r="L245" s="302"/>
      <c r="M245" s="292">
        <f t="shared" si="34"/>
        <v>0</v>
      </c>
      <c r="N245" s="304">
        <v>0</v>
      </c>
      <c r="O245" s="292">
        <f t="shared" si="35"/>
        <v>0</v>
      </c>
      <c r="P245" s="299">
        <f t="shared" si="36"/>
        <v>39506</v>
      </c>
    </row>
    <row r="246" spans="1:16" ht="31.5">
      <c r="A246" s="297">
        <v>35</v>
      </c>
      <c r="B246" s="298" t="s">
        <v>388</v>
      </c>
      <c r="C246" s="8" t="s">
        <v>389</v>
      </c>
      <c r="D246" s="10" t="s">
        <v>387</v>
      </c>
      <c r="E246" s="310">
        <v>238.19651999999999</v>
      </c>
      <c r="F246" s="300">
        <v>160</v>
      </c>
      <c r="G246" s="301">
        <f t="shared" si="31"/>
        <v>38111.443200000002</v>
      </c>
      <c r="H246" s="302"/>
      <c r="I246" s="303">
        <f t="shared" si="32"/>
        <v>0</v>
      </c>
      <c r="J246" s="302"/>
      <c r="K246" s="292">
        <f t="shared" si="33"/>
        <v>0</v>
      </c>
      <c r="L246" s="302"/>
      <c r="M246" s="292">
        <f t="shared" si="34"/>
        <v>0</v>
      </c>
      <c r="N246" s="304">
        <v>0</v>
      </c>
      <c r="O246" s="292">
        <f t="shared" si="35"/>
        <v>0</v>
      </c>
      <c r="P246" s="299">
        <f t="shared" si="36"/>
        <v>38111.443200000002</v>
      </c>
    </row>
    <row r="247" spans="1:16" ht="47.25">
      <c r="A247" s="297">
        <v>36</v>
      </c>
      <c r="B247" s="298" t="s">
        <v>367</v>
      </c>
      <c r="C247" s="8" t="s">
        <v>390</v>
      </c>
      <c r="D247" s="10" t="s">
        <v>5</v>
      </c>
      <c r="E247" s="299">
        <v>58823</v>
      </c>
      <c r="F247" s="300">
        <v>1</v>
      </c>
      <c r="G247" s="301">
        <f t="shared" si="31"/>
        <v>58823</v>
      </c>
      <c r="H247" s="302"/>
      <c r="I247" s="303">
        <f t="shared" si="32"/>
        <v>0</v>
      </c>
      <c r="J247" s="302"/>
      <c r="K247" s="292">
        <f t="shared" si="33"/>
        <v>0</v>
      </c>
      <c r="L247" s="302"/>
      <c r="M247" s="292">
        <f t="shared" si="34"/>
        <v>0</v>
      </c>
      <c r="N247" s="304">
        <v>0</v>
      </c>
      <c r="O247" s="292">
        <f t="shared" si="35"/>
        <v>0</v>
      </c>
      <c r="P247" s="299">
        <f t="shared" si="36"/>
        <v>58823</v>
      </c>
    </row>
    <row r="248" spans="1:16" ht="47.25">
      <c r="A248" s="297">
        <v>37</v>
      </c>
      <c r="B248" s="298" t="s">
        <v>360</v>
      </c>
      <c r="C248" s="8" t="s">
        <v>391</v>
      </c>
      <c r="D248" s="10" t="s">
        <v>46</v>
      </c>
      <c r="E248" s="299">
        <v>10</v>
      </c>
      <c r="F248" s="300">
        <v>300</v>
      </c>
      <c r="G248" s="301">
        <f t="shared" si="31"/>
        <v>3000</v>
      </c>
      <c r="H248" s="302"/>
      <c r="I248" s="303">
        <f t="shared" si="32"/>
        <v>0</v>
      </c>
      <c r="J248" s="302"/>
      <c r="K248" s="292">
        <f t="shared" si="33"/>
        <v>0</v>
      </c>
      <c r="L248" s="302"/>
      <c r="M248" s="292">
        <f t="shared" si="34"/>
        <v>0</v>
      </c>
      <c r="N248" s="304">
        <v>0</v>
      </c>
      <c r="O248" s="292">
        <f t="shared" si="35"/>
        <v>0</v>
      </c>
      <c r="P248" s="299">
        <f t="shared" si="36"/>
        <v>3000</v>
      </c>
    </row>
    <row r="249" spans="1:16" ht="31.5">
      <c r="A249" s="297">
        <v>38</v>
      </c>
      <c r="B249" s="298" t="s">
        <v>392</v>
      </c>
      <c r="C249" s="8" t="s">
        <v>393</v>
      </c>
      <c r="D249" s="10" t="s">
        <v>46</v>
      </c>
      <c r="E249" s="299">
        <v>15</v>
      </c>
      <c r="F249" s="300">
        <v>100</v>
      </c>
      <c r="G249" s="301">
        <f t="shared" si="31"/>
        <v>1500</v>
      </c>
      <c r="H249" s="302"/>
      <c r="I249" s="303">
        <f t="shared" si="32"/>
        <v>0</v>
      </c>
      <c r="J249" s="302"/>
      <c r="K249" s="292">
        <f t="shared" si="33"/>
        <v>0</v>
      </c>
      <c r="L249" s="302"/>
      <c r="M249" s="292">
        <f t="shared" si="34"/>
        <v>0</v>
      </c>
      <c r="N249" s="304">
        <v>0</v>
      </c>
      <c r="O249" s="292">
        <f t="shared" si="35"/>
        <v>0</v>
      </c>
      <c r="P249" s="299">
        <f t="shared" si="36"/>
        <v>1500</v>
      </c>
    </row>
    <row r="250" spans="1:16" ht="31.5">
      <c r="A250" s="297">
        <v>39</v>
      </c>
      <c r="B250" s="298" t="s">
        <v>394</v>
      </c>
      <c r="C250" s="311" t="s">
        <v>395</v>
      </c>
      <c r="D250" s="10" t="s">
        <v>40</v>
      </c>
      <c r="E250" s="299">
        <v>12000</v>
      </c>
      <c r="F250" s="312">
        <v>1</v>
      </c>
      <c r="G250" s="301">
        <f t="shared" si="31"/>
        <v>12000</v>
      </c>
      <c r="H250" s="302"/>
      <c r="I250" s="303">
        <f t="shared" si="32"/>
        <v>0</v>
      </c>
      <c r="J250" s="302"/>
      <c r="K250" s="292">
        <f t="shared" si="33"/>
        <v>0</v>
      </c>
      <c r="L250" s="302"/>
      <c r="M250" s="292">
        <f t="shared" si="34"/>
        <v>0</v>
      </c>
      <c r="N250" s="304">
        <v>0</v>
      </c>
      <c r="O250" s="292">
        <f t="shared" si="35"/>
        <v>0</v>
      </c>
      <c r="P250" s="299">
        <f t="shared" si="36"/>
        <v>12000</v>
      </c>
    </row>
    <row r="251" spans="1:16">
      <c r="A251" s="297">
        <v>40</v>
      </c>
      <c r="B251" s="306" t="s">
        <v>396</v>
      </c>
      <c r="C251" s="311" t="s">
        <v>397</v>
      </c>
      <c r="D251" s="10" t="s">
        <v>40</v>
      </c>
      <c r="E251" s="299">
        <v>6000</v>
      </c>
      <c r="F251" s="312">
        <v>1</v>
      </c>
      <c r="G251" s="301">
        <f t="shared" si="31"/>
        <v>6000</v>
      </c>
      <c r="H251" s="302"/>
      <c r="I251" s="303">
        <f t="shared" si="32"/>
        <v>0</v>
      </c>
      <c r="J251" s="302"/>
      <c r="K251" s="292">
        <f t="shared" si="33"/>
        <v>0</v>
      </c>
      <c r="L251" s="302"/>
      <c r="M251" s="292">
        <f t="shared" si="34"/>
        <v>0</v>
      </c>
      <c r="N251" s="304">
        <v>0</v>
      </c>
      <c r="O251" s="292">
        <f t="shared" si="35"/>
        <v>0</v>
      </c>
      <c r="P251" s="299">
        <f t="shared" si="36"/>
        <v>6000</v>
      </c>
    </row>
    <row r="252" spans="1:16" ht="47.25">
      <c r="A252" s="297">
        <v>41</v>
      </c>
      <c r="B252" s="306" t="s">
        <v>398</v>
      </c>
      <c r="C252" s="311" t="s">
        <v>399</v>
      </c>
      <c r="D252" s="10" t="s">
        <v>40</v>
      </c>
      <c r="E252" s="299">
        <v>6000</v>
      </c>
      <c r="F252" s="312">
        <v>1</v>
      </c>
      <c r="G252" s="301">
        <f t="shared" si="31"/>
        <v>6000</v>
      </c>
      <c r="H252" s="302"/>
      <c r="I252" s="303">
        <f t="shared" si="32"/>
        <v>0</v>
      </c>
      <c r="J252" s="302"/>
      <c r="K252" s="292">
        <f t="shared" si="33"/>
        <v>0</v>
      </c>
      <c r="L252" s="302"/>
      <c r="M252" s="292">
        <f t="shared" si="34"/>
        <v>0</v>
      </c>
      <c r="N252" s="304">
        <v>0</v>
      </c>
      <c r="O252" s="292">
        <f t="shared" si="35"/>
        <v>0</v>
      </c>
      <c r="P252" s="299">
        <f t="shared" si="36"/>
        <v>6000</v>
      </c>
    </row>
    <row r="253" spans="1:16">
      <c r="A253" s="297">
        <v>42</v>
      </c>
      <c r="B253" s="306" t="s">
        <v>42</v>
      </c>
      <c r="C253" s="311" t="s">
        <v>400</v>
      </c>
      <c r="D253" s="10" t="s">
        <v>40</v>
      </c>
      <c r="E253" s="299">
        <v>4000</v>
      </c>
      <c r="F253" s="312">
        <v>2</v>
      </c>
      <c r="G253" s="301">
        <f t="shared" si="31"/>
        <v>8000</v>
      </c>
      <c r="H253" s="302"/>
      <c r="I253" s="303">
        <f t="shared" si="32"/>
        <v>0</v>
      </c>
      <c r="J253" s="302"/>
      <c r="K253" s="292">
        <f t="shared" si="33"/>
        <v>0</v>
      </c>
      <c r="L253" s="302"/>
      <c r="M253" s="292">
        <f t="shared" si="34"/>
        <v>0</v>
      </c>
      <c r="N253" s="304">
        <v>0</v>
      </c>
      <c r="O253" s="292">
        <f t="shared" si="35"/>
        <v>0</v>
      </c>
      <c r="P253" s="299">
        <f t="shared" si="36"/>
        <v>8000</v>
      </c>
    </row>
    <row r="254" spans="1:16">
      <c r="A254" s="297">
        <v>43</v>
      </c>
      <c r="B254" s="306" t="s">
        <v>42</v>
      </c>
      <c r="C254" s="8" t="s">
        <v>401</v>
      </c>
      <c r="D254" s="10" t="s">
        <v>402</v>
      </c>
      <c r="E254" s="299">
        <v>500</v>
      </c>
      <c r="F254" s="312">
        <v>0</v>
      </c>
      <c r="G254" s="301">
        <f t="shared" si="31"/>
        <v>0</v>
      </c>
      <c r="H254" s="302"/>
      <c r="I254" s="303">
        <f t="shared" si="32"/>
        <v>0</v>
      </c>
      <c r="J254" s="302"/>
      <c r="K254" s="292">
        <f t="shared" si="33"/>
        <v>0</v>
      </c>
      <c r="L254" s="302"/>
      <c r="M254" s="292">
        <f t="shared" si="34"/>
        <v>0</v>
      </c>
      <c r="N254" s="304">
        <v>1</v>
      </c>
      <c r="O254" s="292">
        <f t="shared" si="35"/>
        <v>500</v>
      </c>
      <c r="P254" s="299">
        <f t="shared" si="36"/>
        <v>500</v>
      </c>
    </row>
    <row r="255" spans="1:16" ht="31.5">
      <c r="A255" s="297">
        <v>44</v>
      </c>
      <c r="B255" s="306" t="s">
        <v>403</v>
      </c>
      <c r="C255" s="307" t="s">
        <v>404</v>
      </c>
      <c r="D255" s="10" t="s">
        <v>5</v>
      </c>
      <c r="E255" s="299">
        <v>12500</v>
      </c>
      <c r="F255" s="300">
        <v>0</v>
      </c>
      <c r="G255" s="301">
        <f t="shared" si="31"/>
        <v>0</v>
      </c>
      <c r="H255" s="304"/>
      <c r="I255" s="303">
        <v>0</v>
      </c>
      <c r="J255" s="302"/>
      <c r="K255" s="292">
        <f t="shared" si="33"/>
        <v>0</v>
      </c>
      <c r="L255" s="304"/>
      <c r="M255" s="292">
        <f t="shared" si="34"/>
        <v>0</v>
      </c>
      <c r="N255" s="304">
        <v>3</v>
      </c>
      <c r="O255" s="292">
        <f t="shared" si="35"/>
        <v>37500</v>
      </c>
      <c r="P255" s="299">
        <f>G255+I255+K255+M255+O255</f>
        <v>37500</v>
      </c>
    </row>
    <row r="256" spans="1:16">
      <c r="A256" s="297">
        <v>45</v>
      </c>
      <c r="B256" s="306" t="s">
        <v>405</v>
      </c>
      <c r="C256" s="8" t="s">
        <v>406</v>
      </c>
      <c r="D256" s="14" t="s">
        <v>7</v>
      </c>
      <c r="E256" s="313">
        <v>6454.6</v>
      </c>
      <c r="F256" s="300">
        <v>18</v>
      </c>
      <c r="G256" s="301">
        <f t="shared" si="31"/>
        <v>116182.8</v>
      </c>
      <c r="H256" s="304"/>
      <c r="I256" s="303">
        <v>0</v>
      </c>
      <c r="J256" s="302"/>
      <c r="K256" s="292">
        <v>0</v>
      </c>
      <c r="L256" s="304"/>
      <c r="M256" s="292">
        <v>0</v>
      </c>
      <c r="N256" s="304">
        <v>0</v>
      </c>
      <c r="O256" s="292">
        <f t="shared" si="35"/>
        <v>0</v>
      </c>
      <c r="P256" s="299">
        <f>G256+I256+K256+M256+O256</f>
        <v>116182.8</v>
      </c>
    </row>
    <row r="257" spans="1:16" ht="63">
      <c r="A257" s="297">
        <v>46</v>
      </c>
      <c r="B257" s="306" t="s">
        <v>407</v>
      </c>
      <c r="C257" s="8" t="s">
        <v>408</v>
      </c>
      <c r="D257" s="9" t="s">
        <v>40</v>
      </c>
      <c r="E257" s="301">
        <v>2653.82</v>
      </c>
      <c r="F257" s="10">
        <v>4</v>
      </c>
      <c r="G257" s="301">
        <f t="shared" si="31"/>
        <v>10615.28</v>
      </c>
      <c r="H257" s="304"/>
      <c r="I257" s="303">
        <v>0</v>
      </c>
      <c r="J257" s="302"/>
      <c r="K257" s="292">
        <v>0</v>
      </c>
      <c r="L257" s="304"/>
      <c r="M257" s="292">
        <v>0</v>
      </c>
      <c r="N257" s="304">
        <v>0</v>
      </c>
      <c r="O257" s="292">
        <f t="shared" si="35"/>
        <v>0</v>
      </c>
      <c r="P257" s="299">
        <f t="shared" ref="P257:P297" si="37">G257+I257+K257+M257+O257</f>
        <v>10615.28</v>
      </c>
    </row>
    <row r="258" spans="1:16" ht="63">
      <c r="A258" s="297">
        <v>47</v>
      </c>
      <c r="B258" s="306" t="s">
        <v>409</v>
      </c>
      <c r="C258" s="314" t="s">
        <v>410</v>
      </c>
      <c r="D258" s="9" t="s">
        <v>40</v>
      </c>
      <c r="E258" s="301">
        <v>2653.82</v>
      </c>
      <c r="F258" s="10">
        <v>3</v>
      </c>
      <c r="G258" s="301">
        <f t="shared" si="31"/>
        <v>7961.4600000000009</v>
      </c>
      <c r="H258" s="304"/>
      <c r="I258" s="303">
        <v>0</v>
      </c>
      <c r="J258" s="302"/>
      <c r="K258" s="292">
        <v>0</v>
      </c>
      <c r="L258" s="304"/>
      <c r="M258" s="292">
        <v>0</v>
      </c>
      <c r="N258" s="304">
        <v>0</v>
      </c>
      <c r="O258" s="292">
        <f t="shared" si="35"/>
        <v>0</v>
      </c>
      <c r="P258" s="299">
        <f t="shared" si="37"/>
        <v>7961.4600000000009</v>
      </c>
    </row>
    <row r="259" spans="1:16" ht="63">
      <c r="A259" s="297">
        <v>48</v>
      </c>
      <c r="B259" s="306" t="s">
        <v>411</v>
      </c>
      <c r="C259" s="315" t="s">
        <v>412</v>
      </c>
      <c r="D259" s="9" t="s">
        <v>40</v>
      </c>
      <c r="E259" s="301">
        <v>2653.82</v>
      </c>
      <c r="F259" s="10">
        <v>0</v>
      </c>
      <c r="G259" s="301">
        <f t="shared" si="31"/>
        <v>0</v>
      </c>
      <c r="H259" s="304"/>
      <c r="I259" s="303">
        <v>0</v>
      </c>
      <c r="J259" s="302"/>
      <c r="K259" s="292">
        <v>0</v>
      </c>
      <c r="L259" s="304"/>
      <c r="M259" s="292">
        <v>0</v>
      </c>
      <c r="N259" s="304">
        <v>0</v>
      </c>
      <c r="O259" s="292">
        <f t="shared" si="35"/>
        <v>0</v>
      </c>
      <c r="P259" s="299">
        <f t="shared" si="37"/>
        <v>0</v>
      </c>
    </row>
    <row r="260" spans="1:16" ht="63">
      <c r="A260" s="297">
        <v>49</v>
      </c>
      <c r="B260" s="306" t="s">
        <v>409</v>
      </c>
      <c r="C260" s="315" t="s">
        <v>413</v>
      </c>
      <c r="D260" s="9" t="s">
        <v>40</v>
      </c>
      <c r="E260" s="301">
        <v>2571.2199999999998</v>
      </c>
      <c r="F260" s="300">
        <v>4</v>
      </c>
      <c r="G260" s="301">
        <f t="shared" si="31"/>
        <v>10284.879999999999</v>
      </c>
      <c r="H260" s="304"/>
      <c r="I260" s="303">
        <v>0</v>
      </c>
      <c r="J260" s="302"/>
      <c r="K260" s="292">
        <v>0</v>
      </c>
      <c r="L260" s="304"/>
      <c r="M260" s="292">
        <v>0</v>
      </c>
      <c r="N260" s="304">
        <v>0</v>
      </c>
      <c r="O260" s="292">
        <f t="shared" si="35"/>
        <v>0</v>
      </c>
      <c r="P260" s="299">
        <f t="shared" si="37"/>
        <v>10284.879999999999</v>
      </c>
    </row>
    <row r="261" spans="1:16" ht="63">
      <c r="A261" s="297">
        <v>50</v>
      </c>
      <c r="B261" s="306" t="s">
        <v>411</v>
      </c>
      <c r="C261" s="315" t="s">
        <v>414</v>
      </c>
      <c r="D261" s="9" t="s">
        <v>40</v>
      </c>
      <c r="E261" s="301">
        <v>2571.2199999999998</v>
      </c>
      <c r="F261" s="300">
        <v>2</v>
      </c>
      <c r="G261" s="301">
        <f t="shared" si="31"/>
        <v>5142.4399999999996</v>
      </c>
      <c r="H261" s="304"/>
      <c r="I261" s="303">
        <v>0</v>
      </c>
      <c r="J261" s="302"/>
      <c r="K261" s="292">
        <v>0</v>
      </c>
      <c r="L261" s="304"/>
      <c r="M261" s="292">
        <v>0</v>
      </c>
      <c r="N261" s="304">
        <v>0</v>
      </c>
      <c r="O261" s="292">
        <f t="shared" si="35"/>
        <v>0</v>
      </c>
      <c r="P261" s="299">
        <f t="shared" si="37"/>
        <v>5142.4399999999996</v>
      </c>
    </row>
    <row r="262" spans="1:16" ht="47.25">
      <c r="A262" s="297">
        <v>51</v>
      </c>
      <c r="B262" s="306" t="s">
        <v>415</v>
      </c>
      <c r="C262" s="315" t="s">
        <v>416</v>
      </c>
      <c r="D262" s="9" t="s">
        <v>40</v>
      </c>
      <c r="E262" s="301">
        <v>2653.82</v>
      </c>
      <c r="F262" s="300">
        <v>4</v>
      </c>
      <c r="G262" s="301">
        <f t="shared" si="31"/>
        <v>10615.28</v>
      </c>
      <c r="H262" s="304"/>
      <c r="I262" s="303">
        <v>0</v>
      </c>
      <c r="J262" s="302"/>
      <c r="K262" s="292">
        <v>0</v>
      </c>
      <c r="L262" s="304"/>
      <c r="M262" s="292">
        <v>0</v>
      </c>
      <c r="N262" s="304">
        <v>0</v>
      </c>
      <c r="O262" s="292">
        <f t="shared" si="35"/>
        <v>0</v>
      </c>
      <c r="P262" s="299">
        <f t="shared" si="37"/>
        <v>10615.28</v>
      </c>
    </row>
    <row r="263" spans="1:16" ht="47.25">
      <c r="A263" s="297">
        <v>52</v>
      </c>
      <c r="B263" s="306" t="s">
        <v>417</v>
      </c>
      <c r="C263" s="315" t="s">
        <v>418</v>
      </c>
      <c r="D263" s="9" t="s">
        <v>40</v>
      </c>
      <c r="E263" s="301">
        <v>2653.82</v>
      </c>
      <c r="F263" s="300">
        <v>2</v>
      </c>
      <c r="G263" s="301">
        <f t="shared" si="31"/>
        <v>5307.64</v>
      </c>
      <c r="H263" s="304"/>
      <c r="I263" s="303">
        <v>0</v>
      </c>
      <c r="J263" s="302"/>
      <c r="K263" s="292">
        <v>0</v>
      </c>
      <c r="L263" s="304"/>
      <c r="M263" s="292">
        <v>0</v>
      </c>
      <c r="N263" s="304">
        <v>0</v>
      </c>
      <c r="O263" s="292">
        <f t="shared" si="35"/>
        <v>0</v>
      </c>
      <c r="P263" s="299">
        <f t="shared" si="37"/>
        <v>5307.64</v>
      </c>
    </row>
    <row r="264" spans="1:16" ht="63">
      <c r="A264" s="297">
        <v>53</v>
      </c>
      <c r="B264" s="306" t="s">
        <v>419</v>
      </c>
      <c r="C264" s="315" t="s">
        <v>420</v>
      </c>
      <c r="D264" s="9" t="s">
        <v>40</v>
      </c>
      <c r="E264" s="301">
        <v>2653.82</v>
      </c>
      <c r="F264" s="300">
        <v>1</v>
      </c>
      <c r="G264" s="301">
        <f t="shared" si="31"/>
        <v>2653.82</v>
      </c>
      <c r="H264" s="304"/>
      <c r="I264" s="303">
        <v>0</v>
      </c>
      <c r="J264" s="302"/>
      <c r="K264" s="292">
        <v>0</v>
      </c>
      <c r="L264" s="304"/>
      <c r="M264" s="292">
        <v>0</v>
      </c>
      <c r="N264" s="304">
        <v>0</v>
      </c>
      <c r="O264" s="292">
        <f t="shared" si="35"/>
        <v>0</v>
      </c>
      <c r="P264" s="299">
        <f t="shared" si="37"/>
        <v>2653.82</v>
      </c>
    </row>
    <row r="265" spans="1:16" ht="47.25">
      <c r="A265" s="297">
        <v>54</v>
      </c>
      <c r="B265" s="44" t="s">
        <v>421</v>
      </c>
      <c r="C265" s="315" t="s">
        <v>422</v>
      </c>
      <c r="D265" s="9" t="s">
        <v>40</v>
      </c>
      <c r="E265" s="301">
        <v>2742.32</v>
      </c>
      <c r="F265" s="300">
        <v>2</v>
      </c>
      <c r="G265" s="301">
        <f t="shared" si="31"/>
        <v>5484.64</v>
      </c>
      <c r="H265" s="304"/>
      <c r="I265" s="303">
        <v>0</v>
      </c>
      <c r="J265" s="302"/>
      <c r="K265" s="292">
        <v>0</v>
      </c>
      <c r="L265" s="304"/>
      <c r="M265" s="292">
        <v>0</v>
      </c>
      <c r="N265" s="304">
        <v>0</v>
      </c>
      <c r="O265" s="292">
        <f t="shared" si="35"/>
        <v>0</v>
      </c>
      <c r="P265" s="299">
        <f t="shared" si="37"/>
        <v>5484.64</v>
      </c>
    </row>
    <row r="266" spans="1:16" ht="31.5">
      <c r="A266" s="297">
        <v>55</v>
      </c>
      <c r="B266" s="44" t="s">
        <v>421</v>
      </c>
      <c r="C266" s="315" t="s">
        <v>423</v>
      </c>
      <c r="D266" s="9" t="s">
        <v>40</v>
      </c>
      <c r="E266" s="301">
        <v>2742.32</v>
      </c>
      <c r="F266" s="300">
        <v>2</v>
      </c>
      <c r="G266" s="301">
        <f t="shared" si="31"/>
        <v>5484.64</v>
      </c>
      <c r="H266" s="304"/>
      <c r="I266" s="303">
        <v>0</v>
      </c>
      <c r="J266" s="302"/>
      <c r="K266" s="292">
        <v>0</v>
      </c>
      <c r="L266" s="304"/>
      <c r="M266" s="292">
        <v>0</v>
      </c>
      <c r="N266" s="304">
        <v>0</v>
      </c>
      <c r="O266" s="292">
        <f t="shared" si="35"/>
        <v>0</v>
      </c>
      <c r="P266" s="299">
        <f t="shared" si="37"/>
        <v>5484.64</v>
      </c>
    </row>
    <row r="267" spans="1:16" ht="31.5">
      <c r="A267" s="297">
        <v>56</v>
      </c>
      <c r="B267" s="306" t="s">
        <v>424</v>
      </c>
      <c r="C267" s="315" t="s">
        <v>425</v>
      </c>
      <c r="D267" s="9" t="s">
        <v>40</v>
      </c>
      <c r="E267" s="301">
        <v>2742.32</v>
      </c>
      <c r="F267" s="300">
        <v>2</v>
      </c>
      <c r="G267" s="301">
        <f t="shared" si="31"/>
        <v>5484.64</v>
      </c>
      <c r="H267" s="304"/>
      <c r="I267" s="303">
        <v>0</v>
      </c>
      <c r="J267" s="302"/>
      <c r="K267" s="292">
        <v>0</v>
      </c>
      <c r="L267" s="304"/>
      <c r="M267" s="292">
        <v>0</v>
      </c>
      <c r="N267" s="304">
        <v>0</v>
      </c>
      <c r="O267" s="292">
        <f t="shared" si="35"/>
        <v>0</v>
      </c>
      <c r="P267" s="299">
        <f t="shared" si="37"/>
        <v>5484.64</v>
      </c>
    </row>
    <row r="268" spans="1:16" ht="63">
      <c r="A268" s="297">
        <v>57</v>
      </c>
      <c r="B268" s="306" t="s">
        <v>409</v>
      </c>
      <c r="C268" s="315" t="s">
        <v>426</v>
      </c>
      <c r="D268" s="9" t="s">
        <v>40</v>
      </c>
      <c r="E268" s="301">
        <v>2938.2</v>
      </c>
      <c r="F268" s="10">
        <v>2</v>
      </c>
      <c r="G268" s="301">
        <f t="shared" si="31"/>
        <v>5876.4</v>
      </c>
      <c r="H268" s="316"/>
      <c r="I268" s="303">
        <v>0</v>
      </c>
      <c r="J268" s="316"/>
      <c r="K268" s="292">
        <v>0</v>
      </c>
      <c r="L268" s="316"/>
      <c r="M268" s="292">
        <v>0</v>
      </c>
      <c r="N268" s="316">
        <v>0</v>
      </c>
      <c r="O268" s="292">
        <f t="shared" si="35"/>
        <v>0</v>
      </c>
      <c r="P268" s="299">
        <f t="shared" si="37"/>
        <v>5876.4</v>
      </c>
    </row>
    <row r="269" spans="1:16" ht="63">
      <c r="A269" s="297">
        <v>58</v>
      </c>
      <c r="B269" s="306" t="s">
        <v>411</v>
      </c>
      <c r="C269" s="315" t="s">
        <v>427</v>
      </c>
      <c r="D269" s="9" t="s">
        <v>40</v>
      </c>
      <c r="E269" s="301">
        <v>2348.1999999999998</v>
      </c>
      <c r="F269" s="300">
        <v>2</v>
      </c>
      <c r="G269" s="301">
        <f t="shared" si="31"/>
        <v>4696.3999999999996</v>
      </c>
      <c r="H269" s="304"/>
      <c r="I269" s="303">
        <v>0</v>
      </c>
      <c r="J269" s="302"/>
      <c r="K269" s="292">
        <v>0</v>
      </c>
      <c r="L269" s="304"/>
      <c r="M269" s="292">
        <v>0</v>
      </c>
      <c r="N269" s="304">
        <v>0</v>
      </c>
      <c r="O269" s="292">
        <f t="shared" si="35"/>
        <v>0</v>
      </c>
      <c r="P269" s="299">
        <f t="shared" si="37"/>
        <v>4696.3999999999996</v>
      </c>
    </row>
    <row r="270" spans="1:16" ht="63">
      <c r="A270" s="297">
        <v>59</v>
      </c>
      <c r="B270" s="306" t="s">
        <v>407</v>
      </c>
      <c r="C270" s="315" t="s">
        <v>428</v>
      </c>
      <c r="D270" s="9" t="s">
        <v>40</v>
      </c>
      <c r="E270" s="301">
        <v>3534.1</v>
      </c>
      <c r="F270" s="300">
        <v>1</v>
      </c>
      <c r="G270" s="301">
        <f t="shared" si="31"/>
        <v>3534.1</v>
      </c>
      <c r="H270" s="304"/>
      <c r="I270" s="303">
        <v>0</v>
      </c>
      <c r="J270" s="302"/>
      <c r="K270" s="292">
        <v>0</v>
      </c>
      <c r="L270" s="304"/>
      <c r="M270" s="292">
        <v>0</v>
      </c>
      <c r="N270" s="304">
        <v>0</v>
      </c>
      <c r="O270" s="292">
        <f t="shared" si="35"/>
        <v>0</v>
      </c>
      <c r="P270" s="299">
        <f t="shared" si="37"/>
        <v>3534.1</v>
      </c>
    </row>
    <row r="271" spans="1:16" ht="63">
      <c r="A271" s="297">
        <v>60</v>
      </c>
      <c r="B271" s="306" t="s">
        <v>429</v>
      </c>
      <c r="C271" s="315" t="s">
        <v>430</v>
      </c>
      <c r="D271" s="9" t="s">
        <v>40</v>
      </c>
      <c r="E271" s="301">
        <v>2938.2</v>
      </c>
      <c r="F271" s="300">
        <v>2</v>
      </c>
      <c r="G271" s="301">
        <f t="shared" si="31"/>
        <v>5876.4</v>
      </c>
      <c r="H271" s="304"/>
      <c r="I271" s="303">
        <v>0</v>
      </c>
      <c r="J271" s="302"/>
      <c r="K271" s="292">
        <v>0</v>
      </c>
      <c r="L271" s="304"/>
      <c r="M271" s="292">
        <v>0</v>
      </c>
      <c r="N271" s="304">
        <v>0</v>
      </c>
      <c r="O271" s="292">
        <f t="shared" si="35"/>
        <v>0</v>
      </c>
      <c r="P271" s="299">
        <f t="shared" si="37"/>
        <v>5876.4</v>
      </c>
    </row>
    <row r="272" spans="1:16" ht="47.25">
      <c r="A272" s="297">
        <v>61</v>
      </c>
      <c r="B272" s="44" t="s">
        <v>431</v>
      </c>
      <c r="C272" s="315" t="s">
        <v>432</v>
      </c>
      <c r="D272" s="9" t="s">
        <v>40</v>
      </c>
      <c r="E272" s="301">
        <v>3534.1</v>
      </c>
      <c r="F272" s="300">
        <v>1</v>
      </c>
      <c r="G272" s="301">
        <f t="shared" si="31"/>
        <v>3534.1</v>
      </c>
      <c r="H272" s="304"/>
      <c r="I272" s="303">
        <v>0</v>
      </c>
      <c r="J272" s="302"/>
      <c r="K272" s="292">
        <v>0</v>
      </c>
      <c r="L272" s="304"/>
      <c r="M272" s="292">
        <v>0</v>
      </c>
      <c r="N272" s="304">
        <v>0</v>
      </c>
      <c r="O272" s="292">
        <f t="shared" si="35"/>
        <v>0</v>
      </c>
      <c r="P272" s="299">
        <f t="shared" si="37"/>
        <v>3534.1</v>
      </c>
    </row>
    <row r="273" spans="1:16" ht="47.25">
      <c r="A273" s="297">
        <v>62</v>
      </c>
      <c r="B273" s="306" t="s">
        <v>433</v>
      </c>
      <c r="C273" s="315" t="s">
        <v>434</v>
      </c>
      <c r="D273" s="9" t="s">
        <v>40</v>
      </c>
      <c r="E273" s="301">
        <v>3829.1</v>
      </c>
      <c r="F273" s="300">
        <v>2</v>
      </c>
      <c r="G273" s="301">
        <f t="shared" si="31"/>
        <v>7658.2</v>
      </c>
      <c r="H273" s="304"/>
      <c r="I273" s="303">
        <v>0</v>
      </c>
      <c r="J273" s="302"/>
      <c r="K273" s="292">
        <v>0</v>
      </c>
      <c r="L273" s="304"/>
      <c r="M273" s="292">
        <v>0</v>
      </c>
      <c r="N273" s="304">
        <v>0</v>
      </c>
      <c r="O273" s="292">
        <f t="shared" si="35"/>
        <v>0</v>
      </c>
      <c r="P273" s="299">
        <f t="shared" si="37"/>
        <v>7658.2</v>
      </c>
    </row>
    <row r="274" spans="1:16" ht="47.25">
      <c r="A274" s="297">
        <v>63</v>
      </c>
      <c r="B274" s="306" t="s">
        <v>382</v>
      </c>
      <c r="C274" s="315" t="s">
        <v>435</v>
      </c>
      <c r="D274" s="9" t="s">
        <v>40</v>
      </c>
      <c r="E274" s="301">
        <v>2944.1</v>
      </c>
      <c r="F274" s="300">
        <v>2</v>
      </c>
      <c r="G274" s="301">
        <f t="shared" si="31"/>
        <v>5888.2</v>
      </c>
      <c r="H274" s="304"/>
      <c r="I274" s="303">
        <v>0</v>
      </c>
      <c r="J274" s="302"/>
      <c r="K274" s="292">
        <v>0</v>
      </c>
      <c r="L274" s="304"/>
      <c r="M274" s="292">
        <v>0</v>
      </c>
      <c r="N274" s="304">
        <v>0</v>
      </c>
      <c r="O274" s="292">
        <f t="shared" si="35"/>
        <v>0</v>
      </c>
      <c r="P274" s="299">
        <f t="shared" si="37"/>
        <v>5888.2</v>
      </c>
    </row>
    <row r="275" spans="1:16" ht="31.5">
      <c r="A275" s="297">
        <v>64</v>
      </c>
      <c r="B275" s="306" t="s">
        <v>436</v>
      </c>
      <c r="C275" s="315" t="s">
        <v>437</v>
      </c>
      <c r="D275" s="9" t="s">
        <v>40</v>
      </c>
      <c r="E275" s="301">
        <v>5888.2</v>
      </c>
      <c r="F275" s="300">
        <v>2</v>
      </c>
      <c r="G275" s="301">
        <f t="shared" si="31"/>
        <v>11776.4</v>
      </c>
      <c r="H275" s="304"/>
      <c r="I275" s="303">
        <v>0</v>
      </c>
      <c r="J275" s="302"/>
      <c r="K275" s="292">
        <v>0</v>
      </c>
      <c r="L275" s="304"/>
      <c r="M275" s="292">
        <v>0</v>
      </c>
      <c r="N275" s="304">
        <v>0</v>
      </c>
      <c r="O275" s="292">
        <f t="shared" si="35"/>
        <v>0</v>
      </c>
      <c r="P275" s="299">
        <f t="shared" si="37"/>
        <v>11776.4</v>
      </c>
    </row>
    <row r="276" spans="1:16" ht="31.5">
      <c r="A276" s="297">
        <v>65</v>
      </c>
      <c r="B276" s="306" t="s">
        <v>438</v>
      </c>
      <c r="C276" s="315" t="s">
        <v>439</v>
      </c>
      <c r="D276" s="9" t="s">
        <v>40</v>
      </c>
      <c r="E276" s="301">
        <v>997.1</v>
      </c>
      <c r="F276" s="300">
        <v>5</v>
      </c>
      <c r="G276" s="301">
        <f t="shared" si="31"/>
        <v>4985.5</v>
      </c>
      <c r="H276" s="304"/>
      <c r="I276" s="303">
        <v>0</v>
      </c>
      <c r="J276" s="302"/>
      <c r="K276" s="292">
        <v>0</v>
      </c>
      <c r="L276" s="304"/>
      <c r="M276" s="292">
        <v>0</v>
      </c>
      <c r="N276" s="304">
        <v>0</v>
      </c>
      <c r="O276" s="292">
        <f t="shared" si="35"/>
        <v>0</v>
      </c>
      <c r="P276" s="299">
        <f t="shared" si="37"/>
        <v>4985.5</v>
      </c>
    </row>
    <row r="277" spans="1:16" ht="31.5">
      <c r="A277" s="297">
        <v>66</v>
      </c>
      <c r="B277" s="306" t="s">
        <v>433</v>
      </c>
      <c r="C277" s="8" t="s">
        <v>440</v>
      </c>
      <c r="D277" s="9" t="s">
        <v>40</v>
      </c>
      <c r="E277" s="301">
        <v>1528.1</v>
      </c>
      <c r="F277" s="300">
        <v>2</v>
      </c>
      <c r="G277" s="301">
        <f t="shared" ref="G277:G297" si="38">E277*F277</f>
        <v>3056.2</v>
      </c>
      <c r="H277" s="304"/>
      <c r="I277" s="303">
        <v>0</v>
      </c>
      <c r="J277" s="302"/>
      <c r="K277" s="292">
        <v>0</v>
      </c>
      <c r="L277" s="304"/>
      <c r="M277" s="292">
        <v>0</v>
      </c>
      <c r="N277" s="304">
        <v>0</v>
      </c>
      <c r="O277" s="292">
        <f t="shared" ref="O277:O287" si="39">E277*N277</f>
        <v>0</v>
      </c>
      <c r="P277" s="299">
        <f t="shared" si="37"/>
        <v>3056.2</v>
      </c>
    </row>
    <row r="278" spans="1:16" ht="47.25">
      <c r="A278" s="297">
        <v>67</v>
      </c>
      <c r="B278" s="306" t="s">
        <v>441</v>
      </c>
      <c r="C278" s="8" t="s">
        <v>442</v>
      </c>
      <c r="D278" s="9" t="s">
        <v>40</v>
      </c>
      <c r="E278" s="301">
        <v>53.1</v>
      </c>
      <c r="F278" s="300">
        <v>200</v>
      </c>
      <c r="G278" s="301">
        <f t="shared" si="38"/>
        <v>10620</v>
      </c>
      <c r="H278" s="304"/>
      <c r="I278" s="303">
        <v>0</v>
      </c>
      <c r="J278" s="302"/>
      <c r="K278" s="292">
        <v>0</v>
      </c>
      <c r="L278" s="304"/>
      <c r="M278" s="292">
        <v>0</v>
      </c>
      <c r="N278" s="304">
        <v>0</v>
      </c>
      <c r="O278" s="292">
        <f t="shared" si="39"/>
        <v>0</v>
      </c>
      <c r="P278" s="299">
        <f t="shared" si="37"/>
        <v>10620</v>
      </c>
    </row>
    <row r="279" spans="1:16">
      <c r="A279" s="297">
        <v>68</v>
      </c>
      <c r="B279" s="306" t="s">
        <v>42</v>
      </c>
      <c r="C279" s="317" t="s">
        <v>443</v>
      </c>
      <c r="D279" s="9" t="s">
        <v>40</v>
      </c>
      <c r="E279" s="301">
        <v>5000</v>
      </c>
      <c r="F279" s="300">
        <v>4</v>
      </c>
      <c r="G279" s="301">
        <f t="shared" si="38"/>
        <v>20000</v>
      </c>
      <c r="H279" s="304"/>
      <c r="I279" s="303">
        <v>0</v>
      </c>
      <c r="J279" s="302"/>
      <c r="K279" s="292">
        <v>0</v>
      </c>
      <c r="L279" s="304"/>
      <c r="M279" s="292">
        <v>0</v>
      </c>
      <c r="N279" s="304">
        <v>0</v>
      </c>
      <c r="O279" s="292">
        <f t="shared" si="39"/>
        <v>0</v>
      </c>
      <c r="P279" s="299">
        <f t="shared" si="37"/>
        <v>20000</v>
      </c>
    </row>
    <row r="280" spans="1:16" ht="24.75">
      <c r="A280" s="297">
        <v>69</v>
      </c>
      <c r="B280" s="318" t="s">
        <v>326</v>
      </c>
      <c r="C280" s="8" t="s">
        <v>444</v>
      </c>
      <c r="D280" s="316" t="s">
        <v>46</v>
      </c>
      <c r="E280" s="301">
        <v>30</v>
      </c>
      <c r="F280" s="300">
        <v>0</v>
      </c>
      <c r="G280" s="301">
        <f t="shared" si="38"/>
        <v>0</v>
      </c>
      <c r="H280" s="304"/>
      <c r="I280" s="303">
        <v>0</v>
      </c>
      <c r="J280" s="302"/>
      <c r="K280" s="292">
        <v>0</v>
      </c>
      <c r="L280" s="304"/>
      <c r="M280" s="292">
        <v>0</v>
      </c>
      <c r="N280" s="304">
        <v>12</v>
      </c>
      <c r="O280" s="292">
        <f t="shared" si="39"/>
        <v>360</v>
      </c>
      <c r="P280" s="299">
        <f t="shared" si="37"/>
        <v>360</v>
      </c>
    </row>
    <row r="281" spans="1:16" ht="18">
      <c r="A281" s="297">
        <v>70</v>
      </c>
      <c r="B281" s="306" t="s">
        <v>445</v>
      </c>
      <c r="C281" s="8" t="s">
        <v>446</v>
      </c>
      <c r="D281" s="319" t="s">
        <v>208</v>
      </c>
      <c r="E281" s="320">
        <v>375.24</v>
      </c>
      <c r="F281" s="300">
        <v>95</v>
      </c>
      <c r="G281" s="321">
        <f t="shared" si="38"/>
        <v>35647.800000000003</v>
      </c>
      <c r="H281" s="304"/>
      <c r="I281" s="303">
        <v>0</v>
      </c>
      <c r="J281" s="302"/>
      <c r="K281" s="292">
        <v>0</v>
      </c>
      <c r="L281" s="304"/>
      <c r="M281" s="292">
        <v>0</v>
      </c>
      <c r="N281" s="304">
        <v>0</v>
      </c>
      <c r="O281" s="292">
        <f t="shared" si="39"/>
        <v>0</v>
      </c>
      <c r="P281" s="299">
        <f t="shared" si="37"/>
        <v>35647.800000000003</v>
      </c>
    </row>
    <row r="282" spans="1:16" ht="47.25">
      <c r="A282" s="297">
        <v>71</v>
      </c>
      <c r="B282" s="306" t="s">
        <v>447</v>
      </c>
      <c r="C282" s="8" t="s">
        <v>448</v>
      </c>
      <c r="D282" s="319" t="s">
        <v>37</v>
      </c>
      <c r="E282" s="320">
        <v>2500</v>
      </c>
      <c r="F282" s="300">
        <v>0</v>
      </c>
      <c r="G282" s="321">
        <f t="shared" si="38"/>
        <v>0</v>
      </c>
      <c r="H282" s="304">
        <v>0</v>
      </c>
      <c r="I282" s="303">
        <v>0</v>
      </c>
      <c r="J282" s="302"/>
      <c r="K282" s="292">
        <v>0</v>
      </c>
      <c r="L282" s="304"/>
      <c r="M282" s="292">
        <v>0</v>
      </c>
      <c r="N282" s="304">
        <v>1</v>
      </c>
      <c r="O282" s="292">
        <f t="shared" si="39"/>
        <v>2500</v>
      </c>
      <c r="P282" s="299">
        <f t="shared" si="37"/>
        <v>2500</v>
      </c>
    </row>
    <row r="283" spans="1:16" ht="31.5">
      <c r="A283" s="297">
        <v>72</v>
      </c>
      <c r="B283" s="306" t="s">
        <v>449</v>
      </c>
      <c r="C283" s="8" t="s">
        <v>450</v>
      </c>
      <c r="D283" s="319" t="s">
        <v>40</v>
      </c>
      <c r="E283" s="320">
        <v>500</v>
      </c>
      <c r="F283" s="300">
        <v>2</v>
      </c>
      <c r="G283" s="321">
        <f t="shared" si="38"/>
        <v>1000</v>
      </c>
      <c r="H283" s="304"/>
      <c r="I283" s="303">
        <v>0</v>
      </c>
      <c r="J283" s="302"/>
      <c r="K283" s="292">
        <v>0</v>
      </c>
      <c r="L283" s="304"/>
      <c r="M283" s="292">
        <v>0</v>
      </c>
      <c r="N283" s="304">
        <v>0</v>
      </c>
      <c r="O283" s="292">
        <f t="shared" si="39"/>
        <v>0</v>
      </c>
      <c r="P283" s="299">
        <f t="shared" si="37"/>
        <v>1000</v>
      </c>
    </row>
    <row r="284" spans="1:16" ht="31.5">
      <c r="A284" s="297">
        <v>73</v>
      </c>
      <c r="B284" s="306" t="s">
        <v>451</v>
      </c>
      <c r="C284" s="8" t="s">
        <v>452</v>
      </c>
      <c r="D284" s="319" t="s">
        <v>37</v>
      </c>
      <c r="E284" s="320">
        <v>1000</v>
      </c>
      <c r="F284" s="300">
        <v>0</v>
      </c>
      <c r="G284" s="321">
        <f t="shared" si="38"/>
        <v>0</v>
      </c>
      <c r="H284" s="304"/>
      <c r="I284" s="303">
        <v>0</v>
      </c>
      <c r="J284" s="302"/>
      <c r="K284" s="292">
        <v>0</v>
      </c>
      <c r="L284" s="304"/>
      <c r="M284" s="292">
        <v>0</v>
      </c>
      <c r="N284" s="304">
        <v>1</v>
      </c>
      <c r="O284" s="292">
        <f t="shared" si="39"/>
        <v>1000</v>
      </c>
      <c r="P284" s="299">
        <f t="shared" si="37"/>
        <v>1000</v>
      </c>
    </row>
    <row r="285" spans="1:16">
      <c r="A285" s="297">
        <v>74</v>
      </c>
      <c r="B285" s="306" t="s">
        <v>453</v>
      </c>
      <c r="C285" s="8" t="s">
        <v>454</v>
      </c>
      <c r="D285" s="319" t="s">
        <v>37</v>
      </c>
      <c r="E285" s="320">
        <v>1189.48</v>
      </c>
      <c r="F285" s="300">
        <v>7</v>
      </c>
      <c r="G285" s="321">
        <f t="shared" si="38"/>
        <v>8326.36</v>
      </c>
      <c r="H285" s="304"/>
      <c r="I285" s="303">
        <v>0</v>
      </c>
      <c r="J285" s="302"/>
      <c r="K285" s="292">
        <v>0</v>
      </c>
      <c r="L285" s="304"/>
      <c r="M285" s="292">
        <v>0</v>
      </c>
      <c r="N285" s="304">
        <v>0</v>
      </c>
      <c r="O285" s="292">
        <f t="shared" si="39"/>
        <v>0</v>
      </c>
      <c r="P285" s="299">
        <f t="shared" si="37"/>
        <v>8326.36</v>
      </c>
    </row>
    <row r="286" spans="1:16" ht="47.25">
      <c r="A286" s="297">
        <v>75</v>
      </c>
      <c r="B286" s="306" t="s">
        <v>455</v>
      </c>
      <c r="C286" s="8" t="s">
        <v>456</v>
      </c>
      <c r="D286" s="319" t="s">
        <v>277</v>
      </c>
      <c r="E286" s="320">
        <v>27500</v>
      </c>
      <c r="F286" s="300">
        <v>0</v>
      </c>
      <c r="G286" s="321">
        <f t="shared" si="38"/>
        <v>0</v>
      </c>
      <c r="H286" s="304"/>
      <c r="I286" s="303">
        <v>0</v>
      </c>
      <c r="J286" s="302"/>
      <c r="K286" s="292">
        <v>0</v>
      </c>
      <c r="L286" s="304"/>
      <c r="M286" s="292">
        <v>0</v>
      </c>
      <c r="N286" s="304">
        <v>1</v>
      </c>
      <c r="O286" s="292">
        <f t="shared" si="39"/>
        <v>27500</v>
      </c>
      <c r="P286" s="299">
        <f t="shared" si="37"/>
        <v>27500</v>
      </c>
    </row>
    <row r="287" spans="1:16" ht="47.25">
      <c r="A287" s="297">
        <v>76</v>
      </c>
      <c r="B287" s="306" t="s">
        <v>403</v>
      </c>
      <c r="C287" s="8" t="s">
        <v>457</v>
      </c>
      <c r="D287" s="319" t="s">
        <v>37</v>
      </c>
      <c r="E287" s="320">
        <v>12500</v>
      </c>
      <c r="F287" s="300">
        <v>0</v>
      </c>
      <c r="G287" s="321">
        <f t="shared" si="38"/>
        <v>0</v>
      </c>
      <c r="H287" s="304"/>
      <c r="I287" s="303">
        <v>0</v>
      </c>
      <c r="J287" s="302"/>
      <c r="K287" s="292">
        <v>0</v>
      </c>
      <c r="L287" s="304"/>
      <c r="M287" s="292">
        <v>0</v>
      </c>
      <c r="N287" s="304">
        <v>3</v>
      </c>
      <c r="O287" s="292">
        <f t="shared" si="39"/>
        <v>37500</v>
      </c>
      <c r="P287" s="299">
        <f t="shared" si="37"/>
        <v>37500</v>
      </c>
    </row>
    <row r="288" spans="1:16" ht="47.25">
      <c r="A288" s="297">
        <v>77</v>
      </c>
      <c r="B288" s="44"/>
      <c r="C288" s="8" t="s">
        <v>458</v>
      </c>
      <c r="D288" s="319" t="s">
        <v>37</v>
      </c>
      <c r="E288" s="320">
        <v>100000</v>
      </c>
      <c r="F288" s="300">
        <v>3</v>
      </c>
      <c r="G288" s="321">
        <f t="shared" si="38"/>
        <v>300000</v>
      </c>
      <c r="H288" s="304"/>
      <c r="I288" s="303">
        <v>0</v>
      </c>
      <c r="J288" s="302"/>
      <c r="K288" s="292">
        <v>0</v>
      </c>
      <c r="L288" s="304"/>
      <c r="M288" s="292">
        <v>0</v>
      </c>
      <c r="N288" s="304">
        <v>0</v>
      </c>
      <c r="O288" s="292">
        <v>0</v>
      </c>
      <c r="P288" s="299">
        <f t="shared" si="37"/>
        <v>300000</v>
      </c>
    </row>
    <row r="289" spans="1:16" ht="47.25">
      <c r="A289" s="297">
        <v>78</v>
      </c>
      <c r="B289" s="44" t="s">
        <v>459</v>
      </c>
      <c r="C289" s="8" t="s">
        <v>460</v>
      </c>
      <c r="D289" s="319" t="s">
        <v>37</v>
      </c>
      <c r="E289" s="320">
        <v>14738.2</v>
      </c>
      <c r="F289" s="300">
        <v>10</v>
      </c>
      <c r="G289" s="321">
        <f t="shared" si="38"/>
        <v>147382</v>
      </c>
      <c r="H289" s="304"/>
      <c r="I289" s="303">
        <v>0</v>
      </c>
      <c r="J289" s="302"/>
      <c r="K289" s="292">
        <v>0</v>
      </c>
      <c r="L289" s="304"/>
      <c r="M289" s="292">
        <v>0</v>
      </c>
      <c r="N289" s="304">
        <v>0</v>
      </c>
      <c r="O289" s="292">
        <v>0</v>
      </c>
      <c r="P289" s="299">
        <f t="shared" si="37"/>
        <v>147382</v>
      </c>
    </row>
    <row r="290" spans="1:16" ht="31.5">
      <c r="A290" s="297">
        <v>79</v>
      </c>
      <c r="B290" s="44"/>
      <c r="C290" s="8" t="s">
        <v>461</v>
      </c>
      <c r="D290" s="319" t="s">
        <v>37</v>
      </c>
      <c r="E290" s="320">
        <v>11204.1</v>
      </c>
      <c r="F290" s="300">
        <v>5</v>
      </c>
      <c r="G290" s="321">
        <f t="shared" si="38"/>
        <v>56020.5</v>
      </c>
      <c r="H290" s="304"/>
      <c r="I290" s="303">
        <v>0</v>
      </c>
      <c r="J290" s="302"/>
      <c r="K290" s="292">
        <v>0</v>
      </c>
      <c r="L290" s="304"/>
      <c r="M290" s="292">
        <v>0</v>
      </c>
      <c r="N290" s="304">
        <v>0</v>
      </c>
      <c r="O290" s="292">
        <v>0</v>
      </c>
      <c r="P290" s="299">
        <f t="shared" si="37"/>
        <v>56020.5</v>
      </c>
    </row>
    <row r="291" spans="1:16" ht="47.25">
      <c r="A291" s="297">
        <v>80</v>
      </c>
      <c r="B291" s="322"/>
      <c r="C291" s="8" t="s">
        <v>462</v>
      </c>
      <c r="D291" s="319" t="s">
        <v>208</v>
      </c>
      <c r="E291" s="320">
        <v>65</v>
      </c>
      <c r="F291" s="300">
        <v>0</v>
      </c>
      <c r="G291" s="321">
        <f t="shared" si="38"/>
        <v>0</v>
      </c>
      <c r="H291" s="304"/>
      <c r="I291" s="303">
        <v>0</v>
      </c>
      <c r="J291" s="302"/>
      <c r="K291" s="292">
        <v>0</v>
      </c>
      <c r="L291" s="304"/>
      <c r="M291" s="292">
        <v>0</v>
      </c>
      <c r="N291" s="304">
        <v>2</v>
      </c>
      <c r="O291" s="292">
        <v>130</v>
      </c>
      <c r="P291" s="299">
        <f t="shared" si="37"/>
        <v>130</v>
      </c>
    </row>
    <row r="292" spans="1:16" ht="47.25">
      <c r="A292" s="297">
        <v>81</v>
      </c>
      <c r="B292" s="322"/>
      <c r="C292" s="323" t="s">
        <v>463</v>
      </c>
      <c r="D292" s="319" t="s">
        <v>37</v>
      </c>
      <c r="E292" s="300">
        <v>3</v>
      </c>
      <c r="F292" s="324">
        <v>30000</v>
      </c>
      <c r="G292" s="321">
        <f t="shared" si="38"/>
        <v>90000</v>
      </c>
      <c r="H292" s="304"/>
      <c r="I292" s="319">
        <v>0</v>
      </c>
      <c r="J292" s="302"/>
      <c r="K292" s="292">
        <v>0</v>
      </c>
      <c r="L292" s="304"/>
      <c r="M292" s="292">
        <v>0</v>
      </c>
      <c r="N292" s="304">
        <v>0</v>
      </c>
      <c r="O292" s="292">
        <v>0</v>
      </c>
      <c r="P292" s="299">
        <f t="shared" si="37"/>
        <v>90000</v>
      </c>
    </row>
    <row r="293" spans="1:16" ht="31.5">
      <c r="A293" s="325">
        <v>82</v>
      </c>
      <c r="B293" s="322"/>
      <c r="C293" s="326" t="s">
        <v>464</v>
      </c>
      <c r="D293" s="319" t="s">
        <v>208</v>
      </c>
      <c r="E293" s="300">
        <v>70</v>
      </c>
      <c r="F293" s="324">
        <v>352.82</v>
      </c>
      <c r="G293" s="321">
        <f t="shared" si="38"/>
        <v>24697.399999999998</v>
      </c>
      <c r="H293" s="304"/>
      <c r="I293" s="319">
        <v>0</v>
      </c>
      <c r="J293" s="302"/>
      <c r="K293" s="292">
        <v>0</v>
      </c>
      <c r="L293" s="304"/>
      <c r="M293" s="292">
        <v>0</v>
      </c>
      <c r="N293" s="304">
        <v>0</v>
      </c>
      <c r="O293" s="292">
        <v>0</v>
      </c>
      <c r="P293" s="299">
        <f t="shared" si="37"/>
        <v>24697.399999999998</v>
      </c>
    </row>
    <row r="294" spans="1:16" ht="63">
      <c r="A294" s="325">
        <v>83</v>
      </c>
      <c r="B294" s="322"/>
      <c r="C294" s="326" t="s">
        <v>465</v>
      </c>
      <c r="D294" s="316" t="s">
        <v>37</v>
      </c>
      <c r="E294" s="327">
        <v>3</v>
      </c>
      <c r="F294" s="324">
        <v>30000</v>
      </c>
      <c r="G294" s="321">
        <f t="shared" si="38"/>
        <v>90000</v>
      </c>
      <c r="H294" s="304"/>
      <c r="I294" s="316">
        <v>0</v>
      </c>
      <c r="J294" s="302"/>
      <c r="K294" s="292">
        <v>0</v>
      </c>
      <c r="L294" s="304"/>
      <c r="M294" s="292">
        <v>0</v>
      </c>
      <c r="N294" s="304">
        <v>0</v>
      </c>
      <c r="O294" s="292">
        <v>0</v>
      </c>
      <c r="P294" s="299">
        <f t="shared" si="37"/>
        <v>90000</v>
      </c>
    </row>
    <row r="295" spans="1:16" ht="47.25">
      <c r="A295" s="325">
        <v>84</v>
      </c>
      <c r="B295" s="322"/>
      <c r="C295" s="326" t="s">
        <v>466</v>
      </c>
      <c r="D295" s="316" t="s">
        <v>467</v>
      </c>
      <c r="E295" s="320">
        <v>8200</v>
      </c>
      <c r="F295" s="324">
        <v>20</v>
      </c>
      <c r="G295" s="321">
        <f t="shared" si="38"/>
        <v>164000</v>
      </c>
      <c r="H295" s="304"/>
      <c r="I295" s="316">
        <v>0</v>
      </c>
      <c r="J295" s="302"/>
      <c r="K295" s="292">
        <v>0</v>
      </c>
      <c r="L295" s="304"/>
      <c r="M295" s="292">
        <v>0</v>
      </c>
      <c r="N295" s="304">
        <v>0</v>
      </c>
      <c r="O295" s="292">
        <v>0</v>
      </c>
      <c r="P295" s="299">
        <f t="shared" si="37"/>
        <v>164000</v>
      </c>
    </row>
    <row r="296" spans="1:16" ht="47.25">
      <c r="A296" s="325">
        <v>85</v>
      </c>
      <c r="B296" s="322"/>
      <c r="C296" s="328" t="s">
        <v>468</v>
      </c>
      <c r="D296" s="316" t="s">
        <v>37</v>
      </c>
      <c r="E296" s="327">
        <v>3</v>
      </c>
      <c r="F296" s="324">
        <v>225</v>
      </c>
      <c r="G296" s="321">
        <f t="shared" si="38"/>
        <v>675</v>
      </c>
      <c r="H296" s="304"/>
      <c r="I296" s="316">
        <v>0</v>
      </c>
      <c r="J296" s="302"/>
      <c r="K296" s="292">
        <v>0</v>
      </c>
      <c r="L296" s="304"/>
      <c r="M296" s="292">
        <v>0</v>
      </c>
      <c r="N296" s="304">
        <v>0</v>
      </c>
      <c r="O296" s="292">
        <v>0</v>
      </c>
      <c r="P296" s="299">
        <f t="shared" si="37"/>
        <v>675</v>
      </c>
    </row>
    <row r="297" spans="1:16" ht="47.25">
      <c r="A297" s="325">
        <v>86</v>
      </c>
      <c r="B297" s="322"/>
      <c r="C297" s="328" t="s">
        <v>469</v>
      </c>
      <c r="D297" s="316" t="s">
        <v>46</v>
      </c>
      <c r="E297" s="327">
        <v>185</v>
      </c>
      <c r="F297" s="324">
        <v>20</v>
      </c>
      <c r="G297" s="321">
        <f t="shared" si="38"/>
        <v>3700</v>
      </c>
      <c r="H297" s="304"/>
      <c r="I297" s="316">
        <v>0</v>
      </c>
      <c r="J297" s="302"/>
      <c r="K297" s="292">
        <v>0</v>
      </c>
      <c r="L297" s="304"/>
      <c r="M297" s="292">
        <v>0</v>
      </c>
      <c r="N297" s="304">
        <v>0</v>
      </c>
      <c r="O297" s="292">
        <v>0</v>
      </c>
      <c r="P297" s="299">
        <f t="shared" si="37"/>
        <v>3700</v>
      </c>
    </row>
    <row r="298" spans="1:16">
      <c r="A298" s="325"/>
      <c r="B298" s="322"/>
      <c r="C298" s="8"/>
      <c r="D298" s="319"/>
      <c r="E298" s="320"/>
      <c r="F298" s="300"/>
      <c r="G298" s="321"/>
      <c r="H298" s="304"/>
      <c r="I298" s="303"/>
      <c r="J298" s="302"/>
      <c r="K298" s="292"/>
      <c r="L298" s="304"/>
      <c r="M298" s="292"/>
      <c r="N298" s="304"/>
      <c r="O298" s="292"/>
      <c r="P298" s="299"/>
    </row>
    <row r="299" spans="1:16">
      <c r="A299" s="329"/>
      <c r="B299" s="44"/>
      <c r="C299" s="8"/>
      <c r="D299" s="14"/>
      <c r="E299" s="313"/>
      <c r="F299" s="300"/>
      <c r="G299" s="321">
        <f>SUM(G212:G298)</f>
        <v>2057860.9760999996</v>
      </c>
      <c r="H299" s="304"/>
      <c r="I299" s="303">
        <f>SUM(I212:I281)</f>
        <v>0</v>
      </c>
      <c r="J299" s="302"/>
      <c r="K299" s="292">
        <f>SUM(K232:K281)</f>
        <v>0</v>
      </c>
      <c r="L299" s="304"/>
      <c r="M299" s="292">
        <f>SUM(M221:M281)</f>
        <v>0</v>
      </c>
      <c r="N299" s="304">
        <v>0</v>
      </c>
      <c r="O299" s="292">
        <f>SUM(O212:O297)</f>
        <v>144490</v>
      </c>
      <c r="P299" s="299">
        <f>SUM(P212:P298)</f>
        <v>2202350.9760999992</v>
      </c>
    </row>
    <row r="300" spans="1:16" ht="78.75">
      <c r="A300" s="90"/>
      <c r="B300" s="91"/>
      <c r="C300" s="91"/>
      <c r="D300" s="91"/>
      <c r="E300" s="91"/>
      <c r="F300" s="92"/>
      <c r="G300" s="292" t="s">
        <v>470</v>
      </c>
      <c r="H300" s="303"/>
      <c r="I300" s="292" t="s">
        <v>471</v>
      </c>
      <c r="J300" s="330"/>
      <c r="K300" s="292" t="s">
        <v>472</v>
      </c>
      <c r="L300" s="330"/>
      <c r="M300" s="292" t="s">
        <v>473</v>
      </c>
      <c r="N300" s="330"/>
      <c r="O300" s="292" t="s">
        <v>474</v>
      </c>
      <c r="P300" s="303" t="s">
        <v>124</v>
      </c>
    </row>
    <row r="301" spans="1:16">
      <c r="A301" s="331"/>
      <c r="B301" s="332"/>
      <c r="C301" s="284"/>
      <c r="D301" s="333"/>
      <c r="E301" s="290"/>
      <c r="F301" s="334" t="s">
        <v>475</v>
      </c>
      <c r="G301" s="289">
        <f>G299-E231</f>
        <v>1878574.7560999996</v>
      </c>
      <c r="H301" s="286"/>
      <c r="I301" s="286"/>
      <c r="J301" s="286"/>
      <c r="K301" s="286"/>
      <c r="L301" s="286"/>
      <c r="M301" s="286" t="s">
        <v>476</v>
      </c>
      <c r="N301" s="286"/>
      <c r="O301" s="286"/>
      <c r="P301" s="335"/>
    </row>
    <row r="302" spans="1:16">
      <c r="A302" s="331"/>
      <c r="B302" s="332"/>
      <c r="C302" s="284"/>
      <c r="D302" s="333"/>
      <c r="E302" s="290"/>
      <c r="F302" s="285"/>
      <c r="G302" s="286"/>
      <c r="H302" s="286"/>
      <c r="I302" s="286"/>
      <c r="J302" s="286"/>
      <c r="K302" s="286"/>
      <c r="L302" s="286"/>
      <c r="M302" s="286" t="s">
        <v>477</v>
      </c>
      <c r="N302" s="286"/>
      <c r="O302" s="286"/>
      <c r="P302" s="289"/>
    </row>
    <row r="303" spans="1:16">
      <c r="A303" s="331"/>
      <c r="B303" s="332"/>
      <c r="C303" s="284"/>
      <c r="D303" s="333"/>
      <c r="E303" s="290"/>
      <c r="F303" s="285"/>
      <c r="G303" s="286"/>
      <c r="H303" s="286"/>
      <c r="I303" s="286"/>
      <c r="J303" s="286"/>
      <c r="K303" s="286"/>
      <c r="L303" s="286"/>
      <c r="M303" s="286"/>
      <c r="N303" s="286"/>
      <c r="O303" s="286"/>
      <c r="P303" s="289"/>
    </row>
    <row r="304" spans="1:16">
      <c r="A304" s="331"/>
      <c r="B304" s="332"/>
      <c r="C304" s="284"/>
      <c r="D304" s="333"/>
      <c r="E304" s="290"/>
      <c r="F304" s="285"/>
      <c r="G304" s="286"/>
      <c r="H304" s="286"/>
      <c r="I304" s="286"/>
      <c r="J304" s="286"/>
      <c r="K304" s="286"/>
      <c r="L304" s="286"/>
      <c r="M304" s="286" t="s">
        <v>478</v>
      </c>
      <c r="N304" s="286"/>
      <c r="O304" s="286"/>
      <c r="P304" s="289"/>
    </row>
    <row r="308" spans="1:11">
      <c r="A308" s="336" t="s">
        <v>211</v>
      </c>
      <c r="B308" s="336"/>
      <c r="C308" s="336"/>
      <c r="D308" s="336"/>
      <c r="E308" s="336"/>
      <c r="F308" s="336"/>
      <c r="G308" s="336"/>
      <c r="H308" s="336"/>
      <c r="I308" s="336"/>
      <c r="J308" s="336"/>
      <c r="K308" s="336"/>
    </row>
    <row r="309" spans="1:11">
      <c r="A309" s="336"/>
      <c r="B309" s="336"/>
      <c r="C309" s="336"/>
      <c r="D309" s="336"/>
      <c r="E309" s="336"/>
      <c r="F309" s="336"/>
      <c r="G309" s="336"/>
      <c r="H309" s="336"/>
      <c r="I309" s="336"/>
      <c r="J309" s="336"/>
      <c r="K309" s="336"/>
    </row>
    <row r="310" spans="1:11">
      <c r="A310" s="337"/>
      <c r="B310" s="338"/>
      <c r="C310" s="338"/>
      <c r="D310" s="338"/>
      <c r="E310" s="338"/>
      <c r="F310" s="338"/>
      <c r="G310" s="338"/>
      <c r="H310" s="338"/>
      <c r="I310" s="338"/>
      <c r="J310" s="338"/>
      <c r="K310" s="338"/>
    </row>
    <row r="311" spans="1:11">
      <c r="A311" s="339" t="s">
        <v>479</v>
      </c>
      <c r="B311" s="339"/>
      <c r="C311" s="339"/>
      <c r="D311" s="340"/>
      <c r="E311" s="338"/>
      <c r="F311" s="338"/>
      <c r="G311" s="338"/>
      <c r="H311" s="338" t="s">
        <v>215</v>
      </c>
      <c r="I311" s="338"/>
      <c r="J311" s="338"/>
      <c r="K311" s="338" t="s">
        <v>480</v>
      </c>
    </row>
    <row r="312" spans="1:11">
      <c r="A312" s="341" t="s">
        <v>481</v>
      </c>
      <c r="B312" s="341"/>
      <c r="C312" s="341"/>
      <c r="D312" s="342"/>
      <c r="E312" s="338"/>
      <c r="F312" s="338"/>
      <c r="G312" s="338"/>
      <c r="H312" s="343" t="s">
        <v>482</v>
      </c>
      <c r="I312" s="343"/>
      <c r="J312" s="343"/>
      <c r="K312" s="343"/>
    </row>
    <row r="313" spans="1:11">
      <c r="A313" s="344" t="s">
        <v>220</v>
      </c>
      <c r="B313" s="345" t="s">
        <v>221</v>
      </c>
      <c r="C313" s="345" t="s">
        <v>222</v>
      </c>
      <c r="D313" s="346" t="s">
        <v>119</v>
      </c>
      <c r="E313" s="345" t="s">
        <v>223</v>
      </c>
      <c r="F313" s="345"/>
      <c r="G313" s="345"/>
      <c r="H313" s="345"/>
      <c r="I313" s="345"/>
      <c r="J313" s="338"/>
      <c r="K313" s="345" t="s">
        <v>483</v>
      </c>
    </row>
    <row r="314" spans="1:11">
      <c r="A314" s="345"/>
      <c r="B314" s="345"/>
      <c r="C314" s="345"/>
      <c r="D314" s="347"/>
      <c r="E314" s="348" t="s">
        <v>121</v>
      </c>
      <c r="F314" s="348" t="s">
        <v>226</v>
      </c>
      <c r="G314" s="348" t="s">
        <v>1</v>
      </c>
      <c r="H314" s="348" t="s">
        <v>227</v>
      </c>
      <c r="I314" s="348" t="s">
        <v>228</v>
      </c>
      <c r="J314" s="348" t="s">
        <v>484</v>
      </c>
      <c r="K314" s="345"/>
    </row>
    <row r="315" spans="1:11" ht="31.5">
      <c r="A315" s="348">
        <v>1</v>
      </c>
      <c r="B315" s="349" t="s">
        <v>275</v>
      </c>
      <c r="C315" s="350" t="s">
        <v>485</v>
      </c>
      <c r="D315" s="67" t="s">
        <v>277</v>
      </c>
      <c r="E315" s="351">
        <v>4</v>
      </c>
      <c r="F315" s="348"/>
      <c r="G315" s="348"/>
      <c r="H315" s="348"/>
      <c r="I315" s="348"/>
      <c r="J315" s="68">
        <v>3230</v>
      </c>
      <c r="K315" s="352">
        <f>J315*E315</f>
        <v>12920</v>
      </c>
    </row>
    <row r="316" spans="1:11" ht="31.5">
      <c r="A316" s="348">
        <v>2</v>
      </c>
      <c r="B316" s="349" t="s">
        <v>486</v>
      </c>
      <c r="C316" s="350" t="s">
        <v>487</v>
      </c>
      <c r="D316" s="67" t="s">
        <v>277</v>
      </c>
      <c r="E316" s="351">
        <v>3</v>
      </c>
      <c r="F316" s="348"/>
      <c r="G316" s="348"/>
      <c r="H316" s="348"/>
      <c r="I316" s="348"/>
      <c r="J316" s="68">
        <v>910</v>
      </c>
      <c r="K316" s="352">
        <f>J316*E316</f>
        <v>2730</v>
      </c>
    </row>
    <row r="317" spans="1:11">
      <c r="A317" s="348">
        <v>3</v>
      </c>
      <c r="B317" s="349" t="s">
        <v>488</v>
      </c>
      <c r="C317" s="350" t="s">
        <v>489</v>
      </c>
      <c r="D317" s="67" t="s">
        <v>40</v>
      </c>
      <c r="E317" s="351">
        <v>58</v>
      </c>
      <c r="F317" s="348"/>
      <c r="G317" s="348"/>
      <c r="H317" s="348"/>
      <c r="I317" s="348"/>
      <c r="J317" s="68">
        <v>410</v>
      </c>
      <c r="K317" s="352">
        <f>J317*E317</f>
        <v>23780</v>
      </c>
    </row>
    <row r="318" spans="1:11" ht="31.5">
      <c r="A318" s="348">
        <v>4</v>
      </c>
      <c r="B318" s="349" t="s">
        <v>246</v>
      </c>
      <c r="C318" s="350" t="s">
        <v>490</v>
      </c>
      <c r="D318" s="67" t="s">
        <v>40</v>
      </c>
      <c r="E318" s="351">
        <v>16</v>
      </c>
      <c r="F318" s="348"/>
      <c r="G318" s="348"/>
      <c r="H318" s="348"/>
      <c r="I318" s="348"/>
      <c r="J318" s="69">
        <v>510</v>
      </c>
      <c r="K318" s="352">
        <f>J318*E318</f>
        <v>8160</v>
      </c>
    </row>
    <row r="319" spans="1:11" ht="31.5">
      <c r="A319" s="348">
        <v>5</v>
      </c>
      <c r="B319" s="349" t="s">
        <v>244</v>
      </c>
      <c r="C319" s="350" t="s">
        <v>491</v>
      </c>
      <c r="D319" s="67" t="s">
        <v>40</v>
      </c>
      <c r="E319" s="351">
        <v>2</v>
      </c>
      <c r="F319" s="348"/>
      <c r="G319" s="348"/>
      <c r="H319" s="348"/>
      <c r="I319" s="348"/>
      <c r="J319" s="68">
        <v>185</v>
      </c>
      <c r="K319" s="353">
        <f>J319*E319</f>
        <v>370</v>
      </c>
    </row>
    <row r="320" spans="1:11">
      <c r="A320" s="348">
        <v>6</v>
      </c>
      <c r="B320" s="349" t="s">
        <v>492</v>
      </c>
      <c r="C320" s="350" t="s">
        <v>493</v>
      </c>
      <c r="D320" s="70" t="s">
        <v>494</v>
      </c>
      <c r="E320" s="71">
        <v>379</v>
      </c>
      <c r="F320" s="348"/>
      <c r="G320" s="348"/>
      <c r="H320" s="348"/>
      <c r="I320" s="348"/>
      <c r="J320" s="69">
        <v>66.2</v>
      </c>
      <c r="K320" s="352">
        <f t="shared" ref="K320:K334" si="40">J320*E320</f>
        <v>25089.8</v>
      </c>
    </row>
    <row r="321" spans="1:11">
      <c r="A321" s="348">
        <v>7</v>
      </c>
      <c r="B321" s="72" t="s">
        <v>495</v>
      </c>
      <c r="C321" s="354" t="s">
        <v>496</v>
      </c>
      <c r="D321" s="70" t="s">
        <v>37</v>
      </c>
      <c r="E321" s="71">
        <v>32</v>
      </c>
      <c r="F321" s="348"/>
      <c r="G321" s="348"/>
      <c r="H321" s="348"/>
      <c r="I321" s="348"/>
      <c r="J321" s="69">
        <v>120</v>
      </c>
      <c r="K321" s="353">
        <f t="shared" si="40"/>
        <v>3840</v>
      </c>
    </row>
    <row r="322" spans="1:11" ht="31.5">
      <c r="A322" s="348">
        <v>8</v>
      </c>
      <c r="B322" s="72" t="s">
        <v>324</v>
      </c>
      <c r="C322" s="350" t="s">
        <v>497</v>
      </c>
      <c r="D322" s="70" t="s">
        <v>498</v>
      </c>
      <c r="E322" s="71">
        <f>1.4-0.53-0.03</f>
        <v>0.83999999999999986</v>
      </c>
      <c r="F322" s="348"/>
      <c r="G322" s="348"/>
      <c r="H322" s="348"/>
      <c r="I322" s="348"/>
      <c r="J322" s="69">
        <v>18000</v>
      </c>
      <c r="K322" s="353">
        <f t="shared" si="40"/>
        <v>15119.999999999998</v>
      </c>
    </row>
    <row r="323" spans="1:11" ht="47.25">
      <c r="A323" s="348">
        <v>9</v>
      </c>
      <c r="B323" s="80" t="s">
        <v>248</v>
      </c>
      <c r="C323" s="354" t="s">
        <v>499</v>
      </c>
      <c r="D323" s="70" t="s">
        <v>206</v>
      </c>
      <c r="E323" s="73">
        <v>6</v>
      </c>
      <c r="F323" s="348"/>
      <c r="G323" s="348"/>
      <c r="H323" s="348"/>
      <c r="I323" s="348"/>
      <c r="J323" s="73">
        <v>3376.63</v>
      </c>
      <c r="K323" s="352">
        <f t="shared" si="40"/>
        <v>20259.78</v>
      </c>
    </row>
    <row r="324" spans="1:11">
      <c r="A324" s="348">
        <v>10</v>
      </c>
      <c r="B324" s="72" t="s">
        <v>244</v>
      </c>
      <c r="C324" s="354" t="s">
        <v>500</v>
      </c>
      <c r="D324" s="70" t="s">
        <v>206</v>
      </c>
      <c r="E324" s="73">
        <v>1</v>
      </c>
      <c r="F324" s="348"/>
      <c r="G324" s="348"/>
      <c r="H324" s="348"/>
      <c r="I324" s="348"/>
      <c r="J324" s="73">
        <v>900</v>
      </c>
      <c r="K324" s="355">
        <f t="shared" si="40"/>
        <v>900</v>
      </c>
    </row>
    <row r="325" spans="1:11" ht="47.25">
      <c r="A325" s="348">
        <v>11</v>
      </c>
      <c r="B325" s="80" t="s">
        <v>248</v>
      </c>
      <c r="C325" s="354" t="s">
        <v>499</v>
      </c>
      <c r="D325" s="70" t="s">
        <v>206</v>
      </c>
      <c r="E325" s="73">
        <v>6</v>
      </c>
      <c r="F325" s="348"/>
      <c r="G325" s="348"/>
      <c r="H325" s="348"/>
      <c r="I325" s="348"/>
      <c r="J325" s="73">
        <v>7003.3</v>
      </c>
      <c r="K325" s="355">
        <f t="shared" si="40"/>
        <v>42019.8</v>
      </c>
    </row>
    <row r="326" spans="1:11" ht="47.25">
      <c r="A326" s="348">
        <v>12</v>
      </c>
      <c r="B326" s="72" t="s">
        <v>501</v>
      </c>
      <c r="C326" s="354" t="s">
        <v>502</v>
      </c>
      <c r="D326" s="70" t="s">
        <v>206</v>
      </c>
      <c r="E326" s="73">
        <v>11</v>
      </c>
      <c r="F326" s="348"/>
      <c r="G326" s="348"/>
      <c r="H326" s="348"/>
      <c r="I326" s="348"/>
      <c r="J326" s="73">
        <v>5835.1</v>
      </c>
      <c r="K326" s="352">
        <f t="shared" si="40"/>
        <v>64186.100000000006</v>
      </c>
    </row>
    <row r="327" spans="1:11" ht="47.25">
      <c r="A327" s="348">
        <v>13</v>
      </c>
      <c r="B327" s="72" t="s">
        <v>244</v>
      </c>
      <c r="C327" s="354" t="s">
        <v>503</v>
      </c>
      <c r="D327" s="70" t="s">
        <v>206</v>
      </c>
      <c r="E327" s="73">
        <v>12</v>
      </c>
      <c r="F327" s="348"/>
      <c r="G327" s="348"/>
      <c r="H327" s="348"/>
      <c r="I327" s="348"/>
      <c r="J327" s="73">
        <v>690.3</v>
      </c>
      <c r="K327" s="355">
        <f t="shared" si="40"/>
        <v>8283.5999999999985</v>
      </c>
    </row>
    <row r="328" spans="1:11" ht="47.25">
      <c r="A328" s="348">
        <v>14</v>
      </c>
      <c r="B328" s="72" t="s">
        <v>262</v>
      </c>
      <c r="C328" s="354" t="s">
        <v>504</v>
      </c>
      <c r="D328" s="70" t="s">
        <v>206</v>
      </c>
      <c r="E328" s="73">
        <v>8</v>
      </c>
      <c r="F328" s="348"/>
      <c r="G328" s="348"/>
      <c r="H328" s="348"/>
      <c r="I328" s="348"/>
      <c r="J328" s="73">
        <v>672.6</v>
      </c>
      <c r="K328" s="352">
        <f t="shared" si="40"/>
        <v>5380.8</v>
      </c>
    </row>
    <row r="329" spans="1:11" ht="31.5">
      <c r="A329" s="348">
        <v>15</v>
      </c>
      <c r="B329" s="72" t="s">
        <v>505</v>
      </c>
      <c r="C329" s="354" t="s">
        <v>506</v>
      </c>
      <c r="D329" s="70" t="s">
        <v>206</v>
      </c>
      <c r="E329" s="73">
        <v>8</v>
      </c>
      <c r="F329" s="348"/>
      <c r="G329" s="348"/>
      <c r="H329" s="348"/>
      <c r="I329" s="348"/>
      <c r="J329" s="73">
        <v>2171.1999999999998</v>
      </c>
      <c r="K329" s="352">
        <f t="shared" si="40"/>
        <v>17369.599999999999</v>
      </c>
    </row>
    <row r="330" spans="1:11" ht="47.25">
      <c r="A330" s="348">
        <v>16</v>
      </c>
      <c r="B330" s="72" t="s">
        <v>251</v>
      </c>
      <c r="C330" s="354" t="s">
        <v>507</v>
      </c>
      <c r="D330" s="70" t="s">
        <v>206</v>
      </c>
      <c r="E330" s="73">
        <v>8</v>
      </c>
      <c r="F330" s="348"/>
      <c r="G330" s="348"/>
      <c r="H330" s="348"/>
      <c r="I330" s="348"/>
      <c r="J330" s="73">
        <v>1823.1</v>
      </c>
      <c r="K330" s="352">
        <f t="shared" si="40"/>
        <v>14584.8</v>
      </c>
    </row>
    <row r="331" spans="1:11" ht="47.25">
      <c r="A331" s="348">
        <v>17</v>
      </c>
      <c r="B331" s="74" t="s">
        <v>508</v>
      </c>
      <c r="C331" s="354" t="s">
        <v>509</v>
      </c>
      <c r="D331" s="70" t="s">
        <v>206</v>
      </c>
      <c r="E331" s="73">
        <v>6</v>
      </c>
      <c r="F331" s="348"/>
      <c r="G331" s="348"/>
      <c r="H331" s="348"/>
      <c r="I331" s="348"/>
      <c r="J331" s="73">
        <v>1085.5999999999999</v>
      </c>
      <c r="K331" s="352">
        <f t="shared" si="40"/>
        <v>6513.5999999999995</v>
      </c>
    </row>
    <row r="332" spans="1:11" ht="31.5">
      <c r="A332" s="348">
        <v>18</v>
      </c>
      <c r="B332" s="72" t="s">
        <v>255</v>
      </c>
      <c r="C332" s="354" t="s">
        <v>510</v>
      </c>
      <c r="D332" s="70" t="s">
        <v>206</v>
      </c>
      <c r="E332" s="73">
        <v>8</v>
      </c>
      <c r="F332" s="348"/>
      <c r="G332" s="348"/>
      <c r="H332" s="348"/>
      <c r="I332" s="348"/>
      <c r="J332" s="73">
        <v>1616.6</v>
      </c>
      <c r="K332" s="352">
        <f t="shared" si="40"/>
        <v>12932.8</v>
      </c>
    </row>
    <row r="333" spans="1:11" ht="47.25">
      <c r="A333" s="348">
        <v>19</v>
      </c>
      <c r="B333" s="72" t="s">
        <v>259</v>
      </c>
      <c r="C333" s="354" t="s">
        <v>511</v>
      </c>
      <c r="D333" s="70" t="s">
        <v>206</v>
      </c>
      <c r="E333" s="73">
        <v>8</v>
      </c>
      <c r="F333" s="348"/>
      <c r="G333" s="348"/>
      <c r="H333" s="348"/>
      <c r="I333" s="348"/>
      <c r="J333" s="73">
        <v>1858.5</v>
      </c>
      <c r="K333" s="352">
        <f t="shared" si="40"/>
        <v>14868</v>
      </c>
    </row>
    <row r="334" spans="1:11" ht="47.25">
      <c r="A334" s="348">
        <v>20</v>
      </c>
      <c r="B334" s="72" t="s">
        <v>237</v>
      </c>
      <c r="C334" s="350" t="s">
        <v>512</v>
      </c>
      <c r="D334" s="75" t="s">
        <v>37</v>
      </c>
      <c r="E334" s="71">
        <v>7</v>
      </c>
      <c r="F334" s="356"/>
      <c r="G334" s="356"/>
      <c r="H334" s="356"/>
      <c r="I334" s="356"/>
      <c r="J334" s="71">
        <v>1327.5</v>
      </c>
      <c r="K334" s="352">
        <f t="shared" si="40"/>
        <v>9292.5</v>
      </c>
    </row>
    <row r="335" spans="1:11">
      <c r="A335" s="348"/>
      <c r="B335" s="357"/>
      <c r="C335" s="358"/>
      <c r="D335" s="358"/>
      <c r="E335" s="358"/>
      <c r="F335" s="358"/>
      <c r="G335" s="358"/>
      <c r="H335" s="83" t="s">
        <v>82</v>
      </c>
      <c r="I335" s="84"/>
      <c r="J335" s="353"/>
      <c r="K335" s="359">
        <f>SUM(K315:K334)</f>
        <v>308601.18</v>
      </c>
    </row>
    <row r="336" spans="1:11">
      <c r="A336" s="360"/>
      <c r="B336" s="361" t="s">
        <v>513</v>
      </c>
      <c r="C336" s="361"/>
      <c r="D336" s="361"/>
      <c r="E336" s="361"/>
      <c r="F336" s="361"/>
      <c r="G336" s="361"/>
      <c r="H336" s="361"/>
      <c r="I336" s="361"/>
      <c r="J336" s="361"/>
      <c r="K336" s="361"/>
    </row>
    <row r="337" spans="1:11">
      <c r="A337" s="344" t="s">
        <v>220</v>
      </c>
      <c r="B337" s="345" t="s">
        <v>221</v>
      </c>
      <c r="C337" s="345" t="s">
        <v>222</v>
      </c>
      <c r="D337" s="346" t="s">
        <v>119</v>
      </c>
      <c r="E337" s="345" t="s">
        <v>223</v>
      </c>
      <c r="F337" s="345"/>
      <c r="G337" s="345"/>
      <c r="H337" s="345"/>
      <c r="I337" s="345"/>
      <c r="J337" s="348"/>
      <c r="K337" s="345" t="s">
        <v>483</v>
      </c>
    </row>
    <row r="338" spans="1:11">
      <c r="A338" s="345"/>
      <c r="B338" s="345"/>
      <c r="C338" s="345"/>
      <c r="D338" s="347"/>
      <c r="E338" s="348" t="s">
        <v>121</v>
      </c>
      <c r="F338" s="348" t="s">
        <v>226</v>
      </c>
      <c r="G338" s="348" t="s">
        <v>1</v>
      </c>
      <c r="H338" s="348" t="s">
        <v>227</v>
      </c>
      <c r="I338" s="348" t="s">
        <v>228</v>
      </c>
      <c r="J338" s="348"/>
      <c r="K338" s="345"/>
    </row>
    <row r="339" spans="1:11">
      <c r="A339" s="348">
        <v>1</v>
      </c>
      <c r="B339" s="72" t="s">
        <v>268</v>
      </c>
      <c r="C339" s="76" t="s">
        <v>514</v>
      </c>
      <c r="D339" s="77" t="s">
        <v>494</v>
      </c>
      <c r="E339" s="348"/>
      <c r="F339" s="348"/>
      <c r="G339" s="348"/>
      <c r="H339" s="348"/>
      <c r="I339" s="78">
        <v>410</v>
      </c>
      <c r="J339" s="79">
        <v>35</v>
      </c>
      <c r="K339" s="359">
        <f t="shared" ref="K339:K340" si="41">J339*I339</f>
        <v>14350</v>
      </c>
    </row>
    <row r="340" spans="1:11" ht="31.5">
      <c r="A340" s="348">
        <v>2</v>
      </c>
      <c r="B340" s="72" t="s">
        <v>237</v>
      </c>
      <c r="C340" s="350" t="s">
        <v>515</v>
      </c>
      <c r="D340" s="70" t="s">
        <v>37</v>
      </c>
      <c r="E340" s="73"/>
      <c r="F340" s="348"/>
      <c r="G340" s="348"/>
      <c r="H340" s="348"/>
      <c r="I340" s="78">
        <v>36</v>
      </c>
      <c r="J340" s="79">
        <v>100</v>
      </c>
      <c r="K340" s="359">
        <f t="shared" si="41"/>
        <v>3600</v>
      </c>
    </row>
    <row r="341" spans="1:11">
      <c r="A341" s="358"/>
      <c r="B341" s="358"/>
      <c r="C341" s="358"/>
      <c r="D341" s="358"/>
      <c r="E341" s="358"/>
      <c r="F341" s="358"/>
      <c r="G341" s="358"/>
      <c r="H341" s="362" t="s">
        <v>82</v>
      </c>
      <c r="I341" s="362"/>
      <c r="J341" s="357"/>
      <c r="K341" s="359">
        <f>SUM(K339:K340)</f>
        <v>17950</v>
      </c>
    </row>
    <row r="342" spans="1:11">
      <c r="A342" s="360"/>
      <c r="B342" s="361" t="s">
        <v>516</v>
      </c>
      <c r="C342" s="361"/>
      <c r="D342" s="361"/>
      <c r="E342" s="361"/>
      <c r="F342" s="361"/>
      <c r="G342" s="361"/>
      <c r="H342" s="361"/>
      <c r="I342" s="361"/>
      <c r="J342" s="361"/>
      <c r="K342" s="361"/>
    </row>
    <row r="343" spans="1:11">
      <c r="A343" s="344" t="s">
        <v>220</v>
      </c>
      <c r="B343" s="345" t="s">
        <v>221</v>
      </c>
      <c r="C343" s="345" t="s">
        <v>222</v>
      </c>
      <c r="D343" s="346" t="s">
        <v>119</v>
      </c>
      <c r="E343" s="345" t="s">
        <v>223</v>
      </c>
      <c r="F343" s="345"/>
      <c r="G343" s="345"/>
      <c r="H343" s="345"/>
      <c r="I343" s="345"/>
      <c r="J343" s="348"/>
      <c r="K343" s="345" t="s">
        <v>483</v>
      </c>
    </row>
    <row r="344" spans="1:11">
      <c r="A344" s="345"/>
      <c r="B344" s="345"/>
      <c r="C344" s="345"/>
      <c r="D344" s="347"/>
      <c r="E344" s="348" t="s">
        <v>121</v>
      </c>
      <c r="F344" s="348" t="s">
        <v>226</v>
      </c>
      <c r="G344" s="348" t="s">
        <v>1</v>
      </c>
      <c r="H344" s="348" t="s">
        <v>227</v>
      </c>
      <c r="I344" s="348" t="s">
        <v>228</v>
      </c>
      <c r="J344" s="348"/>
      <c r="K344" s="345"/>
    </row>
    <row r="345" spans="1:11">
      <c r="A345" s="348">
        <v>1</v>
      </c>
      <c r="B345" s="80" t="s">
        <v>517</v>
      </c>
      <c r="C345" s="81" t="s">
        <v>518</v>
      </c>
      <c r="D345" s="77" t="s">
        <v>37</v>
      </c>
      <c r="E345" s="348">
        <v>1</v>
      </c>
      <c r="F345" s="348"/>
      <c r="G345" s="348"/>
      <c r="H345" s="348"/>
      <c r="I345" s="82"/>
      <c r="J345" s="79">
        <v>67850</v>
      </c>
      <c r="K345" s="359">
        <f>E345*J345</f>
        <v>67850</v>
      </c>
    </row>
    <row r="346" spans="1:11">
      <c r="A346" s="358"/>
      <c r="B346" s="358"/>
      <c r="C346" s="358"/>
      <c r="D346" s="358"/>
      <c r="E346" s="358"/>
      <c r="F346" s="358"/>
      <c r="G346" s="358"/>
      <c r="H346" s="362" t="s">
        <v>82</v>
      </c>
      <c r="I346" s="362"/>
      <c r="J346" s="357"/>
      <c r="K346" s="359">
        <f>SUM(K345:K345)</f>
        <v>67850</v>
      </c>
    </row>
    <row r="347" spans="1:11">
      <c r="A347" s="338"/>
      <c r="B347" s="338"/>
      <c r="C347" s="363"/>
      <c r="D347" s="363"/>
      <c r="E347" s="363"/>
      <c r="F347" s="363"/>
      <c r="G347" s="363"/>
      <c r="H347" s="364"/>
      <c r="I347" s="364"/>
      <c r="J347" s="364"/>
      <c r="K347" s="365"/>
    </row>
    <row r="348" spans="1:11">
      <c r="A348" s="338"/>
      <c r="B348" s="338"/>
      <c r="C348" s="338" t="s">
        <v>519</v>
      </c>
      <c r="D348" s="338"/>
      <c r="E348" s="338"/>
      <c r="F348" s="338" t="s">
        <v>520</v>
      </c>
      <c r="G348" s="338"/>
      <c r="H348" s="338"/>
      <c r="I348" s="338"/>
      <c r="J348" s="338"/>
      <c r="K348" s="338" t="s">
        <v>521</v>
      </c>
    </row>
    <row r="349" spans="1:11">
      <c r="A349" s="338"/>
      <c r="B349" s="338"/>
      <c r="C349" s="338"/>
      <c r="D349" s="338"/>
      <c r="E349" s="338"/>
      <c r="F349" s="338"/>
      <c r="G349" s="338"/>
      <c r="H349" s="338"/>
      <c r="I349" s="338"/>
      <c r="J349" s="338"/>
      <c r="K349" s="338"/>
    </row>
    <row r="350" spans="1:11">
      <c r="A350" s="338"/>
      <c r="B350" s="338"/>
      <c r="C350" s="338"/>
      <c r="D350" s="338"/>
      <c r="E350" s="338"/>
      <c r="F350" s="338"/>
      <c r="G350" s="338"/>
      <c r="H350" s="338"/>
      <c r="I350" s="338"/>
      <c r="J350" s="338"/>
      <c r="K350" s="338"/>
    </row>
    <row r="351" spans="1:11">
      <c r="A351" s="338"/>
      <c r="B351" s="338"/>
      <c r="C351" s="338"/>
      <c r="D351" s="338"/>
      <c r="E351" s="338"/>
      <c r="F351" s="338"/>
      <c r="G351" s="338"/>
      <c r="H351" s="338"/>
      <c r="I351" s="338"/>
      <c r="J351" s="338"/>
      <c r="K351" s="338"/>
    </row>
    <row r="352" spans="1:11" ht="15" customHeight="1">
      <c r="A352" s="366" t="s">
        <v>211</v>
      </c>
      <c r="B352" s="366"/>
      <c r="C352" s="366"/>
      <c r="D352" s="366"/>
      <c r="E352" s="366"/>
      <c r="F352" s="366"/>
      <c r="G352" s="366"/>
      <c r="H352" s="366"/>
      <c r="I352" s="366"/>
      <c r="J352" s="366"/>
      <c r="K352" s="367"/>
    </row>
    <row r="353" spans="1:11" ht="15" customHeight="1">
      <c r="A353" s="366"/>
      <c r="B353" s="366"/>
      <c r="C353" s="366"/>
      <c r="D353" s="366"/>
      <c r="E353" s="366"/>
      <c r="F353" s="366"/>
      <c r="G353" s="366"/>
      <c r="H353" s="366"/>
      <c r="I353" s="366"/>
      <c r="J353" s="366"/>
      <c r="K353" s="367"/>
    </row>
    <row r="354" spans="1:11">
      <c r="A354" s="368"/>
      <c r="B354" s="369"/>
      <c r="C354" s="370"/>
      <c r="D354" s="370"/>
      <c r="E354" s="367"/>
      <c r="F354" s="367"/>
      <c r="G354" s="367"/>
      <c r="H354" s="367"/>
      <c r="I354" s="367"/>
      <c r="J354" s="367"/>
      <c r="K354" s="367"/>
    </row>
    <row r="355" spans="1:11">
      <c r="A355" s="371" t="s">
        <v>522</v>
      </c>
      <c r="B355" s="371"/>
      <c r="C355" s="371"/>
      <c r="D355" s="372"/>
      <c r="E355" s="367"/>
      <c r="F355" s="367"/>
      <c r="G355" s="367"/>
      <c r="H355" s="371" t="s">
        <v>215</v>
      </c>
      <c r="I355" s="371"/>
      <c r="J355" s="367" t="s">
        <v>523</v>
      </c>
      <c r="K355" s="367"/>
    </row>
    <row r="356" spans="1:11">
      <c r="A356" s="371" t="s">
        <v>524</v>
      </c>
      <c r="B356" s="371"/>
      <c r="C356" s="371"/>
      <c r="D356" s="372"/>
      <c r="E356" s="367"/>
      <c r="F356" s="367"/>
      <c r="G356" s="367"/>
      <c r="H356" s="373" t="s">
        <v>219</v>
      </c>
      <c r="I356" s="374">
        <v>46113</v>
      </c>
      <c r="J356" s="374"/>
      <c r="K356" s="367"/>
    </row>
    <row r="357" spans="1:11">
      <c r="A357" s="375" t="s">
        <v>525</v>
      </c>
      <c r="B357" s="376"/>
      <c r="C357" s="377" t="s">
        <v>526</v>
      </c>
      <c r="D357" s="372"/>
      <c r="E357" s="367"/>
      <c r="F357" s="367"/>
      <c r="G357" s="367"/>
      <c r="H357" s="375"/>
      <c r="I357" s="367"/>
      <c r="J357" s="367"/>
      <c r="K357" s="367"/>
    </row>
    <row r="358" spans="1:11">
      <c r="A358" s="105"/>
      <c r="B358" s="105"/>
      <c r="C358" s="105"/>
      <c r="D358" s="105"/>
      <c r="E358" s="105"/>
      <c r="F358" s="105"/>
      <c r="G358" s="105"/>
      <c r="H358" s="105"/>
      <c r="I358" s="105"/>
      <c r="J358" s="105"/>
      <c r="K358" s="105"/>
    </row>
    <row r="359" spans="1:11">
      <c r="A359" s="378" t="s">
        <v>220</v>
      </c>
      <c r="B359" s="379" t="s">
        <v>221</v>
      </c>
      <c r="C359" s="380" t="s">
        <v>222</v>
      </c>
      <c r="D359" s="381" t="s">
        <v>119</v>
      </c>
      <c r="E359" s="379" t="s">
        <v>223</v>
      </c>
      <c r="F359" s="379"/>
      <c r="G359" s="379"/>
      <c r="H359" s="379"/>
      <c r="I359" s="379"/>
      <c r="J359" s="382" t="s">
        <v>527</v>
      </c>
      <c r="K359" s="382" t="s">
        <v>225</v>
      </c>
    </row>
    <row r="360" spans="1:11" ht="47.25">
      <c r="A360" s="379"/>
      <c r="B360" s="379"/>
      <c r="C360" s="380"/>
      <c r="D360" s="383"/>
      <c r="E360" s="384" t="s">
        <v>121</v>
      </c>
      <c r="F360" s="385" t="s">
        <v>226</v>
      </c>
      <c r="G360" s="384" t="s">
        <v>1</v>
      </c>
      <c r="H360" s="385" t="s">
        <v>227</v>
      </c>
      <c r="I360" s="384" t="s">
        <v>228</v>
      </c>
      <c r="J360" s="386"/>
      <c r="K360" s="386"/>
    </row>
    <row r="361" spans="1:11">
      <c r="A361" s="384">
        <v>1</v>
      </c>
      <c r="B361" s="107" t="s">
        <v>528</v>
      </c>
      <c r="C361" s="108" t="s">
        <v>529</v>
      </c>
      <c r="D361" s="109" t="s">
        <v>40</v>
      </c>
      <c r="E361" s="110">
        <v>3</v>
      </c>
      <c r="F361" s="133"/>
      <c r="G361" s="133"/>
      <c r="H361" s="133"/>
      <c r="I361" s="133"/>
      <c r="J361" s="111">
        <v>100</v>
      </c>
      <c r="K361" s="387">
        <f>J361*E361</f>
        <v>300</v>
      </c>
    </row>
    <row r="362" spans="1:11">
      <c r="A362" s="384">
        <v>2</v>
      </c>
      <c r="B362" s="107" t="s">
        <v>530</v>
      </c>
      <c r="C362" s="108" t="s">
        <v>531</v>
      </c>
      <c r="D362" s="109" t="s">
        <v>40</v>
      </c>
      <c r="E362" s="110">
        <v>2</v>
      </c>
      <c r="F362" s="133"/>
      <c r="G362" s="133"/>
      <c r="H362" s="133"/>
      <c r="I362" s="133"/>
      <c r="J362" s="111">
        <v>100</v>
      </c>
      <c r="K362" s="387">
        <f t="shared" ref="K362:K425" si="42">J362*E362</f>
        <v>200</v>
      </c>
    </row>
    <row r="363" spans="1:11">
      <c r="A363" s="384">
        <v>3</v>
      </c>
      <c r="B363" s="107" t="s">
        <v>532</v>
      </c>
      <c r="C363" s="108" t="s">
        <v>533</v>
      </c>
      <c r="D363" s="109" t="s">
        <v>387</v>
      </c>
      <c r="E363" s="110">
        <v>415</v>
      </c>
      <c r="F363" s="133"/>
      <c r="G363" s="133"/>
      <c r="H363" s="133"/>
      <c r="I363" s="133"/>
      <c r="J363" s="111">
        <v>20</v>
      </c>
      <c r="K363" s="387">
        <f t="shared" si="42"/>
        <v>8300</v>
      </c>
    </row>
    <row r="364" spans="1:11">
      <c r="A364" s="384">
        <v>4</v>
      </c>
      <c r="B364" s="112"/>
      <c r="C364" s="108" t="s">
        <v>534</v>
      </c>
      <c r="D364" s="109" t="s">
        <v>40</v>
      </c>
      <c r="E364" s="110">
        <v>1</v>
      </c>
      <c r="F364" s="133"/>
      <c r="G364" s="133"/>
      <c r="H364" s="133"/>
      <c r="I364" s="133"/>
      <c r="J364" s="111">
        <v>1000</v>
      </c>
      <c r="K364" s="387">
        <f t="shared" si="42"/>
        <v>1000</v>
      </c>
    </row>
    <row r="365" spans="1:11">
      <c r="A365" s="384">
        <v>5</v>
      </c>
      <c r="B365" s="107"/>
      <c r="C365" s="108" t="s">
        <v>535</v>
      </c>
      <c r="D365" s="109" t="s">
        <v>40</v>
      </c>
      <c r="E365" s="110">
        <v>1</v>
      </c>
      <c r="F365" s="133"/>
      <c r="G365" s="133"/>
      <c r="H365" s="133"/>
      <c r="I365" s="133"/>
      <c r="J365" s="111">
        <v>100</v>
      </c>
      <c r="K365" s="387">
        <f t="shared" si="42"/>
        <v>100</v>
      </c>
    </row>
    <row r="366" spans="1:11" ht="31.5">
      <c r="A366" s="384">
        <v>6</v>
      </c>
      <c r="B366" s="112" t="s">
        <v>536</v>
      </c>
      <c r="C366" s="108" t="s">
        <v>537</v>
      </c>
      <c r="D366" s="109" t="s">
        <v>7</v>
      </c>
      <c r="E366" s="110">
        <v>10</v>
      </c>
      <c r="F366" s="133"/>
      <c r="G366" s="133"/>
      <c r="H366" s="133"/>
      <c r="I366" s="133"/>
      <c r="J366" s="111">
        <v>25</v>
      </c>
      <c r="K366" s="387">
        <f t="shared" si="42"/>
        <v>250</v>
      </c>
    </row>
    <row r="367" spans="1:11" ht="31.5">
      <c r="A367" s="384">
        <v>7</v>
      </c>
      <c r="B367" s="107" t="s">
        <v>538</v>
      </c>
      <c r="C367" s="108" t="s">
        <v>539</v>
      </c>
      <c r="D367" s="109" t="s">
        <v>387</v>
      </c>
      <c r="E367" s="110">
        <v>145</v>
      </c>
      <c r="F367" s="133"/>
      <c r="G367" s="133"/>
      <c r="H367" s="133"/>
      <c r="I367" s="133"/>
      <c r="J367" s="111">
        <v>1976</v>
      </c>
      <c r="K367" s="387">
        <f t="shared" si="42"/>
        <v>286520</v>
      </c>
    </row>
    <row r="368" spans="1:11" ht="31.5">
      <c r="A368" s="384">
        <v>8</v>
      </c>
      <c r="B368" s="112" t="s">
        <v>540</v>
      </c>
      <c r="C368" s="108" t="s">
        <v>541</v>
      </c>
      <c r="D368" s="109" t="s">
        <v>542</v>
      </c>
      <c r="E368" s="110">
        <v>245</v>
      </c>
      <c r="F368" s="133"/>
      <c r="G368" s="133"/>
      <c r="H368" s="133"/>
      <c r="I368" s="133"/>
      <c r="J368" s="111">
        <v>38.25</v>
      </c>
      <c r="K368" s="387">
        <f t="shared" si="42"/>
        <v>9371.25</v>
      </c>
    </row>
    <row r="369" spans="1:11" ht="63">
      <c r="A369" s="384">
        <v>9</v>
      </c>
      <c r="B369" s="112"/>
      <c r="C369" s="108" t="s">
        <v>543</v>
      </c>
      <c r="D369" s="109" t="s">
        <v>40</v>
      </c>
      <c r="E369" s="110">
        <v>4</v>
      </c>
      <c r="F369" s="133"/>
      <c r="G369" s="133"/>
      <c r="H369" s="133"/>
      <c r="I369" s="133"/>
      <c r="J369" s="111">
        <v>11925</v>
      </c>
      <c r="K369" s="387">
        <f t="shared" si="42"/>
        <v>47700</v>
      </c>
    </row>
    <row r="370" spans="1:11" ht="63">
      <c r="A370" s="384">
        <v>10</v>
      </c>
      <c r="B370" s="112"/>
      <c r="C370" s="108" t="s">
        <v>544</v>
      </c>
      <c r="D370" s="109" t="s">
        <v>40</v>
      </c>
      <c r="E370" s="110">
        <v>1</v>
      </c>
      <c r="F370" s="133"/>
      <c r="G370" s="133"/>
      <c r="H370" s="133"/>
      <c r="I370" s="133"/>
      <c r="J370" s="111">
        <v>15300</v>
      </c>
      <c r="K370" s="387">
        <f t="shared" si="42"/>
        <v>15300</v>
      </c>
    </row>
    <row r="371" spans="1:11" ht="31.5">
      <c r="A371" s="384">
        <v>11</v>
      </c>
      <c r="B371" s="107" t="s">
        <v>324</v>
      </c>
      <c r="C371" s="108" t="s">
        <v>545</v>
      </c>
      <c r="D371" s="109" t="s">
        <v>359</v>
      </c>
      <c r="E371" s="113">
        <v>3.2500000000000001E-2</v>
      </c>
      <c r="F371" s="133"/>
      <c r="G371" s="133"/>
      <c r="H371" s="133"/>
      <c r="I371" s="133"/>
      <c r="J371" s="111">
        <v>130000</v>
      </c>
      <c r="K371" s="387">
        <f t="shared" si="42"/>
        <v>4225</v>
      </c>
    </row>
    <row r="372" spans="1:11" ht="31.5">
      <c r="A372" s="384">
        <v>12</v>
      </c>
      <c r="B372" s="112"/>
      <c r="C372" s="108" t="s">
        <v>546</v>
      </c>
      <c r="D372" s="109" t="s">
        <v>547</v>
      </c>
      <c r="E372" s="114">
        <v>0.72899999999999998</v>
      </c>
      <c r="F372" s="133"/>
      <c r="G372" s="133"/>
      <c r="H372" s="133"/>
      <c r="I372" s="133"/>
      <c r="J372" s="111">
        <v>66200</v>
      </c>
      <c r="K372" s="387">
        <f t="shared" si="42"/>
        <v>48259.799999999996</v>
      </c>
    </row>
    <row r="373" spans="1:11" ht="31.5">
      <c r="A373" s="384">
        <v>13</v>
      </c>
      <c r="B373" s="107" t="s">
        <v>548</v>
      </c>
      <c r="C373" s="108" t="s">
        <v>549</v>
      </c>
      <c r="D373" s="109" t="s">
        <v>40</v>
      </c>
      <c r="E373" s="110">
        <v>3</v>
      </c>
      <c r="F373" s="133"/>
      <c r="G373" s="133"/>
      <c r="H373" s="133"/>
      <c r="I373" s="133"/>
      <c r="J373" s="111">
        <v>9994</v>
      </c>
      <c r="K373" s="387">
        <f t="shared" si="42"/>
        <v>29982</v>
      </c>
    </row>
    <row r="374" spans="1:11" ht="31.5">
      <c r="A374" s="384">
        <v>14</v>
      </c>
      <c r="B374" s="115" t="s">
        <v>353</v>
      </c>
      <c r="C374" s="108" t="s">
        <v>550</v>
      </c>
      <c r="D374" s="110" t="s">
        <v>40</v>
      </c>
      <c r="E374" s="110">
        <v>5</v>
      </c>
      <c r="F374" s="133"/>
      <c r="G374" s="133"/>
      <c r="H374" s="133"/>
      <c r="I374" s="133"/>
      <c r="J374" s="111">
        <v>1123.6500000000001</v>
      </c>
      <c r="K374" s="387">
        <f t="shared" si="42"/>
        <v>5618.25</v>
      </c>
    </row>
    <row r="375" spans="1:11" ht="31.5">
      <c r="A375" s="384">
        <v>15</v>
      </c>
      <c r="B375" s="115" t="s">
        <v>384</v>
      </c>
      <c r="C375" s="108" t="s">
        <v>551</v>
      </c>
      <c r="D375" s="110" t="s">
        <v>40</v>
      </c>
      <c r="E375" s="110">
        <v>3</v>
      </c>
      <c r="F375" s="133"/>
      <c r="G375" s="133"/>
      <c r="H375" s="133"/>
      <c r="I375" s="133"/>
      <c r="J375" s="111">
        <v>1072.57</v>
      </c>
      <c r="K375" s="387">
        <f t="shared" si="42"/>
        <v>3217.71</v>
      </c>
    </row>
    <row r="376" spans="1:11">
      <c r="A376" s="384">
        <v>16</v>
      </c>
      <c r="B376" s="115" t="s">
        <v>237</v>
      </c>
      <c r="C376" s="108" t="s">
        <v>552</v>
      </c>
      <c r="D376" s="110" t="s">
        <v>206</v>
      </c>
      <c r="E376" s="110">
        <v>58</v>
      </c>
      <c r="F376" s="133"/>
      <c r="G376" s="133"/>
      <c r="H376" s="133"/>
      <c r="I376" s="133"/>
      <c r="J376" s="116">
        <v>625</v>
      </c>
      <c r="K376" s="387">
        <f t="shared" si="42"/>
        <v>36250</v>
      </c>
    </row>
    <row r="377" spans="1:11" ht="78.75">
      <c r="A377" s="384">
        <v>17</v>
      </c>
      <c r="B377" s="107" t="s">
        <v>553</v>
      </c>
      <c r="C377" s="117" t="s">
        <v>554</v>
      </c>
      <c r="D377" s="110" t="s">
        <v>40</v>
      </c>
      <c r="E377" s="110">
        <v>2</v>
      </c>
      <c r="F377" s="133"/>
      <c r="G377" s="133"/>
      <c r="H377" s="133"/>
      <c r="I377" s="133"/>
      <c r="J377" s="111">
        <v>5272.07</v>
      </c>
      <c r="K377" s="387">
        <f t="shared" si="42"/>
        <v>10544.14</v>
      </c>
    </row>
    <row r="378" spans="1:11" ht="63">
      <c r="A378" s="384">
        <v>18</v>
      </c>
      <c r="B378" s="107" t="s">
        <v>555</v>
      </c>
      <c r="C378" s="117" t="s">
        <v>556</v>
      </c>
      <c r="D378" s="110" t="s">
        <v>40</v>
      </c>
      <c r="E378" s="110">
        <v>2</v>
      </c>
      <c r="F378" s="133"/>
      <c r="G378" s="133"/>
      <c r="H378" s="133"/>
      <c r="I378" s="133"/>
      <c r="J378" s="116">
        <v>4704.57</v>
      </c>
      <c r="K378" s="387">
        <f t="shared" si="42"/>
        <v>9409.14</v>
      </c>
    </row>
    <row r="379" spans="1:11" ht="63">
      <c r="A379" s="384">
        <v>19</v>
      </c>
      <c r="B379" s="118"/>
      <c r="C379" s="117" t="s">
        <v>557</v>
      </c>
      <c r="D379" s="110" t="s">
        <v>40</v>
      </c>
      <c r="E379" s="110">
        <v>3</v>
      </c>
      <c r="F379" s="133"/>
      <c r="G379" s="133"/>
      <c r="H379" s="133"/>
      <c r="I379" s="133"/>
      <c r="J379" s="116">
        <v>5273.21</v>
      </c>
      <c r="K379" s="387">
        <f t="shared" si="42"/>
        <v>15819.630000000001</v>
      </c>
    </row>
    <row r="380" spans="1:11" ht="63">
      <c r="A380" s="384">
        <v>20</v>
      </c>
      <c r="B380" s="107" t="s">
        <v>558</v>
      </c>
      <c r="C380" s="108" t="s">
        <v>559</v>
      </c>
      <c r="D380" s="119" t="s">
        <v>40</v>
      </c>
      <c r="E380" s="110">
        <v>8</v>
      </c>
      <c r="F380" s="133"/>
      <c r="G380" s="133"/>
      <c r="H380" s="133"/>
      <c r="I380" s="133"/>
      <c r="J380" s="116">
        <v>3966.82</v>
      </c>
      <c r="K380" s="387">
        <f t="shared" si="42"/>
        <v>31734.560000000001</v>
      </c>
    </row>
    <row r="381" spans="1:11" ht="63">
      <c r="A381" s="384">
        <v>21</v>
      </c>
      <c r="B381" s="107" t="s">
        <v>560</v>
      </c>
      <c r="C381" s="108" t="s">
        <v>561</v>
      </c>
      <c r="D381" s="119" t="s">
        <v>40</v>
      </c>
      <c r="E381" s="110">
        <v>3</v>
      </c>
      <c r="F381" s="133"/>
      <c r="G381" s="133"/>
      <c r="H381" s="133"/>
      <c r="I381" s="133"/>
      <c r="J381" s="116">
        <v>2939.65</v>
      </c>
      <c r="K381" s="387">
        <f t="shared" si="42"/>
        <v>8818.9500000000007</v>
      </c>
    </row>
    <row r="382" spans="1:11" ht="63">
      <c r="A382" s="384">
        <v>22</v>
      </c>
      <c r="B382" s="120" t="s">
        <v>562</v>
      </c>
      <c r="C382" s="117" t="s">
        <v>563</v>
      </c>
      <c r="D382" s="119" t="s">
        <v>40</v>
      </c>
      <c r="E382" s="110">
        <v>4</v>
      </c>
      <c r="F382" s="133"/>
      <c r="G382" s="133"/>
      <c r="H382" s="133"/>
      <c r="I382" s="133"/>
      <c r="J382" s="111">
        <v>2775.07</v>
      </c>
      <c r="K382" s="387">
        <f t="shared" si="42"/>
        <v>11100.28</v>
      </c>
    </row>
    <row r="383" spans="1:11" ht="63">
      <c r="A383" s="384">
        <v>23</v>
      </c>
      <c r="B383" s="120" t="s">
        <v>562</v>
      </c>
      <c r="C383" s="117" t="s">
        <v>564</v>
      </c>
      <c r="D383" s="119" t="s">
        <v>40</v>
      </c>
      <c r="E383" s="110">
        <v>3</v>
      </c>
      <c r="F383" s="133"/>
      <c r="G383" s="133"/>
      <c r="H383" s="133"/>
      <c r="I383" s="133"/>
      <c r="J383" s="116">
        <v>2662.71</v>
      </c>
      <c r="K383" s="387">
        <f t="shared" si="42"/>
        <v>7988.13</v>
      </c>
    </row>
    <row r="384" spans="1:11" ht="63">
      <c r="A384" s="384">
        <v>24</v>
      </c>
      <c r="B384" s="120" t="s">
        <v>565</v>
      </c>
      <c r="C384" s="117" t="s">
        <v>566</v>
      </c>
      <c r="D384" s="119" t="s">
        <v>40</v>
      </c>
      <c r="E384" s="110">
        <v>10</v>
      </c>
      <c r="F384" s="133"/>
      <c r="G384" s="133"/>
      <c r="H384" s="133"/>
      <c r="I384" s="133"/>
      <c r="J384" s="116">
        <v>2662.71</v>
      </c>
      <c r="K384" s="387">
        <f t="shared" si="42"/>
        <v>26627.1</v>
      </c>
    </row>
    <row r="385" spans="1:11" ht="63">
      <c r="A385" s="384">
        <v>25</v>
      </c>
      <c r="B385" s="120" t="s">
        <v>565</v>
      </c>
      <c r="C385" s="117" t="s">
        <v>567</v>
      </c>
      <c r="D385" s="119" t="s">
        <v>40</v>
      </c>
      <c r="E385" s="110">
        <v>2</v>
      </c>
      <c r="F385" s="133"/>
      <c r="G385" s="133"/>
      <c r="H385" s="133"/>
      <c r="I385" s="133"/>
      <c r="J385" s="116">
        <v>2771.67</v>
      </c>
      <c r="K385" s="387">
        <f t="shared" si="42"/>
        <v>5543.34</v>
      </c>
    </row>
    <row r="386" spans="1:11" ht="47.25">
      <c r="A386" s="384">
        <v>26</v>
      </c>
      <c r="B386" s="118" t="s">
        <v>568</v>
      </c>
      <c r="C386" s="117" t="s">
        <v>569</v>
      </c>
      <c r="D386" s="119" t="s">
        <v>40</v>
      </c>
      <c r="E386" s="110">
        <v>3</v>
      </c>
      <c r="F386" s="133"/>
      <c r="G386" s="133"/>
      <c r="H386" s="133"/>
      <c r="I386" s="133"/>
      <c r="J386" s="116">
        <v>1947.66</v>
      </c>
      <c r="K386" s="387">
        <f t="shared" si="42"/>
        <v>5842.9800000000005</v>
      </c>
    </row>
    <row r="387" spans="1:11" ht="47.25">
      <c r="A387" s="384">
        <v>27</v>
      </c>
      <c r="B387" s="120" t="s">
        <v>570</v>
      </c>
      <c r="C387" s="117" t="s">
        <v>571</v>
      </c>
      <c r="D387" s="119" t="s">
        <v>40</v>
      </c>
      <c r="E387" s="110">
        <v>6</v>
      </c>
      <c r="F387" s="133"/>
      <c r="G387" s="133"/>
      <c r="H387" s="133"/>
      <c r="I387" s="133"/>
      <c r="J387" s="116">
        <v>1102.08</v>
      </c>
      <c r="K387" s="387">
        <f t="shared" si="42"/>
        <v>6612.48</v>
      </c>
    </row>
    <row r="388" spans="1:11">
      <c r="A388" s="384">
        <v>28</v>
      </c>
      <c r="B388" s="120" t="s">
        <v>42</v>
      </c>
      <c r="C388" s="117" t="s">
        <v>572</v>
      </c>
      <c r="D388" s="110" t="s">
        <v>40</v>
      </c>
      <c r="E388" s="110">
        <v>2</v>
      </c>
      <c r="F388" s="133"/>
      <c r="G388" s="133"/>
      <c r="H388" s="133"/>
      <c r="I388" s="133"/>
      <c r="J388" s="116">
        <v>27943.82</v>
      </c>
      <c r="K388" s="387">
        <f t="shared" si="42"/>
        <v>55887.64</v>
      </c>
    </row>
    <row r="389" spans="1:11">
      <c r="A389" s="384">
        <v>29</v>
      </c>
      <c r="B389" s="107" t="s">
        <v>326</v>
      </c>
      <c r="C389" s="108" t="s">
        <v>327</v>
      </c>
      <c r="D389" s="110" t="s">
        <v>359</v>
      </c>
      <c r="E389" s="114">
        <v>0.39700000000000002</v>
      </c>
      <c r="F389" s="133"/>
      <c r="G389" s="133"/>
      <c r="H389" s="133"/>
      <c r="I389" s="133"/>
      <c r="J389" s="111">
        <v>453053.76</v>
      </c>
      <c r="K389" s="387">
        <f t="shared" si="42"/>
        <v>179862.34272000002</v>
      </c>
    </row>
    <row r="390" spans="1:11">
      <c r="A390" s="384">
        <v>30</v>
      </c>
      <c r="B390" s="121" t="s">
        <v>573</v>
      </c>
      <c r="C390" s="122" t="s">
        <v>574</v>
      </c>
      <c r="D390" s="110" t="s">
        <v>40</v>
      </c>
      <c r="E390" s="110">
        <v>5</v>
      </c>
      <c r="F390" s="133"/>
      <c r="G390" s="133"/>
      <c r="H390" s="133"/>
      <c r="I390" s="133"/>
      <c r="J390" s="116">
        <v>2243.63</v>
      </c>
      <c r="K390" s="387">
        <f t="shared" si="42"/>
        <v>11218.150000000001</v>
      </c>
    </row>
    <row r="391" spans="1:11" ht="31.5">
      <c r="A391" s="384">
        <v>31</v>
      </c>
      <c r="B391" s="118" t="s">
        <v>575</v>
      </c>
      <c r="C391" s="117" t="s">
        <v>576</v>
      </c>
      <c r="D391" s="110" t="s">
        <v>4</v>
      </c>
      <c r="E391" s="110">
        <v>0.32800000000000001</v>
      </c>
      <c r="F391" s="133"/>
      <c r="G391" s="133"/>
      <c r="H391" s="133"/>
      <c r="I391" s="133"/>
      <c r="J391" s="111">
        <v>108389.54</v>
      </c>
      <c r="K391" s="387">
        <f t="shared" si="42"/>
        <v>35551.769119999997</v>
      </c>
    </row>
    <row r="392" spans="1:11" ht="31.5">
      <c r="A392" s="384">
        <v>32</v>
      </c>
      <c r="B392" s="118" t="s">
        <v>577</v>
      </c>
      <c r="C392" s="117" t="s">
        <v>578</v>
      </c>
      <c r="D392" s="110" t="s">
        <v>4</v>
      </c>
      <c r="E392" s="110">
        <v>0.61399999999999999</v>
      </c>
      <c r="F392" s="133"/>
      <c r="G392" s="133"/>
      <c r="H392" s="133"/>
      <c r="I392" s="133"/>
      <c r="J392" s="111">
        <v>108389.54</v>
      </c>
      <c r="K392" s="387">
        <f t="shared" si="42"/>
        <v>66551.177559999996</v>
      </c>
    </row>
    <row r="393" spans="1:11" ht="63">
      <c r="A393" s="384">
        <v>33</v>
      </c>
      <c r="B393" s="120" t="s">
        <v>579</v>
      </c>
      <c r="C393" s="117" t="s">
        <v>580</v>
      </c>
      <c r="D393" s="110" t="s">
        <v>40</v>
      </c>
      <c r="E393" s="110">
        <v>1</v>
      </c>
      <c r="F393" s="133"/>
      <c r="G393" s="133"/>
      <c r="H393" s="133"/>
      <c r="I393" s="133"/>
      <c r="J393" s="111">
        <v>4347</v>
      </c>
      <c r="K393" s="387">
        <f t="shared" si="42"/>
        <v>4347</v>
      </c>
    </row>
    <row r="394" spans="1:11" ht="63">
      <c r="A394" s="384">
        <v>34</v>
      </c>
      <c r="B394" s="118" t="s">
        <v>581</v>
      </c>
      <c r="C394" s="117" t="s">
        <v>582</v>
      </c>
      <c r="D394" s="110" t="s">
        <v>40</v>
      </c>
      <c r="E394" s="110">
        <v>7</v>
      </c>
      <c r="F394" s="133"/>
      <c r="G394" s="133"/>
      <c r="H394" s="133"/>
      <c r="I394" s="133"/>
      <c r="J394" s="116">
        <v>4392.45</v>
      </c>
      <c r="K394" s="387">
        <f t="shared" si="42"/>
        <v>30747.149999999998</v>
      </c>
    </row>
    <row r="395" spans="1:11" ht="63">
      <c r="A395" s="384">
        <v>35</v>
      </c>
      <c r="B395" s="118" t="s">
        <v>583</v>
      </c>
      <c r="C395" s="117" t="s">
        <v>584</v>
      </c>
      <c r="D395" s="110" t="s">
        <v>40</v>
      </c>
      <c r="E395" s="110">
        <v>7</v>
      </c>
      <c r="F395" s="133"/>
      <c r="G395" s="133"/>
      <c r="H395" s="133"/>
      <c r="I395" s="133"/>
      <c r="J395" s="116">
        <v>3280.15</v>
      </c>
      <c r="K395" s="387">
        <f t="shared" si="42"/>
        <v>22961.05</v>
      </c>
    </row>
    <row r="396" spans="1:11" ht="47.25">
      <c r="A396" s="384">
        <v>36</v>
      </c>
      <c r="B396" s="118" t="s">
        <v>585</v>
      </c>
      <c r="C396" s="117" t="s">
        <v>586</v>
      </c>
      <c r="D396" s="110" t="s">
        <v>387</v>
      </c>
      <c r="E396" s="110">
        <v>175</v>
      </c>
      <c r="F396" s="133"/>
      <c r="G396" s="133"/>
      <c r="H396" s="133"/>
      <c r="I396" s="133"/>
      <c r="J396" s="111">
        <v>276.14999999999998</v>
      </c>
      <c r="K396" s="387">
        <f t="shared" si="42"/>
        <v>48326.249999999993</v>
      </c>
    </row>
    <row r="397" spans="1:11" ht="47.25">
      <c r="A397" s="384">
        <v>37</v>
      </c>
      <c r="B397" s="115" t="s">
        <v>353</v>
      </c>
      <c r="C397" s="108" t="s">
        <v>587</v>
      </c>
      <c r="D397" s="109" t="s">
        <v>206</v>
      </c>
      <c r="E397" s="110">
        <v>8</v>
      </c>
      <c r="F397" s="133"/>
      <c r="G397" s="133"/>
      <c r="H397" s="133"/>
      <c r="I397" s="133"/>
      <c r="J397" s="111">
        <v>1859.13</v>
      </c>
      <c r="K397" s="387">
        <f t="shared" si="42"/>
        <v>14873.04</v>
      </c>
    </row>
    <row r="398" spans="1:11" ht="47.25">
      <c r="A398" s="384">
        <v>38</v>
      </c>
      <c r="B398" s="123" t="s">
        <v>588</v>
      </c>
      <c r="C398" s="108" t="s">
        <v>589</v>
      </c>
      <c r="D398" s="109" t="s">
        <v>206</v>
      </c>
      <c r="E398" s="110">
        <v>3</v>
      </c>
      <c r="F398" s="133"/>
      <c r="G398" s="133"/>
      <c r="H398" s="133"/>
      <c r="I398" s="133"/>
      <c r="J398" s="116">
        <v>1623.05</v>
      </c>
      <c r="K398" s="387">
        <f t="shared" si="42"/>
        <v>4869.1499999999996</v>
      </c>
    </row>
    <row r="399" spans="1:11" ht="31.5">
      <c r="A399" s="384">
        <v>39</v>
      </c>
      <c r="B399" s="107" t="s">
        <v>590</v>
      </c>
      <c r="C399" s="108" t="s">
        <v>591</v>
      </c>
      <c r="D399" s="110" t="s">
        <v>4</v>
      </c>
      <c r="E399" s="110">
        <v>0.35799999999999998</v>
      </c>
      <c r="F399" s="133"/>
      <c r="G399" s="133"/>
      <c r="H399" s="133"/>
      <c r="I399" s="133"/>
      <c r="J399" s="116">
        <v>14145</v>
      </c>
      <c r="K399" s="387">
        <f t="shared" si="42"/>
        <v>5063.91</v>
      </c>
    </row>
    <row r="400" spans="1:11">
      <c r="A400" s="384">
        <v>40</v>
      </c>
      <c r="B400" s="120"/>
      <c r="C400" s="117" t="s">
        <v>592</v>
      </c>
      <c r="D400" s="110" t="s">
        <v>593</v>
      </c>
      <c r="E400" s="110">
        <v>78</v>
      </c>
      <c r="F400" s="133"/>
      <c r="G400" s="133"/>
      <c r="H400" s="133"/>
      <c r="I400" s="133"/>
      <c r="J400" s="116">
        <v>1649</v>
      </c>
      <c r="K400" s="387">
        <f t="shared" si="42"/>
        <v>128622</v>
      </c>
    </row>
    <row r="401" spans="1:11" ht="31.5">
      <c r="A401" s="384">
        <v>41</v>
      </c>
      <c r="B401" s="118" t="s">
        <v>344</v>
      </c>
      <c r="C401" s="117" t="s">
        <v>594</v>
      </c>
      <c r="D401" s="110" t="s">
        <v>359</v>
      </c>
      <c r="E401" s="110">
        <v>0.59699999999999998</v>
      </c>
      <c r="F401" s="133"/>
      <c r="G401" s="133"/>
      <c r="H401" s="133"/>
      <c r="I401" s="133"/>
      <c r="J401" s="116">
        <v>223100</v>
      </c>
      <c r="K401" s="387">
        <f t="shared" si="42"/>
        <v>133190.69999999998</v>
      </c>
    </row>
    <row r="402" spans="1:11" ht="31.5">
      <c r="A402" s="384">
        <v>42</v>
      </c>
      <c r="B402" s="118" t="s">
        <v>585</v>
      </c>
      <c r="C402" s="117" t="s">
        <v>595</v>
      </c>
      <c r="D402" s="110" t="s">
        <v>359</v>
      </c>
      <c r="E402" s="110">
        <v>6.7000000000000004E-2</v>
      </c>
      <c r="F402" s="133"/>
      <c r="G402" s="133"/>
      <c r="H402" s="133"/>
      <c r="I402" s="133"/>
      <c r="J402" s="116">
        <v>339500</v>
      </c>
      <c r="K402" s="387">
        <f t="shared" si="42"/>
        <v>22746.5</v>
      </c>
    </row>
    <row r="403" spans="1:11">
      <c r="A403" s="384">
        <v>43</v>
      </c>
      <c r="B403" s="120" t="s">
        <v>495</v>
      </c>
      <c r="C403" s="117" t="s">
        <v>162</v>
      </c>
      <c r="D403" s="110" t="s">
        <v>40</v>
      </c>
      <c r="E403" s="110">
        <v>6</v>
      </c>
      <c r="F403" s="133"/>
      <c r="G403" s="133"/>
      <c r="H403" s="133"/>
      <c r="I403" s="133"/>
      <c r="J403" s="116">
        <v>1052.45</v>
      </c>
      <c r="K403" s="387">
        <f t="shared" si="42"/>
        <v>6314.7000000000007</v>
      </c>
    </row>
    <row r="404" spans="1:11" ht="31.5">
      <c r="A404" s="384">
        <v>44</v>
      </c>
      <c r="B404" s="118" t="s">
        <v>326</v>
      </c>
      <c r="C404" s="117" t="s">
        <v>596</v>
      </c>
      <c r="D404" s="110" t="s">
        <v>387</v>
      </c>
      <c r="E404" s="110">
        <v>262</v>
      </c>
      <c r="F404" s="133"/>
      <c r="G404" s="133"/>
      <c r="H404" s="133"/>
      <c r="I404" s="133"/>
      <c r="J404" s="116">
        <v>970</v>
      </c>
      <c r="K404" s="387">
        <f t="shared" si="42"/>
        <v>254140</v>
      </c>
    </row>
    <row r="405" spans="1:11">
      <c r="A405" s="384">
        <v>45</v>
      </c>
      <c r="B405" s="118"/>
      <c r="C405" s="117" t="s">
        <v>597</v>
      </c>
      <c r="D405" s="124" t="s">
        <v>40</v>
      </c>
      <c r="E405" s="110">
        <v>4</v>
      </c>
      <c r="F405" s="133"/>
      <c r="G405" s="133"/>
      <c r="H405" s="133"/>
      <c r="I405" s="133"/>
      <c r="J405" s="116">
        <v>2000</v>
      </c>
      <c r="K405" s="387">
        <f t="shared" si="42"/>
        <v>8000</v>
      </c>
    </row>
    <row r="406" spans="1:11" ht="31.5">
      <c r="A406" s="384">
        <v>46</v>
      </c>
      <c r="B406" s="107" t="s">
        <v>357</v>
      </c>
      <c r="C406" s="108" t="s">
        <v>598</v>
      </c>
      <c r="D406" s="110" t="s">
        <v>359</v>
      </c>
      <c r="E406" s="110">
        <v>0.24</v>
      </c>
      <c r="F406" s="133"/>
      <c r="G406" s="133"/>
      <c r="H406" s="133"/>
      <c r="I406" s="133"/>
      <c r="J406" s="111">
        <v>78749.440000000002</v>
      </c>
      <c r="K406" s="387">
        <f t="shared" si="42"/>
        <v>18899.865600000001</v>
      </c>
    </row>
    <row r="407" spans="1:11" ht="31.5">
      <c r="A407" s="384">
        <v>47</v>
      </c>
      <c r="B407" s="107" t="s">
        <v>360</v>
      </c>
      <c r="C407" s="108" t="s">
        <v>599</v>
      </c>
      <c r="D407" s="110" t="s">
        <v>359</v>
      </c>
      <c r="E407" s="110">
        <v>0.252</v>
      </c>
      <c r="F407" s="133"/>
      <c r="G407" s="133"/>
      <c r="H407" s="133"/>
      <c r="I407" s="133"/>
      <c r="J407" s="111">
        <v>128099.84</v>
      </c>
      <c r="K407" s="387">
        <f t="shared" si="42"/>
        <v>32281.159680000001</v>
      </c>
    </row>
    <row r="408" spans="1:11" ht="31.5">
      <c r="A408" s="384">
        <v>48</v>
      </c>
      <c r="B408" s="118" t="s">
        <v>344</v>
      </c>
      <c r="C408" s="108" t="s">
        <v>600</v>
      </c>
      <c r="D408" s="110" t="s">
        <v>359</v>
      </c>
      <c r="E408" s="110">
        <v>8.6999999999999994E-2</v>
      </c>
      <c r="F408" s="133"/>
      <c r="G408" s="133"/>
      <c r="H408" s="133"/>
      <c r="I408" s="133"/>
      <c r="J408" s="111">
        <v>173249.28</v>
      </c>
      <c r="K408" s="387">
        <f t="shared" si="42"/>
        <v>15072.687359999998</v>
      </c>
    </row>
    <row r="409" spans="1:11" ht="31.5">
      <c r="A409" s="384">
        <v>49</v>
      </c>
      <c r="B409" s="118" t="s">
        <v>585</v>
      </c>
      <c r="C409" s="108" t="s">
        <v>601</v>
      </c>
      <c r="D409" s="110" t="s">
        <v>359</v>
      </c>
      <c r="E409" s="110">
        <v>0.22500000000000001</v>
      </c>
      <c r="F409" s="133"/>
      <c r="G409" s="133"/>
      <c r="H409" s="133"/>
      <c r="I409" s="133"/>
      <c r="J409" s="111">
        <v>262499.84000000003</v>
      </c>
      <c r="K409" s="387">
        <f t="shared" si="42"/>
        <v>59062.464000000007</v>
      </c>
    </row>
    <row r="410" spans="1:11" ht="47.25">
      <c r="A410" s="384">
        <v>50</v>
      </c>
      <c r="B410" s="118" t="s">
        <v>583</v>
      </c>
      <c r="C410" s="108" t="s">
        <v>602</v>
      </c>
      <c r="D410" s="110" t="s">
        <v>40</v>
      </c>
      <c r="E410" s="110">
        <v>19</v>
      </c>
      <c r="F410" s="133"/>
      <c r="G410" s="133"/>
      <c r="H410" s="133"/>
      <c r="I410" s="133"/>
      <c r="J410" s="116">
        <v>2572.56</v>
      </c>
      <c r="K410" s="387">
        <f t="shared" si="42"/>
        <v>48878.64</v>
      </c>
    </row>
    <row r="411" spans="1:11" ht="31.5">
      <c r="A411" s="384">
        <v>51</v>
      </c>
      <c r="B411" s="107" t="s">
        <v>603</v>
      </c>
      <c r="C411" s="108" t="s">
        <v>604</v>
      </c>
      <c r="D411" s="109" t="s">
        <v>206</v>
      </c>
      <c r="E411" s="110">
        <v>3</v>
      </c>
      <c r="F411" s="133"/>
      <c r="G411" s="133"/>
      <c r="H411" s="133"/>
      <c r="I411" s="133"/>
      <c r="J411" s="116">
        <v>5459.86</v>
      </c>
      <c r="K411" s="387">
        <f t="shared" si="42"/>
        <v>16379.579999999998</v>
      </c>
    </row>
    <row r="412" spans="1:11" ht="47.25">
      <c r="A412" s="384">
        <v>52</v>
      </c>
      <c r="B412" s="120"/>
      <c r="C412" s="117" t="s">
        <v>605</v>
      </c>
      <c r="D412" s="109" t="s">
        <v>277</v>
      </c>
      <c r="E412" s="110">
        <v>1</v>
      </c>
      <c r="F412" s="133"/>
      <c r="G412" s="133"/>
      <c r="H412" s="133"/>
      <c r="I412" s="133"/>
      <c r="J412" s="116">
        <v>450000</v>
      </c>
      <c r="K412" s="387">
        <f t="shared" si="42"/>
        <v>450000</v>
      </c>
    </row>
    <row r="413" spans="1:11" ht="63">
      <c r="A413" s="384">
        <v>53</v>
      </c>
      <c r="B413" s="120" t="s">
        <v>565</v>
      </c>
      <c r="C413" s="108" t="s">
        <v>606</v>
      </c>
      <c r="D413" s="110" t="s">
        <v>40</v>
      </c>
      <c r="E413" s="110">
        <v>8</v>
      </c>
      <c r="F413" s="133"/>
      <c r="G413" s="133"/>
      <c r="H413" s="133"/>
      <c r="I413" s="133"/>
      <c r="J413" s="116">
        <v>3089.24</v>
      </c>
      <c r="K413" s="387">
        <f t="shared" si="42"/>
        <v>24713.919999999998</v>
      </c>
    </row>
    <row r="414" spans="1:11" ht="63">
      <c r="A414" s="384">
        <v>54</v>
      </c>
      <c r="B414" s="120" t="s">
        <v>562</v>
      </c>
      <c r="C414" s="108" t="s">
        <v>607</v>
      </c>
      <c r="D414" s="110" t="s">
        <v>40</v>
      </c>
      <c r="E414" s="110">
        <v>7</v>
      </c>
      <c r="F414" s="133"/>
      <c r="G414" s="133"/>
      <c r="H414" s="133"/>
      <c r="I414" s="133"/>
      <c r="J414" s="116">
        <v>3208.42</v>
      </c>
      <c r="K414" s="387">
        <f t="shared" si="42"/>
        <v>22458.940000000002</v>
      </c>
    </row>
    <row r="415" spans="1:11" ht="63">
      <c r="A415" s="384">
        <v>55</v>
      </c>
      <c r="B415" s="115" t="s">
        <v>351</v>
      </c>
      <c r="C415" s="108" t="s">
        <v>608</v>
      </c>
      <c r="D415" s="110" t="s">
        <v>40</v>
      </c>
      <c r="E415" s="110">
        <v>7</v>
      </c>
      <c r="F415" s="133"/>
      <c r="G415" s="133"/>
      <c r="H415" s="133"/>
      <c r="I415" s="133"/>
      <c r="J415" s="116">
        <v>3633.22</v>
      </c>
      <c r="K415" s="387">
        <f t="shared" si="42"/>
        <v>25432.539999999997</v>
      </c>
    </row>
    <row r="416" spans="1:11" ht="63">
      <c r="A416" s="384">
        <v>56</v>
      </c>
      <c r="B416" s="115" t="s">
        <v>609</v>
      </c>
      <c r="C416" s="108" t="s">
        <v>610</v>
      </c>
      <c r="D416" s="110" t="s">
        <v>40</v>
      </c>
      <c r="E416" s="110">
        <v>5</v>
      </c>
      <c r="F416" s="133"/>
      <c r="G416" s="133"/>
      <c r="H416" s="133"/>
      <c r="I416" s="133"/>
      <c r="J416" s="116">
        <v>3564.78</v>
      </c>
      <c r="K416" s="387">
        <f t="shared" si="42"/>
        <v>17823.900000000001</v>
      </c>
    </row>
    <row r="417" spans="1:11">
      <c r="A417" s="384">
        <v>57</v>
      </c>
      <c r="B417" s="118" t="s">
        <v>611</v>
      </c>
      <c r="C417" s="117" t="s">
        <v>612</v>
      </c>
      <c r="D417" s="110" t="s">
        <v>359</v>
      </c>
      <c r="E417" s="110">
        <v>0.39800000000000002</v>
      </c>
      <c r="F417" s="133"/>
      <c r="G417" s="133"/>
      <c r="H417" s="133"/>
      <c r="I417" s="133"/>
      <c r="J417" s="116">
        <v>300000</v>
      </c>
      <c r="K417" s="387">
        <f t="shared" si="42"/>
        <v>119400</v>
      </c>
    </row>
    <row r="418" spans="1:11" ht="31.5">
      <c r="A418" s="384">
        <v>58</v>
      </c>
      <c r="B418" s="107" t="s">
        <v>324</v>
      </c>
      <c r="C418" s="108" t="s">
        <v>613</v>
      </c>
      <c r="D418" s="110" t="s">
        <v>359</v>
      </c>
      <c r="E418" s="110">
        <v>0.5</v>
      </c>
      <c r="F418" s="133"/>
      <c r="G418" s="133"/>
      <c r="H418" s="133"/>
      <c r="I418" s="133"/>
      <c r="J418" s="116">
        <v>135000</v>
      </c>
      <c r="K418" s="387">
        <f t="shared" si="42"/>
        <v>67500</v>
      </c>
    </row>
    <row r="419" spans="1:11">
      <c r="A419" s="384">
        <v>59</v>
      </c>
      <c r="B419" s="118" t="s">
        <v>611</v>
      </c>
      <c r="C419" s="117" t="s">
        <v>612</v>
      </c>
      <c r="D419" s="109" t="s">
        <v>67</v>
      </c>
      <c r="E419" s="110">
        <v>0.8</v>
      </c>
      <c r="F419" s="133"/>
      <c r="G419" s="133"/>
      <c r="H419" s="133"/>
      <c r="I419" s="133"/>
      <c r="J419" s="116">
        <v>300000</v>
      </c>
      <c r="K419" s="387">
        <f t="shared" si="42"/>
        <v>240000</v>
      </c>
    </row>
    <row r="420" spans="1:11" ht="31.5">
      <c r="A420" s="384">
        <v>60</v>
      </c>
      <c r="B420" s="107" t="s">
        <v>357</v>
      </c>
      <c r="C420" s="125" t="s">
        <v>614</v>
      </c>
      <c r="D420" s="110" t="s">
        <v>67</v>
      </c>
      <c r="E420" s="110">
        <v>0.51500000000000001</v>
      </c>
      <c r="F420" s="133"/>
      <c r="G420" s="133"/>
      <c r="H420" s="133"/>
      <c r="I420" s="133"/>
      <c r="J420" s="111">
        <v>87792</v>
      </c>
      <c r="K420" s="387">
        <f t="shared" si="42"/>
        <v>45212.880000000005</v>
      </c>
    </row>
    <row r="421" spans="1:11" ht="31.5">
      <c r="A421" s="384">
        <v>61</v>
      </c>
      <c r="B421" s="107" t="s">
        <v>360</v>
      </c>
      <c r="C421" s="125" t="s">
        <v>615</v>
      </c>
      <c r="D421" s="110" t="s">
        <v>67</v>
      </c>
      <c r="E421" s="110">
        <v>0.31</v>
      </c>
      <c r="F421" s="133"/>
      <c r="G421" s="133"/>
      <c r="H421" s="133"/>
      <c r="I421" s="133"/>
      <c r="J421" s="111">
        <v>137175</v>
      </c>
      <c r="K421" s="387">
        <f t="shared" si="42"/>
        <v>42524.25</v>
      </c>
    </row>
    <row r="422" spans="1:11" ht="31.5">
      <c r="A422" s="384">
        <v>62</v>
      </c>
      <c r="B422" s="118" t="s">
        <v>344</v>
      </c>
      <c r="C422" s="125" t="s">
        <v>616</v>
      </c>
      <c r="D422" s="110" t="s">
        <v>67</v>
      </c>
      <c r="E422" s="110">
        <v>0.26</v>
      </c>
      <c r="F422" s="133"/>
      <c r="G422" s="133"/>
      <c r="H422" s="133"/>
      <c r="I422" s="133"/>
      <c r="J422" s="111">
        <v>197532</v>
      </c>
      <c r="K422" s="387">
        <f t="shared" si="42"/>
        <v>51358.32</v>
      </c>
    </row>
    <row r="423" spans="1:11" ht="31.5">
      <c r="A423" s="384">
        <v>63</v>
      </c>
      <c r="B423" s="118" t="s">
        <v>585</v>
      </c>
      <c r="C423" s="125" t="s">
        <v>617</v>
      </c>
      <c r="D423" s="110" t="s">
        <v>67</v>
      </c>
      <c r="E423" s="114">
        <v>0.26500000000000001</v>
      </c>
      <c r="F423" s="133"/>
      <c r="G423" s="133"/>
      <c r="H423" s="133"/>
      <c r="I423" s="133"/>
      <c r="J423" s="111">
        <v>318246</v>
      </c>
      <c r="K423" s="387">
        <f t="shared" si="42"/>
        <v>84335.19</v>
      </c>
    </row>
    <row r="424" spans="1:11" ht="47.25">
      <c r="A424" s="384">
        <v>64</v>
      </c>
      <c r="B424" s="107" t="s">
        <v>560</v>
      </c>
      <c r="C424" s="126" t="s">
        <v>618</v>
      </c>
      <c r="D424" s="127" t="s">
        <v>40</v>
      </c>
      <c r="E424" s="127">
        <v>3</v>
      </c>
      <c r="F424" s="133"/>
      <c r="G424" s="133"/>
      <c r="H424" s="133"/>
      <c r="I424" s="133"/>
      <c r="J424" s="128">
        <v>3840.9</v>
      </c>
      <c r="K424" s="387">
        <f t="shared" si="42"/>
        <v>11522.7</v>
      </c>
    </row>
    <row r="425" spans="1:11" ht="31.5">
      <c r="A425" s="384">
        <v>65</v>
      </c>
      <c r="B425" s="115" t="s">
        <v>619</v>
      </c>
      <c r="C425" s="108" t="s">
        <v>620</v>
      </c>
      <c r="D425" s="110" t="s">
        <v>206</v>
      </c>
      <c r="E425" s="27">
        <v>1</v>
      </c>
      <c r="F425" s="133"/>
      <c r="G425" s="133"/>
      <c r="H425" s="133"/>
      <c r="I425" s="133"/>
      <c r="J425" s="129">
        <v>828164.95</v>
      </c>
      <c r="K425" s="387">
        <f t="shared" si="42"/>
        <v>828164.95</v>
      </c>
    </row>
    <row r="426" spans="1:11">
      <c r="A426" s="384">
        <v>66</v>
      </c>
      <c r="B426" s="120" t="s">
        <v>396</v>
      </c>
      <c r="C426" s="126" t="s">
        <v>621</v>
      </c>
      <c r="D426" s="109" t="s">
        <v>40</v>
      </c>
      <c r="E426" s="5">
        <v>1</v>
      </c>
      <c r="F426" s="133"/>
      <c r="G426" s="133"/>
      <c r="H426" s="133"/>
      <c r="I426" s="133"/>
      <c r="J426" s="130">
        <v>76700</v>
      </c>
      <c r="K426" s="387">
        <f t="shared" ref="K426:K460" si="43">J426*E426</f>
        <v>76700</v>
      </c>
    </row>
    <row r="427" spans="1:11" ht="47.25">
      <c r="A427" s="384">
        <v>67</v>
      </c>
      <c r="B427" s="123" t="s">
        <v>622</v>
      </c>
      <c r="C427" s="125" t="s">
        <v>623</v>
      </c>
      <c r="D427" s="109" t="s">
        <v>206</v>
      </c>
      <c r="E427" s="27">
        <v>1</v>
      </c>
      <c r="F427" s="133"/>
      <c r="G427" s="133"/>
      <c r="H427" s="133"/>
      <c r="I427" s="133"/>
      <c r="J427" s="131">
        <v>17700</v>
      </c>
      <c r="K427" s="387">
        <f t="shared" si="43"/>
        <v>17700</v>
      </c>
    </row>
    <row r="428" spans="1:11" ht="47.25">
      <c r="A428" s="384">
        <v>68</v>
      </c>
      <c r="B428" s="123" t="s">
        <v>624</v>
      </c>
      <c r="C428" s="125" t="s">
        <v>625</v>
      </c>
      <c r="D428" s="109" t="s">
        <v>206</v>
      </c>
      <c r="E428" s="27">
        <v>1</v>
      </c>
      <c r="F428" s="133"/>
      <c r="G428" s="133"/>
      <c r="H428" s="133"/>
      <c r="I428" s="133"/>
      <c r="J428" s="131">
        <v>17700</v>
      </c>
      <c r="K428" s="387">
        <f t="shared" si="43"/>
        <v>17700</v>
      </c>
    </row>
    <row r="429" spans="1:11" ht="31.5">
      <c r="A429" s="384">
        <v>69</v>
      </c>
      <c r="B429" s="123" t="s">
        <v>626</v>
      </c>
      <c r="C429" s="125" t="s">
        <v>627</v>
      </c>
      <c r="D429" s="109" t="s">
        <v>206</v>
      </c>
      <c r="E429" s="27">
        <v>1</v>
      </c>
      <c r="F429" s="133"/>
      <c r="G429" s="133"/>
      <c r="H429" s="133"/>
      <c r="I429" s="133"/>
      <c r="J429" s="131">
        <v>11800</v>
      </c>
      <c r="K429" s="387">
        <f t="shared" si="43"/>
        <v>11800</v>
      </c>
    </row>
    <row r="430" spans="1:11" ht="31.5">
      <c r="A430" s="384">
        <v>70</v>
      </c>
      <c r="B430" s="123" t="s">
        <v>628</v>
      </c>
      <c r="C430" s="125" t="s">
        <v>629</v>
      </c>
      <c r="D430" s="109" t="s">
        <v>206</v>
      </c>
      <c r="E430" s="27">
        <v>1</v>
      </c>
      <c r="F430" s="133"/>
      <c r="G430" s="133"/>
      <c r="H430" s="133"/>
      <c r="I430" s="133"/>
      <c r="J430" s="131">
        <v>11800</v>
      </c>
      <c r="K430" s="387">
        <f t="shared" si="43"/>
        <v>11800</v>
      </c>
    </row>
    <row r="431" spans="1:11" ht="31.5">
      <c r="A431" s="384">
        <v>71</v>
      </c>
      <c r="B431" s="132" t="s">
        <v>630</v>
      </c>
      <c r="C431" s="126" t="s">
        <v>631</v>
      </c>
      <c r="D431" s="109" t="s">
        <v>7</v>
      </c>
      <c r="E431" s="27">
        <v>460</v>
      </c>
      <c r="F431" s="133"/>
      <c r="G431" s="133"/>
      <c r="H431" s="133"/>
      <c r="I431" s="133"/>
      <c r="J431" s="130">
        <v>65</v>
      </c>
      <c r="K431" s="387">
        <f t="shared" si="43"/>
        <v>29900</v>
      </c>
    </row>
    <row r="432" spans="1:11" ht="47.25">
      <c r="A432" s="384">
        <v>72</v>
      </c>
      <c r="B432" s="132"/>
      <c r="C432" s="126" t="s">
        <v>632</v>
      </c>
      <c r="D432" s="109" t="s">
        <v>277</v>
      </c>
      <c r="E432" s="27">
        <v>3</v>
      </c>
      <c r="F432" s="133"/>
      <c r="G432" s="133"/>
      <c r="H432" s="133"/>
      <c r="I432" s="133"/>
      <c r="J432" s="130">
        <v>1900</v>
      </c>
      <c r="K432" s="387">
        <f t="shared" si="43"/>
        <v>5700</v>
      </c>
    </row>
    <row r="433" spans="1:11" ht="47.25">
      <c r="A433" s="384">
        <v>73</v>
      </c>
      <c r="B433" s="134"/>
      <c r="C433" s="126" t="s">
        <v>633</v>
      </c>
      <c r="D433" s="110" t="s">
        <v>37</v>
      </c>
      <c r="E433" s="27">
        <v>1</v>
      </c>
      <c r="F433" s="133"/>
      <c r="G433" s="133"/>
      <c r="H433" s="133"/>
      <c r="I433" s="133"/>
      <c r="J433" s="129">
        <v>9199.2800000000007</v>
      </c>
      <c r="K433" s="387">
        <f t="shared" si="43"/>
        <v>9199.2800000000007</v>
      </c>
    </row>
    <row r="434" spans="1:11" ht="47.25">
      <c r="A434" s="384">
        <v>74</v>
      </c>
      <c r="B434" s="134" t="s">
        <v>634</v>
      </c>
      <c r="C434" s="126" t="s">
        <v>635</v>
      </c>
      <c r="D434" s="109" t="s">
        <v>206</v>
      </c>
      <c r="E434" s="27">
        <v>3</v>
      </c>
      <c r="F434" s="133"/>
      <c r="G434" s="133"/>
      <c r="H434" s="133"/>
      <c r="I434" s="133"/>
      <c r="J434" s="135">
        <v>2098.04</v>
      </c>
      <c r="K434" s="387">
        <f t="shared" si="43"/>
        <v>6294.12</v>
      </c>
    </row>
    <row r="435" spans="1:11" ht="47.25">
      <c r="A435" s="384">
        <v>75</v>
      </c>
      <c r="B435" s="134" t="s">
        <v>636</v>
      </c>
      <c r="C435" s="126" t="s">
        <v>637</v>
      </c>
      <c r="D435" s="109" t="s">
        <v>206</v>
      </c>
      <c r="E435" s="27">
        <v>7</v>
      </c>
      <c r="F435" s="133"/>
      <c r="G435" s="133"/>
      <c r="H435" s="133"/>
      <c r="I435" s="133"/>
      <c r="J435" s="135">
        <v>2027.24</v>
      </c>
      <c r="K435" s="387">
        <f t="shared" si="43"/>
        <v>14190.68</v>
      </c>
    </row>
    <row r="436" spans="1:11" ht="47.25">
      <c r="A436" s="384">
        <v>76</v>
      </c>
      <c r="B436" s="134" t="s">
        <v>638</v>
      </c>
      <c r="C436" s="126" t="s">
        <v>639</v>
      </c>
      <c r="D436" s="109" t="s">
        <v>206</v>
      </c>
      <c r="E436" s="27">
        <v>3</v>
      </c>
      <c r="F436" s="133"/>
      <c r="G436" s="133"/>
      <c r="H436" s="133"/>
      <c r="I436" s="133"/>
      <c r="J436" s="135">
        <v>1929.3</v>
      </c>
      <c r="K436" s="387">
        <f t="shared" si="43"/>
        <v>5787.9</v>
      </c>
    </row>
    <row r="437" spans="1:11" ht="47.25">
      <c r="A437" s="384">
        <v>77</v>
      </c>
      <c r="B437" s="134" t="s">
        <v>640</v>
      </c>
      <c r="C437" s="126" t="s">
        <v>641</v>
      </c>
      <c r="D437" s="109" t="s">
        <v>206</v>
      </c>
      <c r="E437" s="27">
        <v>3</v>
      </c>
      <c r="F437" s="133"/>
      <c r="G437" s="133"/>
      <c r="H437" s="133"/>
      <c r="I437" s="133"/>
      <c r="J437" s="135">
        <v>2060.2800000000002</v>
      </c>
      <c r="K437" s="387">
        <f t="shared" si="43"/>
        <v>6180.84</v>
      </c>
    </row>
    <row r="438" spans="1:11" ht="47.25">
      <c r="A438" s="384">
        <v>78</v>
      </c>
      <c r="B438" s="120" t="s">
        <v>579</v>
      </c>
      <c r="C438" s="126" t="s">
        <v>642</v>
      </c>
      <c r="D438" s="109" t="s">
        <v>206</v>
      </c>
      <c r="E438" s="27">
        <v>3</v>
      </c>
      <c r="F438" s="133"/>
      <c r="G438" s="133"/>
      <c r="H438" s="133"/>
      <c r="I438" s="133"/>
      <c r="J438" s="135">
        <v>4327.0600000000004</v>
      </c>
      <c r="K438" s="387">
        <f t="shared" si="43"/>
        <v>12981.18</v>
      </c>
    </row>
    <row r="439" spans="1:11" ht="47.25">
      <c r="A439" s="384">
        <v>79</v>
      </c>
      <c r="B439" s="134" t="s">
        <v>643</v>
      </c>
      <c r="C439" s="126" t="s">
        <v>644</v>
      </c>
      <c r="D439" s="109" t="s">
        <v>206</v>
      </c>
      <c r="E439" s="27">
        <v>2</v>
      </c>
      <c r="F439" s="133"/>
      <c r="G439" s="133"/>
      <c r="H439" s="133"/>
      <c r="I439" s="133"/>
      <c r="J439" s="135">
        <v>4776.6400000000003</v>
      </c>
      <c r="K439" s="387">
        <f t="shared" si="43"/>
        <v>9553.2800000000007</v>
      </c>
    </row>
    <row r="440" spans="1:11" ht="47.25">
      <c r="A440" s="384">
        <v>80</v>
      </c>
      <c r="B440" s="136"/>
      <c r="C440" s="137" t="s">
        <v>645</v>
      </c>
      <c r="D440" s="28" t="s">
        <v>62</v>
      </c>
      <c r="E440" s="27">
        <v>1</v>
      </c>
      <c r="F440" s="133"/>
      <c r="G440" s="133"/>
      <c r="H440" s="133"/>
      <c r="I440" s="133"/>
      <c r="J440" s="138">
        <v>5003.2</v>
      </c>
      <c r="K440" s="387">
        <f t="shared" si="43"/>
        <v>5003.2</v>
      </c>
    </row>
    <row r="441" spans="1:11" ht="94.5">
      <c r="A441" s="384">
        <v>81</v>
      </c>
      <c r="B441" s="139"/>
      <c r="C441" s="137" t="s">
        <v>646</v>
      </c>
      <c r="D441" s="28" t="s">
        <v>62</v>
      </c>
      <c r="E441" s="28">
        <v>2</v>
      </c>
      <c r="F441" s="140"/>
      <c r="G441" s="140"/>
      <c r="H441" s="140"/>
      <c r="I441" s="140"/>
      <c r="J441" s="28">
        <v>5888.2</v>
      </c>
      <c r="K441" s="388">
        <f t="shared" si="43"/>
        <v>11776.4</v>
      </c>
    </row>
    <row r="442" spans="1:11" ht="31.5">
      <c r="A442" s="384">
        <v>82</v>
      </c>
      <c r="B442" s="141"/>
      <c r="C442" s="142" t="s">
        <v>647</v>
      </c>
      <c r="D442" s="27" t="s">
        <v>648</v>
      </c>
      <c r="E442" s="27">
        <v>418</v>
      </c>
      <c r="F442" s="133"/>
      <c r="G442" s="133"/>
      <c r="H442" s="133"/>
      <c r="I442" s="133"/>
      <c r="J442" s="27">
        <v>73.16</v>
      </c>
      <c r="K442" s="387">
        <f t="shared" si="43"/>
        <v>30580.879999999997</v>
      </c>
    </row>
    <row r="443" spans="1:11">
      <c r="A443" s="384">
        <v>83</v>
      </c>
      <c r="B443" s="141"/>
      <c r="C443" s="137" t="s">
        <v>649</v>
      </c>
      <c r="D443" s="109" t="s">
        <v>7</v>
      </c>
      <c r="E443" s="27">
        <v>46</v>
      </c>
      <c r="F443" s="133"/>
      <c r="G443" s="133"/>
      <c r="H443" s="133"/>
      <c r="I443" s="133"/>
      <c r="J443" s="27">
        <v>6454.6</v>
      </c>
      <c r="K443" s="387">
        <f t="shared" si="43"/>
        <v>296911.60000000003</v>
      </c>
    </row>
    <row r="444" spans="1:11" ht="31.5">
      <c r="A444" s="384">
        <v>84</v>
      </c>
      <c r="B444" s="141"/>
      <c r="C444" s="126" t="s">
        <v>650</v>
      </c>
      <c r="D444" s="109" t="s">
        <v>7</v>
      </c>
      <c r="E444" s="27">
        <v>240</v>
      </c>
      <c r="F444" s="133"/>
      <c r="G444" s="133"/>
      <c r="H444" s="133"/>
      <c r="I444" s="133"/>
      <c r="J444" s="143">
        <v>375.24</v>
      </c>
      <c r="K444" s="387">
        <f t="shared" si="43"/>
        <v>90057.600000000006</v>
      </c>
    </row>
    <row r="445" spans="1:11" ht="31.5">
      <c r="A445" s="384">
        <v>85</v>
      </c>
      <c r="B445" s="141"/>
      <c r="C445" s="137" t="s">
        <v>651</v>
      </c>
      <c r="D445" s="110" t="s">
        <v>62</v>
      </c>
      <c r="E445" s="27">
        <v>2</v>
      </c>
      <c r="F445" s="133"/>
      <c r="G445" s="133"/>
      <c r="H445" s="133"/>
      <c r="I445" s="133"/>
      <c r="J445" s="143">
        <v>5233.3</v>
      </c>
      <c r="K445" s="387">
        <f t="shared" si="43"/>
        <v>10466.6</v>
      </c>
    </row>
    <row r="446" spans="1:11" ht="31.5">
      <c r="A446" s="384">
        <v>86</v>
      </c>
      <c r="B446" s="141"/>
      <c r="C446" s="137" t="s">
        <v>652</v>
      </c>
      <c r="D446" s="110" t="s">
        <v>62</v>
      </c>
      <c r="E446" s="220">
        <v>4</v>
      </c>
      <c r="F446" s="133"/>
      <c r="G446" s="133"/>
      <c r="H446" s="133"/>
      <c r="I446" s="133"/>
      <c r="J446" s="144">
        <v>5351.3</v>
      </c>
      <c r="K446" s="387">
        <f t="shared" si="43"/>
        <v>21405.200000000001</v>
      </c>
    </row>
    <row r="447" spans="1:11" ht="31.5">
      <c r="A447" s="384">
        <v>87</v>
      </c>
      <c r="B447" s="141"/>
      <c r="C447" s="137" t="s">
        <v>653</v>
      </c>
      <c r="D447" s="110" t="s">
        <v>62</v>
      </c>
      <c r="E447" s="220">
        <v>6</v>
      </c>
      <c r="F447" s="133"/>
      <c r="G447" s="133"/>
      <c r="H447" s="133"/>
      <c r="I447" s="133"/>
      <c r="J447" s="144">
        <v>5652.2</v>
      </c>
      <c r="K447" s="387">
        <f t="shared" si="43"/>
        <v>33913.199999999997</v>
      </c>
    </row>
    <row r="448" spans="1:11" ht="31.5">
      <c r="A448" s="384">
        <v>88</v>
      </c>
      <c r="B448" s="141"/>
      <c r="C448" s="137" t="s">
        <v>654</v>
      </c>
      <c r="D448" s="145" t="s">
        <v>62</v>
      </c>
      <c r="E448" s="220">
        <v>9</v>
      </c>
      <c r="F448" s="133"/>
      <c r="G448" s="133"/>
      <c r="H448" s="133"/>
      <c r="I448" s="133"/>
      <c r="J448" s="144">
        <v>3528.2</v>
      </c>
      <c r="K448" s="387">
        <f t="shared" si="43"/>
        <v>31753.8</v>
      </c>
    </row>
    <row r="449" spans="1:11">
      <c r="A449" s="384">
        <v>89</v>
      </c>
      <c r="B449" s="136"/>
      <c r="C449" s="137" t="s">
        <v>655</v>
      </c>
      <c r="D449" s="146" t="s">
        <v>40</v>
      </c>
      <c r="E449" s="220">
        <v>3</v>
      </c>
      <c r="F449" s="133"/>
      <c r="G449" s="133"/>
      <c r="H449" s="133"/>
      <c r="I449" s="133"/>
      <c r="J449" s="144">
        <v>1000</v>
      </c>
      <c r="K449" s="387">
        <f t="shared" si="43"/>
        <v>3000</v>
      </c>
    </row>
    <row r="450" spans="1:11">
      <c r="A450" s="384">
        <v>90</v>
      </c>
      <c r="B450" s="136"/>
      <c r="C450" s="137" t="s">
        <v>656</v>
      </c>
      <c r="D450" s="145" t="s">
        <v>62</v>
      </c>
      <c r="E450" s="220">
        <v>20</v>
      </c>
      <c r="F450" s="133"/>
      <c r="G450" s="133"/>
      <c r="H450" s="133"/>
      <c r="I450" s="133"/>
      <c r="J450" s="147">
        <v>352.82</v>
      </c>
      <c r="K450" s="387">
        <f t="shared" si="43"/>
        <v>7056.4</v>
      </c>
    </row>
    <row r="451" spans="1:11">
      <c r="A451" s="384">
        <v>91</v>
      </c>
      <c r="B451" s="136"/>
      <c r="C451" s="137" t="s">
        <v>657</v>
      </c>
      <c r="D451" s="145" t="s">
        <v>62</v>
      </c>
      <c r="E451" s="220">
        <v>10</v>
      </c>
      <c r="F451" s="133"/>
      <c r="G451" s="133"/>
      <c r="H451" s="133"/>
      <c r="I451" s="133"/>
      <c r="J451" s="147">
        <v>584.1</v>
      </c>
      <c r="K451" s="387">
        <f t="shared" si="43"/>
        <v>5841</v>
      </c>
    </row>
    <row r="452" spans="1:11" ht="47.25">
      <c r="A452" s="384">
        <v>92</v>
      </c>
      <c r="B452" s="136"/>
      <c r="C452" s="137" t="s">
        <v>658</v>
      </c>
      <c r="D452" s="145" t="s">
        <v>62</v>
      </c>
      <c r="E452" s="220">
        <v>10</v>
      </c>
      <c r="F452" s="133"/>
      <c r="G452" s="133"/>
      <c r="H452" s="133"/>
      <c r="I452" s="133"/>
      <c r="J452" s="147">
        <v>2112.1999999999998</v>
      </c>
      <c r="K452" s="387">
        <f t="shared" si="43"/>
        <v>21122</v>
      </c>
    </row>
    <row r="453" spans="1:11" ht="47.25">
      <c r="A453" s="384">
        <v>93</v>
      </c>
      <c r="B453" s="136"/>
      <c r="C453" s="137" t="s">
        <v>659</v>
      </c>
      <c r="D453" s="145" t="s">
        <v>62</v>
      </c>
      <c r="E453" s="220">
        <v>15</v>
      </c>
      <c r="F453" s="133"/>
      <c r="G453" s="133"/>
      <c r="H453" s="133"/>
      <c r="I453" s="133"/>
      <c r="J453" s="147">
        <v>2578.3000000000002</v>
      </c>
      <c r="K453" s="387">
        <f t="shared" si="43"/>
        <v>38674.5</v>
      </c>
    </row>
    <row r="454" spans="1:11" ht="47.25">
      <c r="A454" s="384">
        <v>94</v>
      </c>
      <c r="B454" s="136"/>
      <c r="C454" s="137" t="s">
        <v>660</v>
      </c>
      <c r="D454" s="145" t="s">
        <v>62</v>
      </c>
      <c r="E454" s="220">
        <v>15</v>
      </c>
      <c r="F454" s="133"/>
      <c r="G454" s="133"/>
      <c r="H454" s="133"/>
      <c r="I454" s="133"/>
      <c r="J454" s="147">
        <v>2578.3000000000002</v>
      </c>
      <c r="K454" s="387">
        <f t="shared" si="43"/>
        <v>38674.5</v>
      </c>
    </row>
    <row r="455" spans="1:11" ht="47.25">
      <c r="A455" s="384">
        <v>95</v>
      </c>
      <c r="B455" s="136"/>
      <c r="C455" s="137" t="s">
        <v>661</v>
      </c>
      <c r="D455" s="145" t="s">
        <v>62</v>
      </c>
      <c r="E455" s="220">
        <v>15</v>
      </c>
      <c r="F455" s="133"/>
      <c r="G455" s="133"/>
      <c r="H455" s="133"/>
      <c r="I455" s="133"/>
      <c r="J455" s="147">
        <v>1787.7</v>
      </c>
      <c r="K455" s="387">
        <f t="shared" si="43"/>
        <v>26815.5</v>
      </c>
    </row>
    <row r="456" spans="1:11" ht="63">
      <c r="A456" s="384">
        <v>96</v>
      </c>
      <c r="B456" s="136"/>
      <c r="C456" s="137" t="s">
        <v>662</v>
      </c>
      <c r="D456" s="145" t="s">
        <v>62</v>
      </c>
      <c r="E456" s="220">
        <v>15</v>
      </c>
      <c r="F456" s="133"/>
      <c r="G456" s="133"/>
      <c r="H456" s="133"/>
      <c r="I456" s="133"/>
      <c r="J456" s="147">
        <v>1787.7</v>
      </c>
      <c r="K456" s="387">
        <f t="shared" si="43"/>
        <v>26815.5</v>
      </c>
    </row>
    <row r="457" spans="1:11" ht="47.25">
      <c r="A457" s="384">
        <v>97</v>
      </c>
      <c r="B457" s="136"/>
      <c r="C457" s="137" t="s">
        <v>663</v>
      </c>
      <c r="D457" s="145" t="s">
        <v>62</v>
      </c>
      <c r="E457" s="220">
        <v>6</v>
      </c>
      <c r="F457" s="133"/>
      <c r="G457" s="133"/>
      <c r="H457" s="133"/>
      <c r="I457" s="133"/>
      <c r="J457" s="147">
        <v>4773.1000000000004</v>
      </c>
      <c r="K457" s="387">
        <f t="shared" si="43"/>
        <v>28638.600000000002</v>
      </c>
    </row>
    <row r="458" spans="1:11" ht="47.25">
      <c r="A458" s="384">
        <v>98</v>
      </c>
      <c r="B458" s="136"/>
      <c r="C458" s="137" t="s">
        <v>664</v>
      </c>
      <c r="D458" s="145" t="s">
        <v>62</v>
      </c>
      <c r="E458" s="220">
        <v>6</v>
      </c>
      <c r="F458" s="133"/>
      <c r="G458" s="133"/>
      <c r="H458" s="133"/>
      <c r="I458" s="133"/>
      <c r="J458" s="147">
        <v>4773.1000000000004</v>
      </c>
      <c r="K458" s="387">
        <f t="shared" si="43"/>
        <v>28638.600000000002</v>
      </c>
    </row>
    <row r="459" spans="1:11" ht="31.5">
      <c r="A459" s="384">
        <v>99</v>
      </c>
      <c r="B459" s="141"/>
      <c r="C459" s="137" t="s">
        <v>665</v>
      </c>
      <c r="D459" s="145" t="s">
        <v>62</v>
      </c>
      <c r="E459" s="5">
        <v>5</v>
      </c>
      <c r="F459" s="133"/>
      <c r="G459" s="133"/>
      <c r="H459" s="133"/>
      <c r="I459" s="133"/>
      <c r="J459" s="119">
        <v>2767.1</v>
      </c>
      <c r="K459" s="387">
        <f t="shared" si="43"/>
        <v>13835.5</v>
      </c>
    </row>
    <row r="460" spans="1:11" ht="31.5">
      <c r="A460" s="384">
        <v>100</v>
      </c>
      <c r="B460" s="141"/>
      <c r="C460" s="142" t="s">
        <v>666</v>
      </c>
      <c r="D460" s="145" t="s">
        <v>62</v>
      </c>
      <c r="E460" s="5">
        <v>6</v>
      </c>
      <c r="F460" s="133"/>
      <c r="G460" s="133"/>
      <c r="H460" s="133"/>
      <c r="I460" s="133"/>
      <c r="J460" s="27">
        <v>2590.1</v>
      </c>
      <c r="K460" s="387">
        <f t="shared" si="43"/>
        <v>15540.599999999999</v>
      </c>
    </row>
    <row r="461" spans="1:11">
      <c r="A461" s="170"/>
      <c r="B461" s="170"/>
      <c r="C461" s="170"/>
      <c r="D461" s="170"/>
      <c r="E461" s="170"/>
      <c r="F461" s="170"/>
      <c r="G461" s="170"/>
      <c r="H461" s="170"/>
      <c r="I461" s="170"/>
      <c r="J461" s="171"/>
      <c r="K461" s="389">
        <f>SUM(K361:K460)</f>
        <v>4912937.7160399975</v>
      </c>
    </row>
    <row r="462" spans="1:11">
      <c r="A462" s="384">
        <v>101</v>
      </c>
      <c r="B462" s="390"/>
      <c r="C462" s="125" t="s">
        <v>667</v>
      </c>
      <c r="D462" s="148" t="s">
        <v>40</v>
      </c>
      <c r="E462" s="133"/>
      <c r="F462" s="133"/>
      <c r="G462" s="149">
        <v>3</v>
      </c>
      <c r="H462" s="133"/>
      <c r="I462" s="133"/>
      <c r="J462" s="130">
        <v>4500</v>
      </c>
      <c r="K462" s="391">
        <f t="shared" ref="K462:K466" si="44">J462*G462</f>
        <v>13500</v>
      </c>
    </row>
    <row r="463" spans="1:11" ht="63">
      <c r="A463" s="384">
        <v>102</v>
      </c>
      <c r="B463" s="390"/>
      <c r="C463" s="126" t="s">
        <v>668</v>
      </c>
      <c r="D463" s="148" t="s">
        <v>40</v>
      </c>
      <c r="E463" s="133"/>
      <c r="F463" s="133"/>
      <c r="G463" s="149">
        <v>1</v>
      </c>
      <c r="H463" s="133"/>
      <c r="I463" s="133"/>
      <c r="J463" s="130">
        <v>4500</v>
      </c>
      <c r="K463" s="391">
        <f t="shared" si="44"/>
        <v>4500</v>
      </c>
    </row>
    <row r="464" spans="1:11" ht="47.25">
      <c r="A464" s="384">
        <v>103</v>
      </c>
      <c r="B464" s="118" t="s">
        <v>669</v>
      </c>
      <c r="C464" s="126" t="s">
        <v>670</v>
      </c>
      <c r="D464" s="148" t="s">
        <v>40</v>
      </c>
      <c r="E464" s="133"/>
      <c r="F464" s="133"/>
      <c r="G464" s="149">
        <v>3</v>
      </c>
      <c r="H464" s="133"/>
      <c r="I464" s="133"/>
      <c r="J464" s="130">
        <v>6000</v>
      </c>
      <c r="K464" s="391">
        <f t="shared" si="44"/>
        <v>18000</v>
      </c>
    </row>
    <row r="465" spans="1:11" ht="31.5">
      <c r="A465" s="384">
        <v>104</v>
      </c>
      <c r="B465" s="150"/>
      <c r="C465" s="137" t="s">
        <v>671</v>
      </c>
      <c r="D465" s="148" t="s">
        <v>40</v>
      </c>
      <c r="E465" s="133"/>
      <c r="F465" s="133"/>
      <c r="G465" s="149">
        <v>1</v>
      </c>
      <c r="H465" s="133"/>
      <c r="I465" s="133"/>
      <c r="J465" s="130">
        <v>8000</v>
      </c>
      <c r="K465" s="391">
        <f t="shared" si="44"/>
        <v>8000</v>
      </c>
    </row>
    <row r="466" spans="1:11">
      <c r="A466" s="384">
        <v>105</v>
      </c>
      <c r="B466" s="150"/>
      <c r="C466" s="137" t="s">
        <v>655</v>
      </c>
      <c r="D466" s="148" t="s">
        <v>40</v>
      </c>
      <c r="E466" s="133"/>
      <c r="F466" s="133"/>
      <c r="G466" s="149">
        <v>3</v>
      </c>
      <c r="H466" s="133"/>
      <c r="I466" s="133"/>
      <c r="J466" s="130">
        <v>2000</v>
      </c>
      <c r="K466" s="391">
        <f t="shared" si="44"/>
        <v>6000</v>
      </c>
    </row>
    <row r="467" spans="1:11">
      <c r="A467" s="384"/>
      <c r="B467" s="170" t="s">
        <v>82</v>
      </c>
      <c r="C467" s="170"/>
      <c r="D467" s="170"/>
      <c r="E467" s="170"/>
      <c r="F467" s="170"/>
      <c r="G467" s="170"/>
      <c r="H467" s="170"/>
      <c r="I467" s="170"/>
      <c r="J467" s="171"/>
      <c r="K467" s="172">
        <f>SUM(K462:K466)</f>
        <v>50000</v>
      </c>
    </row>
    <row r="468" spans="1:11" ht="31.5">
      <c r="A468" s="384">
        <v>106</v>
      </c>
      <c r="B468" s="141" t="s">
        <v>672</v>
      </c>
      <c r="C468" s="151" t="s">
        <v>673</v>
      </c>
      <c r="D468" s="152" t="s">
        <v>40</v>
      </c>
      <c r="E468" s="133"/>
      <c r="F468" s="133"/>
      <c r="G468" s="133"/>
      <c r="H468" s="133"/>
      <c r="I468" s="149">
        <v>3</v>
      </c>
      <c r="J468" s="135">
        <v>100</v>
      </c>
      <c r="K468" s="391">
        <f t="shared" ref="K468:K497" si="45">J468*I468</f>
        <v>300</v>
      </c>
    </row>
    <row r="469" spans="1:11" ht="31.5">
      <c r="A469" s="384">
        <v>107</v>
      </c>
      <c r="B469" s="115"/>
      <c r="C469" s="151" t="s">
        <v>674</v>
      </c>
      <c r="D469" s="152" t="s">
        <v>40</v>
      </c>
      <c r="E469" s="133"/>
      <c r="F469" s="133"/>
      <c r="G469" s="133"/>
      <c r="H469" s="133"/>
      <c r="I469" s="149">
        <v>1</v>
      </c>
      <c r="J469" s="135">
        <v>2000</v>
      </c>
      <c r="K469" s="391">
        <f t="shared" si="45"/>
        <v>2000</v>
      </c>
    </row>
    <row r="470" spans="1:11" ht="31.5">
      <c r="A470" s="384">
        <v>108</v>
      </c>
      <c r="B470" s="141" t="s">
        <v>675</v>
      </c>
      <c r="C470" s="151" t="s">
        <v>676</v>
      </c>
      <c r="D470" s="152" t="s">
        <v>40</v>
      </c>
      <c r="E470" s="133"/>
      <c r="F470" s="133"/>
      <c r="G470" s="133"/>
      <c r="H470" s="133"/>
      <c r="I470" s="149">
        <v>1</v>
      </c>
      <c r="J470" s="135">
        <v>2000</v>
      </c>
      <c r="K470" s="391">
        <f t="shared" si="45"/>
        <v>2000</v>
      </c>
    </row>
    <row r="471" spans="1:11" ht="47.25">
      <c r="A471" s="384">
        <v>109</v>
      </c>
      <c r="B471" s="115" t="s">
        <v>677</v>
      </c>
      <c r="C471" s="153" t="s">
        <v>678</v>
      </c>
      <c r="D471" s="152" t="s">
        <v>5</v>
      </c>
      <c r="E471" s="133"/>
      <c r="F471" s="133"/>
      <c r="G471" s="133"/>
      <c r="H471" s="133"/>
      <c r="I471" s="149">
        <v>1</v>
      </c>
      <c r="J471" s="154">
        <v>8000</v>
      </c>
      <c r="K471" s="391">
        <f t="shared" si="45"/>
        <v>8000</v>
      </c>
    </row>
    <row r="472" spans="1:11" ht="31.5">
      <c r="A472" s="384">
        <v>110</v>
      </c>
      <c r="B472" s="141" t="s">
        <v>398</v>
      </c>
      <c r="C472" s="153" t="s">
        <v>679</v>
      </c>
      <c r="D472" s="148" t="s">
        <v>40</v>
      </c>
      <c r="E472" s="133"/>
      <c r="F472" s="133"/>
      <c r="G472" s="133"/>
      <c r="H472" s="133"/>
      <c r="I472" s="149">
        <v>1</v>
      </c>
      <c r="J472" s="154">
        <v>1000</v>
      </c>
      <c r="K472" s="391">
        <f t="shared" si="45"/>
        <v>1000</v>
      </c>
    </row>
    <row r="473" spans="1:11" ht="31.5">
      <c r="A473" s="384">
        <v>111</v>
      </c>
      <c r="B473" s="155" t="s">
        <v>326</v>
      </c>
      <c r="C473" s="153" t="s">
        <v>680</v>
      </c>
      <c r="D473" s="148" t="s">
        <v>387</v>
      </c>
      <c r="E473" s="133"/>
      <c r="F473" s="133"/>
      <c r="G473" s="133"/>
      <c r="H473" s="133"/>
      <c r="I473" s="149">
        <v>340</v>
      </c>
      <c r="J473" s="154">
        <v>60</v>
      </c>
      <c r="K473" s="391">
        <f t="shared" si="45"/>
        <v>20400</v>
      </c>
    </row>
    <row r="474" spans="1:11" ht="31.5">
      <c r="A474" s="384">
        <v>112</v>
      </c>
      <c r="B474" s="141" t="s">
        <v>681</v>
      </c>
      <c r="C474" s="156" t="s">
        <v>682</v>
      </c>
      <c r="D474" s="148" t="s">
        <v>40</v>
      </c>
      <c r="E474" s="133"/>
      <c r="F474" s="133"/>
      <c r="G474" s="133"/>
      <c r="H474" s="133"/>
      <c r="I474" s="149">
        <v>1</v>
      </c>
      <c r="J474" s="154">
        <v>1500</v>
      </c>
      <c r="K474" s="391">
        <f t="shared" si="45"/>
        <v>1500</v>
      </c>
    </row>
    <row r="475" spans="1:11" ht="31.5">
      <c r="A475" s="384">
        <v>113</v>
      </c>
      <c r="B475" s="157"/>
      <c r="C475" s="151" t="s">
        <v>683</v>
      </c>
      <c r="D475" s="148" t="s">
        <v>7</v>
      </c>
      <c r="E475" s="133"/>
      <c r="F475" s="133"/>
      <c r="G475" s="133"/>
      <c r="H475" s="133"/>
      <c r="I475" s="149">
        <v>50</v>
      </c>
      <c r="J475" s="154">
        <v>25</v>
      </c>
      <c r="K475" s="391">
        <f t="shared" si="45"/>
        <v>1250</v>
      </c>
    </row>
    <row r="476" spans="1:11" ht="31.5">
      <c r="A476" s="384">
        <v>114</v>
      </c>
      <c r="B476" s="141" t="s">
        <v>681</v>
      </c>
      <c r="C476" s="153" t="s">
        <v>684</v>
      </c>
      <c r="D476" s="148" t="s">
        <v>40</v>
      </c>
      <c r="E476" s="133"/>
      <c r="F476" s="133"/>
      <c r="G476" s="133"/>
      <c r="H476" s="133"/>
      <c r="I476" s="149">
        <v>2</v>
      </c>
      <c r="J476" s="154">
        <v>1000</v>
      </c>
      <c r="K476" s="391">
        <f t="shared" si="45"/>
        <v>2000</v>
      </c>
    </row>
    <row r="477" spans="1:11" ht="31.5">
      <c r="A477" s="384">
        <v>115</v>
      </c>
      <c r="B477" s="141" t="s">
        <v>681</v>
      </c>
      <c r="C477" s="125" t="s">
        <v>685</v>
      </c>
      <c r="D477" s="148" t="s">
        <v>40</v>
      </c>
      <c r="E477" s="133"/>
      <c r="F477" s="133"/>
      <c r="G477" s="133"/>
      <c r="H477" s="133"/>
      <c r="I477" s="149">
        <v>1</v>
      </c>
      <c r="J477" s="154">
        <v>500</v>
      </c>
      <c r="K477" s="391">
        <f t="shared" si="45"/>
        <v>500</v>
      </c>
    </row>
    <row r="478" spans="1:11" ht="47.25">
      <c r="A478" s="384">
        <v>116</v>
      </c>
      <c r="B478" s="141" t="s">
        <v>681</v>
      </c>
      <c r="C478" s="126" t="s">
        <v>686</v>
      </c>
      <c r="D478" s="109" t="s">
        <v>206</v>
      </c>
      <c r="E478" s="133"/>
      <c r="F478" s="133"/>
      <c r="G478" s="133"/>
      <c r="H478" s="133"/>
      <c r="I478" s="149">
        <v>1</v>
      </c>
      <c r="J478" s="154">
        <v>2500</v>
      </c>
      <c r="K478" s="391">
        <f t="shared" si="45"/>
        <v>2500</v>
      </c>
    </row>
    <row r="479" spans="1:11" ht="31.5">
      <c r="A479" s="384">
        <v>117</v>
      </c>
      <c r="B479" s="134"/>
      <c r="C479" s="158" t="s">
        <v>687</v>
      </c>
      <c r="D479" s="109" t="s">
        <v>7</v>
      </c>
      <c r="E479" s="133"/>
      <c r="F479" s="133"/>
      <c r="G479" s="133"/>
      <c r="H479" s="133"/>
      <c r="I479" s="149">
        <v>49</v>
      </c>
      <c r="J479" s="154">
        <v>30</v>
      </c>
      <c r="K479" s="391">
        <f t="shared" si="45"/>
        <v>1470</v>
      </c>
    </row>
    <row r="480" spans="1:11" ht="31.5">
      <c r="A480" s="384">
        <v>118</v>
      </c>
      <c r="B480" s="141"/>
      <c r="C480" s="159" t="s">
        <v>688</v>
      </c>
      <c r="D480" s="109" t="s">
        <v>7</v>
      </c>
      <c r="E480" s="133"/>
      <c r="F480" s="133"/>
      <c r="G480" s="133"/>
      <c r="H480" s="133"/>
      <c r="I480" s="149">
        <v>30</v>
      </c>
      <c r="J480" s="154">
        <v>25</v>
      </c>
      <c r="K480" s="391">
        <f t="shared" si="45"/>
        <v>750</v>
      </c>
    </row>
    <row r="481" spans="1:11" ht="47.25">
      <c r="A481" s="384">
        <v>119</v>
      </c>
      <c r="B481" s="115" t="s">
        <v>677</v>
      </c>
      <c r="C481" s="126" t="s">
        <v>689</v>
      </c>
      <c r="D481" s="109" t="s">
        <v>206</v>
      </c>
      <c r="E481" s="133"/>
      <c r="F481" s="133"/>
      <c r="G481" s="133"/>
      <c r="H481" s="133"/>
      <c r="I481" s="149">
        <v>1</v>
      </c>
      <c r="J481" s="135">
        <v>3500</v>
      </c>
      <c r="K481" s="391">
        <f t="shared" si="45"/>
        <v>3500</v>
      </c>
    </row>
    <row r="482" spans="1:11" ht="31.5">
      <c r="A482" s="384">
        <v>120</v>
      </c>
      <c r="B482" s="141" t="s">
        <v>681</v>
      </c>
      <c r="C482" s="126" t="s">
        <v>690</v>
      </c>
      <c r="D482" s="109" t="s">
        <v>206</v>
      </c>
      <c r="E482" s="133"/>
      <c r="F482" s="133"/>
      <c r="G482" s="133"/>
      <c r="H482" s="133"/>
      <c r="I482" s="149">
        <v>1</v>
      </c>
      <c r="J482" s="135">
        <v>1500</v>
      </c>
      <c r="K482" s="391">
        <f t="shared" si="45"/>
        <v>1500</v>
      </c>
    </row>
    <row r="483" spans="1:11" ht="47.25">
      <c r="A483" s="384">
        <v>121</v>
      </c>
      <c r="B483" s="141" t="s">
        <v>398</v>
      </c>
      <c r="C483" s="126" t="s">
        <v>691</v>
      </c>
      <c r="D483" s="109" t="s">
        <v>206</v>
      </c>
      <c r="E483" s="133"/>
      <c r="F483" s="133"/>
      <c r="G483" s="133"/>
      <c r="H483" s="133"/>
      <c r="I483" s="149">
        <v>2</v>
      </c>
      <c r="J483" s="154">
        <v>900</v>
      </c>
      <c r="K483" s="391">
        <f t="shared" si="45"/>
        <v>1800</v>
      </c>
    </row>
    <row r="484" spans="1:11" ht="31.5">
      <c r="A484" s="384">
        <v>122</v>
      </c>
      <c r="B484" s="136"/>
      <c r="C484" s="117" t="s">
        <v>692</v>
      </c>
      <c r="D484" s="124" t="s">
        <v>40</v>
      </c>
      <c r="E484" s="133"/>
      <c r="F484" s="133"/>
      <c r="G484" s="133"/>
      <c r="H484" s="133"/>
      <c r="I484" s="149">
        <v>1</v>
      </c>
      <c r="J484" s="154">
        <v>500</v>
      </c>
      <c r="K484" s="391">
        <f t="shared" si="45"/>
        <v>500</v>
      </c>
    </row>
    <row r="485" spans="1:11" ht="31.5">
      <c r="A485" s="384">
        <v>123</v>
      </c>
      <c r="B485" s="136"/>
      <c r="C485" s="117" t="s">
        <v>693</v>
      </c>
      <c r="D485" s="27" t="s">
        <v>40</v>
      </c>
      <c r="E485" s="133"/>
      <c r="F485" s="133"/>
      <c r="G485" s="133"/>
      <c r="H485" s="133"/>
      <c r="I485" s="149">
        <v>1</v>
      </c>
      <c r="J485" s="154">
        <v>1500</v>
      </c>
      <c r="K485" s="391">
        <f t="shared" si="45"/>
        <v>1500</v>
      </c>
    </row>
    <row r="486" spans="1:11" ht="31.5">
      <c r="A486" s="384">
        <v>124</v>
      </c>
      <c r="B486" s="136"/>
      <c r="C486" s="117" t="s">
        <v>694</v>
      </c>
      <c r="D486" s="27" t="s">
        <v>40</v>
      </c>
      <c r="E486" s="133"/>
      <c r="F486" s="133"/>
      <c r="G486" s="133"/>
      <c r="H486" s="133"/>
      <c r="I486" s="149">
        <v>1</v>
      </c>
      <c r="J486" s="154">
        <v>2500</v>
      </c>
      <c r="K486" s="391">
        <f t="shared" si="45"/>
        <v>2500</v>
      </c>
    </row>
    <row r="487" spans="1:11" ht="31.5">
      <c r="A487" s="384">
        <v>125</v>
      </c>
      <c r="B487" s="141"/>
      <c r="C487" s="160" t="s">
        <v>695</v>
      </c>
      <c r="D487" s="27" t="s">
        <v>40</v>
      </c>
      <c r="E487" s="133"/>
      <c r="F487" s="133"/>
      <c r="G487" s="133"/>
      <c r="H487" s="133"/>
      <c r="I487" s="149">
        <v>1</v>
      </c>
      <c r="J487" s="154">
        <v>500</v>
      </c>
      <c r="K487" s="391">
        <f t="shared" si="45"/>
        <v>500</v>
      </c>
    </row>
    <row r="488" spans="1:11" ht="47.25">
      <c r="A488" s="384">
        <v>126</v>
      </c>
      <c r="B488" s="141"/>
      <c r="C488" s="161" t="s">
        <v>696</v>
      </c>
      <c r="D488" s="27" t="s">
        <v>40</v>
      </c>
      <c r="E488" s="133"/>
      <c r="F488" s="133"/>
      <c r="G488" s="133"/>
      <c r="H488" s="133"/>
      <c r="I488" s="149">
        <v>1</v>
      </c>
      <c r="J488" s="154">
        <v>1000</v>
      </c>
      <c r="K488" s="391">
        <f t="shared" si="45"/>
        <v>1000</v>
      </c>
    </row>
    <row r="489" spans="1:11" ht="31.5">
      <c r="A489" s="384">
        <v>127</v>
      </c>
      <c r="B489" s="141"/>
      <c r="C489" s="162" t="s">
        <v>697</v>
      </c>
      <c r="D489" s="27" t="s">
        <v>40</v>
      </c>
      <c r="E489" s="133"/>
      <c r="F489" s="133"/>
      <c r="G489" s="133"/>
      <c r="H489" s="133"/>
      <c r="I489" s="149">
        <v>2</v>
      </c>
      <c r="J489" s="154">
        <v>300</v>
      </c>
      <c r="K489" s="391">
        <f t="shared" si="45"/>
        <v>600</v>
      </c>
    </row>
    <row r="490" spans="1:11" ht="31.5">
      <c r="A490" s="384">
        <v>128</v>
      </c>
      <c r="B490" s="141"/>
      <c r="C490" s="162" t="s">
        <v>697</v>
      </c>
      <c r="D490" s="27" t="s">
        <v>40</v>
      </c>
      <c r="E490" s="133"/>
      <c r="F490" s="133"/>
      <c r="G490" s="133"/>
      <c r="H490" s="133"/>
      <c r="I490" s="149">
        <v>1</v>
      </c>
      <c r="J490" s="154">
        <v>400</v>
      </c>
      <c r="K490" s="391">
        <f t="shared" si="45"/>
        <v>400</v>
      </c>
    </row>
    <row r="491" spans="1:11" ht="31.5">
      <c r="A491" s="384">
        <v>129</v>
      </c>
      <c r="B491" s="136"/>
      <c r="C491" s="137" t="s">
        <v>698</v>
      </c>
      <c r="D491" s="109" t="s">
        <v>206</v>
      </c>
      <c r="E491" s="133"/>
      <c r="F491" s="133"/>
      <c r="G491" s="133"/>
      <c r="H491" s="133"/>
      <c r="I491" s="27">
        <v>140</v>
      </c>
      <c r="J491" s="130">
        <v>150</v>
      </c>
      <c r="K491" s="391">
        <f t="shared" si="45"/>
        <v>21000</v>
      </c>
    </row>
    <row r="492" spans="1:11" ht="31.5">
      <c r="A492" s="384">
        <v>130</v>
      </c>
      <c r="B492" s="136"/>
      <c r="C492" s="137" t="s">
        <v>699</v>
      </c>
      <c r="D492" s="27" t="s">
        <v>700</v>
      </c>
      <c r="E492" s="133"/>
      <c r="F492" s="133"/>
      <c r="G492" s="133"/>
      <c r="H492" s="133"/>
      <c r="I492" s="27">
        <v>220</v>
      </c>
      <c r="J492" s="130">
        <v>30</v>
      </c>
      <c r="K492" s="391">
        <f t="shared" si="45"/>
        <v>6600</v>
      </c>
    </row>
    <row r="493" spans="1:11" ht="47.25">
      <c r="A493" s="384">
        <v>131</v>
      </c>
      <c r="B493" s="136"/>
      <c r="C493" s="137" t="s">
        <v>701</v>
      </c>
      <c r="D493" s="27" t="s">
        <v>37</v>
      </c>
      <c r="E493" s="133"/>
      <c r="F493" s="133"/>
      <c r="G493" s="133"/>
      <c r="H493" s="133"/>
      <c r="I493" s="27">
        <v>15</v>
      </c>
      <c r="J493" s="130">
        <v>30</v>
      </c>
      <c r="K493" s="391">
        <f t="shared" si="45"/>
        <v>450</v>
      </c>
    </row>
    <row r="494" spans="1:11" ht="31.5">
      <c r="A494" s="384">
        <v>132</v>
      </c>
      <c r="B494" s="136"/>
      <c r="C494" s="137" t="s">
        <v>702</v>
      </c>
      <c r="D494" s="27" t="s">
        <v>37</v>
      </c>
      <c r="E494" s="133"/>
      <c r="F494" s="133"/>
      <c r="G494" s="133"/>
      <c r="H494" s="133"/>
      <c r="I494" s="27">
        <v>1</v>
      </c>
      <c r="J494" s="130">
        <v>2500</v>
      </c>
      <c r="K494" s="391">
        <f t="shared" si="45"/>
        <v>2500</v>
      </c>
    </row>
    <row r="495" spans="1:11" ht="31.5">
      <c r="A495" s="384">
        <v>133</v>
      </c>
      <c r="B495" s="136"/>
      <c r="C495" s="137" t="s">
        <v>703</v>
      </c>
      <c r="D495" s="27" t="s">
        <v>37</v>
      </c>
      <c r="E495" s="133"/>
      <c r="F495" s="133"/>
      <c r="G495" s="133"/>
      <c r="H495" s="133"/>
      <c r="I495" s="27">
        <v>1</v>
      </c>
      <c r="J495" s="130">
        <v>200</v>
      </c>
      <c r="K495" s="391">
        <f t="shared" si="45"/>
        <v>200</v>
      </c>
    </row>
    <row r="496" spans="1:11" ht="47.25">
      <c r="A496" s="384">
        <v>134</v>
      </c>
      <c r="B496" s="136"/>
      <c r="C496" s="137" t="s">
        <v>704</v>
      </c>
      <c r="D496" s="109" t="s">
        <v>4</v>
      </c>
      <c r="E496" s="133"/>
      <c r="F496" s="133"/>
      <c r="G496" s="133"/>
      <c r="H496" s="133"/>
      <c r="I496" s="27">
        <v>0.9</v>
      </c>
      <c r="J496" s="130">
        <v>110000</v>
      </c>
      <c r="K496" s="391">
        <f t="shared" si="45"/>
        <v>99000</v>
      </c>
    </row>
    <row r="497" spans="1:11" ht="31.5">
      <c r="A497" s="384">
        <v>135</v>
      </c>
      <c r="B497" s="136"/>
      <c r="C497" s="137" t="s">
        <v>705</v>
      </c>
      <c r="D497" s="109" t="s">
        <v>37</v>
      </c>
      <c r="E497" s="133"/>
      <c r="F497" s="133"/>
      <c r="G497" s="133"/>
      <c r="H497" s="133"/>
      <c r="I497" s="27">
        <v>2</v>
      </c>
      <c r="J497" s="130">
        <v>1500</v>
      </c>
      <c r="K497" s="391">
        <f t="shared" si="45"/>
        <v>3000</v>
      </c>
    </row>
    <row r="498" spans="1:11">
      <c r="A498" s="133"/>
      <c r="B498" s="392" t="s">
        <v>82</v>
      </c>
      <c r="C498" s="392"/>
      <c r="D498" s="392"/>
      <c r="E498" s="392"/>
      <c r="F498" s="392"/>
      <c r="G498" s="392"/>
      <c r="H498" s="392"/>
      <c r="I498" s="392"/>
      <c r="J498" s="393"/>
      <c r="K498" s="394">
        <f>SUM(K468:K497)</f>
        <v>190220</v>
      </c>
    </row>
    <row r="499" spans="1:11">
      <c r="A499" s="174"/>
      <c r="B499" s="174"/>
      <c r="C499" s="174"/>
      <c r="D499" s="174"/>
      <c r="E499" s="174"/>
      <c r="F499" s="174"/>
      <c r="G499" s="174"/>
      <c r="H499" s="174"/>
      <c r="I499" s="174"/>
      <c r="J499" s="174"/>
      <c r="K499" s="175"/>
    </row>
    <row r="500" spans="1:11" ht="47.25">
      <c r="A500" s="395">
        <v>136</v>
      </c>
      <c r="B500" s="163"/>
      <c r="C500" s="164" t="s">
        <v>706</v>
      </c>
      <c r="D500" s="165" t="s">
        <v>206</v>
      </c>
      <c r="E500" s="165">
        <v>3</v>
      </c>
      <c r="F500" s="166"/>
      <c r="G500" s="166"/>
      <c r="H500" s="166"/>
      <c r="I500" s="166"/>
      <c r="J500" s="167">
        <v>70202.92</v>
      </c>
      <c r="K500" s="396">
        <f t="shared" ref="K500:K517" si="46">J500*E500</f>
        <v>210608.76</v>
      </c>
    </row>
    <row r="501" spans="1:11" ht="63">
      <c r="A501" s="384">
        <v>137</v>
      </c>
      <c r="B501" s="141"/>
      <c r="C501" s="126" t="s">
        <v>707</v>
      </c>
      <c r="D501" s="27" t="s">
        <v>206</v>
      </c>
      <c r="E501" s="27">
        <v>2</v>
      </c>
      <c r="F501" s="133"/>
      <c r="G501" s="133"/>
      <c r="H501" s="133"/>
      <c r="I501" s="133"/>
      <c r="J501" s="129">
        <v>57650.080000000002</v>
      </c>
      <c r="K501" s="387">
        <f t="shared" si="46"/>
        <v>115300.16</v>
      </c>
    </row>
    <row r="502" spans="1:11">
      <c r="A502" s="395">
        <v>138</v>
      </c>
      <c r="B502" s="141"/>
      <c r="C502" s="126" t="s">
        <v>708</v>
      </c>
      <c r="D502" s="27" t="s">
        <v>206</v>
      </c>
      <c r="E502" s="27">
        <v>2</v>
      </c>
      <c r="F502" s="133"/>
      <c r="G502" s="133"/>
      <c r="H502" s="133"/>
      <c r="I502" s="133"/>
      <c r="J502" s="129">
        <v>61834.36</v>
      </c>
      <c r="K502" s="387">
        <f t="shared" si="46"/>
        <v>123668.72</v>
      </c>
    </row>
    <row r="503" spans="1:11" ht="31.5">
      <c r="A503" s="384">
        <v>139</v>
      </c>
      <c r="B503" s="141"/>
      <c r="C503" s="126" t="s">
        <v>709</v>
      </c>
      <c r="D503" s="27" t="s">
        <v>206</v>
      </c>
      <c r="E503" s="27">
        <v>3</v>
      </c>
      <c r="F503" s="133"/>
      <c r="G503" s="133"/>
      <c r="H503" s="133"/>
      <c r="I503" s="133"/>
      <c r="J503" s="129">
        <v>16853.349999999999</v>
      </c>
      <c r="K503" s="387">
        <f t="shared" si="46"/>
        <v>50560.049999999996</v>
      </c>
    </row>
    <row r="504" spans="1:11" ht="31.5">
      <c r="A504" s="395">
        <v>140</v>
      </c>
      <c r="B504" s="141"/>
      <c r="C504" s="126" t="s">
        <v>710</v>
      </c>
      <c r="D504" s="27" t="s">
        <v>206</v>
      </c>
      <c r="E504" s="27">
        <v>6</v>
      </c>
      <c r="F504" s="133"/>
      <c r="G504" s="133"/>
      <c r="H504" s="133"/>
      <c r="I504" s="133"/>
      <c r="J504" s="129">
        <v>9879.5499999999993</v>
      </c>
      <c r="K504" s="387">
        <f t="shared" si="46"/>
        <v>59277.299999999996</v>
      </c>
    </row>
    <row r="505" spans="1:11" ht="31.5">
      <c r="A505" s="384">
        <v>141</v>
      </c>
      <c r="B505" s="141"/>
      <c r="C505" s="126" t="s">
        <v>711</v>
      </c>
      <c r="D505" s="27" t="s">
        <v>206</v>
      </c>
      <c r="E505" s="27">
        <v>1</v>
      </c>
      <c r="F505" s="133"/>
      <c r="G505" s="133"/>
      <c r="H505" s="133"/>
      <c r="I505" s="133"/>
      <c r="J505" s="130">
        <v>5172.2349999999997</v>
      </c>
      <c r="K505" s="387">
        <f t="shared" si="46"/>
        <v>5172.2349999999997</v>
      </c>
    </row>
    <row r="506" spans="1:11" ht="31.5">
      <c r="A506" s="395">
        <v>142</v>
      </c>
      <c r="B506" s="141"/>
      <c r="C506" s="126" t="s">
        <v>712</v>
      </c>
      <c r="D506" s="27" t="s">
        <v>206</v>
      </c>
      <c r="E506" s="27">
        <v>2</v>
      </c>
      <c r="F506" s="133"/>
      <c r="G506" s="133"/>
      <c r="H506" s="133"/>
      <c r="I506" s="133"/>
      <c r="J506" s="130">
        <v>5288.4650000000001</v>
      </c>
      <c r="K506" s="387">
        <f t="shared" si="46"/>
        <v>10576.93</v>
      </c>
    </row>
    <row r="507" spans="1:11" ht="47.25">
      <c r="A507" s="384">
        <v>143</v>
      </c>
      <c r="B507" s="141"/>
      <c r="C507" s="158" t="s">
        <v>713</v>
      </c>
      <c r="D507" s="27" t="s">
        <v>206</v>
      </c>
      <c r="E507" s="110">
        <v>2</v>
      </c>
      <c r="F507" s="133"/>
      <c r="G507" s="133"/>
      <c r="H507" s="133"/>
      <c r="I507" s="133"/>
      <c r="J507" s="129">
        <v>380780.1</v>
      </c>
      <c r="K507" s="387">
        <f t="shared" si="46"/>
        <v>761560.2</v>
      </c>
    </row>
    <row r="508" spans="1:11" ht="47.25">
      <c r="A508" s="395">
        <v>144</v>
      </c>
      <c r="B508" s="141"/>
      <c r="C508" s="126" t="s">
        <v>714</v>
      </c>
      <c r="D508" s="27" t="s">
        <v>67</v>
      </c>
      <c r="E508" s="110">
        <v>0.5</v>
      </c>
      <c r="F508" s="133"/>
      <c r="G508" s="133"/>
      <c r="H508" s="133"/>
      <c r="I508" s="133"/>
      <c r="J508" s="129">
        <v>659661.30000000005</v>
      </c>
      <c r="K508" s="387">
        <f t="shared" si="46"/>
        <v>329830.65000000002</v>
      </c>
    </row>
    <row r="509" spans="1:11" ht="31.5">
      <c r="A509" s="384">
        <v>145</v>
      </c>
      <c r="B509" s="141"/>
      <c r="C509" s="126" t="s">
        <v>715</v>
      </c>
      <c r="D509" s="27" t="s">
        <v>206</v>
      </c>
      <c r="E509" s="110">
        <v>2</v>
      </c>
      <c r="F509" s="133"/>
      <c r="G509" s="133"/>
      <c r="H509" s="133"/>
      <c r="I509" s="133"/>
      <c r="J509" s="168">
        <v>290563.20000000001</v>
      </c>
      <c r="K509" s="387">
        <f t="shared" si="46"/>
        <v>581126.40000000002</v>
      </c>
    </row>
    <row r="510" spans="1:11" ht="47.25">
      <c r="A510" s="395">
        <v>146</v>
      </c>
      <c r="B510" s="141"/>
      <c r="C510" s="126" t="s">
        <v>716</v>
      </c>
      <c r="D510" s="27" t="s">
        <v>206</v>
      </c>
      <c r="E510" s="110">
        <v>1</v>
      </c>
      <c r="F510" s="133"/>
      <c r="G510" s="133"/>
      <c r="H510" s="133"/>
      <c r="I510" s="133"/>
      <c r="J510" s="129">
        <v>84110.399999999994</v>
      </c>
      <c r="K510" s="387">
        <f t="shared" si="46"/>
        <v>84110.399999999994</v>
      </c>
    </row>
    <row r="511" spans="1:11" ht="31.5">
      <c r="A511" s="384">
        <v>147</v>
      </c>
      <c r="B511" s="141"/>
      <c r="C511" s="126" t="s">
        <v>717</v>
      </c>
      <c r="D511" s="27" t="s">
        <v>67</v>
      </c>
      <c r="E511" s="110">
        <v>1</v>
      </c>
      <c r="F511" s="133"/>
      <c r="G511" s="133"/>
      <c r="H511" s="133"/>
      <c r="I511" s="133"/>
      <c r="J511" s="129">
        <v>484744</v>
      </c>
      <c r="K511" s="387">
        <f t="shared" si="46"/>
        <v>484744</v>
      </c>
    </row>
    <row r="512" spans="1:11">
      <c r="A512" s="395">
        <v>148</v>
      </c>
      <c r="B512" s="141"/>
      <c r="C512" s="126" t="s">
        <v>574</v>
      </c>
      <c r="D512" s="27" t="s">
        <v>206</v>
      </c>
      <c r="E512" s="110">
        <v>20</v>
      </c>
      <c r="F512" s="133"/>
      <c r="G512" s="133"/>
      <c r="H512" s="133"/>
      <c r="I512" s="133"/>
      <c r="J512" s="129">
        <v>2867.4</v>
      </c>
      <c r="K512" s="387">
        <f t="shared" si="46"/>
        <v>57348</v>
      </c>
    </row>
    <row r="513" spans="1:11" ht="31.5">
      <c r="A513" s="384">
        <v>149</v>
      </c>
      <c r="B513" s="141"/>
      <c r="C513" s="142" t="s">
        <v>718</v>
      </c>
      <c r="D513" s="27" t="s">
        <v>67</v>
      </c>
      <c r="E513" s="110">
        <v>1</v>
      </c>
      <c r="F513" s="133"/>
      <c r="G513" s="133"/>
      <c r="H513" s="133"/>
      <c r="I513" s="133"/>
      <c r="J513" s="168">
        <v>122720</v>
      </c>
      <c r="K513" s="387">
        <f t="shared" si="46"/>
        <v>122720</v>
      </c>
    </row>
    <row r="514" spans="1:11" ht="31.5">
      <c r="A514" s="395">
        <v>150</v>
      </c>
      <c r="B514" s="141"/>
      <c r="C514" s="142" t="s">
        <v>719</v>
      </c>
      <c r="D514" s="27" t="s">
        <v>67</v>
      </c>
      <c r="E514" s="110">
        <v>1</v>
      </c>
      <c r="F514" s="133"/>
      <c r="G514" s="133"/>
      <c r="H514" s="133"/>
      <c r="I514" s="133"/>
      <c r="J514" s="168">
        <v>208624</v>
      </c>
      <c r="K514" s="387">
        <f t="shared" si="46"/>
        <v>208624</v>
      </c>
    </row>
    <row r="515" spans="1:11" ht="31.5">
      <c r="A515" s="384">
        <v>151</v>
      </c>
      <c r="B515" s="141"/>
      <c r="C515" s="142" t="s">
        <v>720</v>
      </c>
      <c r="D515" s="27" t="s">
        <v>67</v>
      </c>
      <c r="E515" s="110">
        <v>1</v>
      </c>
      <c r="F515" s="133"/>
      <c r="G515" s="133"/>
      <c r="H515" s="133"/>
      <c r="I515" s="133"/>
      <c r="J515" s="168">
        <v>306800</v>
      </c>
      <c r="K515" s="387">
        <f t="shared" si="46"/>
        <v>306800</v>
      </c>
    </row>
    <row r="516" spans="1:11" ht="47.25">
      <c r="A516" s="395">
        <v>152</v>
      </c>
      <c r="B516" s="141"/>
      <c r="C516" s="142" t="s">
        <v>721</v>
      </c>
      <c r="D516" s="27" t="s">
        <v>206</v>
      </c>
      <c r="E516" s="110">
        <v>3</v>
      </c>
      <c r="F516" s="133"/>
      <c r="G516" s="133"/>
      <c r="H516" s="133"/>
      <c r="I516" s="133"/>
      <c r="J516" s="129">
        <v>101898.9</v>
      </c>
      <c r="K516" s="387">
        <f t="shared" si="46"/>
        <v>305696.69999999995</v>
      </c>
    </row>
    <row r="517" spans="1:11">
      <c r="A517" s="384">
        <v>153</v>
      </c>
      <c r="B517" s="141"/>
      <c r="C517" s="142" t="s">
        <v>722</v>
      </c>
      <c r="D517" s="27" t="s">
        <v>648</v>
      </c>
      <c r="E517" s="110">
        <v>3135</v>
      </c>
      <c r="F517" s="133"/>
      <c r="G517" s="133"/>
      <c r="H517" s="133"/>
      <c r="I517" s="133"/>
      <c r="J517" s="129">
        <v>0</v>
      </c>
      <c r="K517" s="387">
        <f t="shared" si="46"/>
        <v>0</v>
      </c>
    </row>
    <row r="518" spans="1:11">
      <c r="A518" s="133"/>
      <c r="B518" s="169" t="s">
        <v>82</v>
      </c>
      <c r="C518" s="170"/>
      <c r="D518" s="170"/>
      <c r="E518" s="170"/>
      <c r="F518" s="170"/>
      <c r="G518" s="170"/>
      <c r="H518" s="170"/>
      <c r="I518" s="170"/>
      <c r="J518" s="171"/>
      <c r="K518" s="172">
        <f>SUM(K500:K517)</f>
        <v>3817724.5049999999</v>
      </c>
    </row>
    <row r="519" spans="1:11">
      <c r="A519" s="173" t="s">
        <v>723</v>
      </c>
      <c r="B519" s="174"/>
      <c r="C519" s="174"/>
      <c r="D519" s="174"/>
      <c r="E519" s="174"/>
      <c r="F519" s="174"/>
      <c r="G519" s="174"/>
      <c r="H519" s="174"/>
      <c r="I519" s="174"/>
      <c r="J519" s="174"/>
      <c r="K519" s="175"/>
    </row>
    <row r="520" spans="1:11" ht="45">
      <c r="A520" s="384">
        <v>154</v>
      </c>
      <c r="B520" s="397"/>
      <c r="C520" s="398" t="s">
        <v>724</v>
      </c>
      <c r="D520" s="124" t="s">
        <v>40</v>
      </c>
      <c r="E520" s="11">
        <v>4</v>
      </c>
      <c r="F520" s="399"/>
      <c r="G520" s="399"/>
      <c r="H520" s="399"/>
      <c r="I520" s="399"/>
      <c r="J520" s="11">
        <v>179286.22</v>
      </c>
      <c r="K520" s="400">
        <f>J520*E520</f>
        <v>717144.88</v>
      </c>
    </row>
    <row r="521" spans="1:11">
      <c r="A521" s="401" t="s">
        <v>82</v>
      </c>
      <c r="B521" s="401"/>
      <c r="C521" s="401"/>
      <c r="D521" s="401"/>
      <c r="E521" s="401"/>
      <c r="F521" s="401"/>
      <c r="G521" s="401"/>
      <c r="H521" s="401"/>
      <c r="I521" s="401"/>
      <c r="J521" s="401"/>
      <c r="K521" s="402">
        <f>SUM(K520:K520)</f>
        <v>717144.88</v>
      </c>
    </row>
    <row r="522" spans="1:11">
      <c r="A522" s="367"/>
      <c r="B522" s="369"/>
      <c r="C522" s="370"/>
      <c r="D522" s="370"/>
      <c r="E522" s="367"/>
      <c r="F522" s="367"/>
      <c r="G522" s="367"/>
      <c r="H522" s="367"/>
      <c r="I522" s="367"/>
      <c r="K522" s="367"/>
    </row>
    <row r="523" spans="1:11">
      <c r="A523" s="176" t="s">
        <v>725</v>
      </c>
      <c r="B523" s="176"/>
      <c r="C523" s="176"/>
      <c r="D523" s="176"/>
      <c r="E523" s="176"/>
      <c r="F523" s="176"/>
      <c r="G523" s="176"/>
      <c r="H523" s="176"/>
      <c r="I523" s="176"/>
      <c r="J523" s="176"/>
      <c r="K523" s="176"/>
    </row>
    <row r="524" spans="1:11" ht="31.5">
      <c r="A524" s="177">
        <v>1</v>
      </c>
      <c r="B524" s="178"/>
      <c r="C524" s="108" t="s">
        <v>726</v>
      </c>
      <c r="D524" s="109" t="s">
        <v>40</v>
      </c>
      <c r="E524" s="109">
        <v>1</v>
      </c>
      <c r="F524" s="179"/>
      <c r="G524" s="179"/>
      <c r="H524" s="179"/>
      <c r="I524" s="179"/>
      <c r="J524" s="135">
        <v>2000</v>
      </c>
      <c r="K524" s="180">
        <f>J524*E524</f>
        <v>2000</v>
      </c>
    </row>
    <row r="525" spans="1:11">
      <c r="A525" s="177">
        <v>2</v>
      </c>
      <c r="B525" s="115" t="s">
        <v>727</v>
      </c>
      <c r="C525" s="108" t="s">
        <v>728</v>
      </c>
      <c r="D525" s="109" t="s">
        <v>40</v>
      </c>
      <c r="E525" s="109">
        <v>6</v>
      </c>
      <c r="F525" s="179"/>
      <c r="G525" s="179"/>
      <c r="H525" s="179"/>
      <c r="I525" s="179"/>
      <c r="J525" s="135">
        <v>681.68</v>
      </c>
      <c r="K525" s="180">
        <f t="shared" ref="K525:K553" si="47">J525*E525</f>
        <v>4090.08</v>
      </c>
    </row>
    <row r="526" spans="1:11">
      <c r="A526" s="177">
        <v>3</v>
      </c>
      <c r="B526" s="115" t="s">
        <v>729</v>
      </c>
      <c r="C526" s="108" t="s">
        <v>730</v>
      </c>
      <c r="D526" s="109" t="s">
        <v>40</v>
      </c>
      <c r="E526" s="109">
        <v>6</v>
      </c>
      <c r="F526" s="179"/>
      <c r="G526" s="179"/>
      <c r="H526" s="179"/>
      <c r="I526" s="179"/>
      <c r="J526" s="135">
        <v>826.82</v>
      </c>
      <c r="K526" s="180">
        <f t="shared" si="47"/>
        <v>4960.92</v>
      </c>
    </row>
    <row r="527" spans="1:11">
      <c r="A527" s="177">
        <v>4</v>
      </c>
      <c r="B527" s="115" t="s">
        <v>310</v>
      </c>
      <c r="C527" s="108" t="s">
        <v>731</v>
      </c>
      <c r="D527" s="109" t="s">
        <v>40</v>
      </c>
      <c r="E527" s="109">
        <v>6</v>
      </c>
      <c r="F527" s="179"/>
      <c r="G527" s="179"/>
      <c r="H527" s="179"/>
      <c r="I527" s="179"/>
      <c r="J527" s="135">
        <v>1755.85</v>
      </c>
      <c r="K527" s="180">
        <f t="shared" si="47"/>
        <v>10535.099999999999</v>
      </c>
    </row>
    <row r="528" spans="1:11">
      <c r="A528" s="177">
        <v>5</v>
      </c>
      <c r="B528" s="115" t="s">
        <v>732</v>
      </c>
      <c r="C528" s="108" t="s">
        <v>733</v>
      </c>
      <c r="D528" s="109" t="s">
        <v>734</v>
      </c>
      <c r="E528" s="110">
        <v>3</v>
      </c>
      <c r="F528" s="179"/>
      <c r="G528" s="179"/>
      <c r="H528" s="179"/>
      <c r="I528" s="179"/>
      <c r="J528" s="135">
        <v>749.47</v>
      </c>
      <c r="K528" s="180">
        <f t="shared" si="47"/>
        <v>2248.41</v>
      </c>
    </row>
    <row r="529" spans="1:11">
      <c r="A529" s="177">
        <v>6</v>
      </c>
      <c r="B529" s="141" t="s">
        <v>735</v>
      </c>
      <c r="C529" s="108" t="s">
        <v>736</v>
      </c>
      <c r="D529" s="109" t="s">
        <v>40</v>
      </c>
      <c r="E529" s="110">
        <v>2</v>
      </c>
      <c r="F529" s="179"/>
      <c r="G529" s="179"/>
      <c r="H529" s="179"/>
      <c r="I529" s="179"/>
      <c r="J529" s="135">
        <v>2840</v>
      </c>
      <c r="K529" s="180">
        <f t="shared" si="47"/>
        <v>5680</v>
      </c>
    </row>
    <row r="530" spans="1:11">
      <c r="A530" s="177">
        <v>7</v>
      </c>
      <c r="B530" s="115"/>
      <c r="C530" s="108" t="s">
        <v>737</v>
      </c>
      <c r="D530" s="109" t="s">
        <v>40</v>
      </c>
      <c r="E530" s="110">
        <v>4</v>
      </c>
      <c r="F530" s="179"/>
      <c r="G530" s="179"/>
      <c r="H530" s="179"/>
      <c r="I530" s="179"/>
      <c r="J530" s="135">
        <v>1817.82</v>
      </c>
      <c r="K530" s="180">
        <f t="shared" si="47"/>
        <v>7271.28</v>
      </c>
    </row>
    <row r="531" spans="1:11">
      <c r="A531" s="177">
        <v>8</v>
      </c>
      <c r="B531" s="181"/>
      <c r="C531" s="108" t="s">
        <v>738</v>
      </c>
      <c r="D531" s="109" t="s">
        <v>40</v>
      </c>
      <c r="E531" s="110">
        <v>1</v>
      </c>
      <c r="F531" s="179"/>
      <c r="G531" s="179"/>
      <c r="H531" s="179"/>
      <c r="I531" s="179"/>
      <c r="J531" s="135">
        <v>8437</v>
      </c>
      <c r="K531" s="180">
        <f t="shared" si="47"/>
        <v>8437</v>
      </c>
    </row>
    <row r="532" spans="1:11">
      <c r="A532" s="177">
        <v>9</v>
      </c>
      <c r="B532" s="141" t="s">
        <v>739</v>
      </c>
      <c r="C532" s="108" t="s">
        <v>740</v>
      </c>
      <c r="D532" s="109" t="s">
        <v>40</v>
      </c>
      <c r="E532" s="110">
        <v>1</v>
      </c>
      <c r="F532" s="179"/>
      <c r="G532" s="179"/>
      <c r="H532" s="179"/>
      <c r="I532" s="179"/>
      <c r="J532" s="135">
        <v>18000</v>
      </c>
      <c r="K532" s="180">
        <f t="shared" si="47"/>
        <v>18000</v>
      </c>
    </row>
    <row r="533" spans="1:11">
      <c r="A533" s="177">
        <v>10</v>
      </c>
      <c r="B533" s="181"/>
      <c r="C533" s="108" t="s">
        <v>741</v>
      </c>
      <c r="D533" s="109" t="s">
        <v>40</v>
      </c>
      <c r="E533" s="110">
        <v>2</v>
      </c>
      <c r="F533" s="179"/>
      <c r="G533" s="179"/>
      <c r="H533" s="179"/>
      <c r="I533" s="179"/>
      <c r="J533" s="135">
        <v>3375</v>
      </c>
      <c r="K533" s="180">
        <f t="shared" si="47"/>
        <v>6750</v>
      </c>
    </row>
    <row r="534" spans="1:11">
      <c r="A534" s="177">
        <v>11</v>
      </c>
      <c r="B534" s="115" t="s">
        <v>742</v>
      </c>
      <c r="C534" s="108" t="s">
        <v>743</v>
      </c>
      <c r="D534" s="109" t="s">
        <v>734</v>
      </c>
      <c r="E534" s="110">
        <v>5</v>
      </c>
      <c r="F534" s="179"/>
      <c r="G534" s="179"/>
      <c r="H534" s="179"/>
      <c r="I534" s="179"/>
      <c r="J534" s="135">
        <v>749.47</v>
      </c>
      <c r="K534" s="180">
        <f t="shared" si="47"/>
        <v>3747.3500000000004</v>
      </c>
    </row>
    <row r="535" spans="1:11" ht="31.5">
      <c r="A535" s="177">
        <v>12</v>
      </c>
      <c r="B535" s="182"/>
      <c r="C535" s="117" t="s">
        <v>744</v>
      </c>
      <c r="D535" s="109" t="s">
        <v>40</v>
      </c>
      <c r="E535" s="110">
        <v>1</v>
      </c>
      <c r="F535" s="179"/>
      <c r="G535" s="179"/>
      <c r="H535" s="179"/>
      <c r="I535" s="179"/>
      <c r="J535" s="135">
        <v>14142.1</v>
      </c>
      <c r="K535" s="180">
        <f t="shared" si="47"/>
        <v>14142.1</v>
      </c>
    </row>
    <row r="536" spans="1:11" ht="47.25">
      <c r="A536" s="177">
        <v>13</v>
      </c>
      <c r="B536" s="134" t="s">
        <v>745</v>
      </c>
      <c r="C536" s="117" t="s">
        <v>746</v>
      </c>
      <c r="D536" s="109" t="s">
        <v>40</v>
      </c>
      <c r="E536" s="110">
        <v>1</v>
      </c>
      <c r="F536" s="179"/>
      <c r="G536" s="179"/>
      <c r="H536" s="179"/>
      <c r="I536" s="179"/>
      <c r="J536" s="135">
        <v>3359.6</v>
      </c>
      <c r="K536" s="180">
        <f t="shared" si="47"/>
        <v>3359.6</v>
      </c>
    </row>
    <row r="537" spans="1:11" ht="31.5">
      <c r="A537" s="177">
        <v>14</v>
      </c>
      <c r="B537" s="134" t="s">
        <v>747</v>
      </c>
      <c r="C537" s="117" t="s">
        <v>748</v>
      </c>
      <c r="D537" s="109" t="s">
        <v>40</v>
      </c>
      <c r="E537" s="110">
        <v>2</v>
      </c>
      <c r="F537" s="179"/>
      <c r="G537" s="179"/>
      <c r="H537" s="179"/>
      <c r="I537" s="179"/>
      <c r="J537" s="135">
        <v>12689.3</v>
      </c>
      <c r="K537" s="180">
        <f t="shared" si="47"/>
        <v>25378.6</v>
      </c>
    </row>
    <row r="538" spans="1:11" ht="31.5">
      <c r="A538" s="177">
        <v>15</v>
      </c>
      <c r="B538" s="182"/>
      <c r="C538" s="117" t="s">
        <v>749</v>
      </c>
      <c r="D538" s="109" t="s">
        <v>40</v>
      </c>
      <c r="E538" s="110">
        <v>3</v>
      </c>
      <c r="F538" s="179"/>
      <c r="G538" s="179"/>
      <c r="H538" s="179"/>
      <c r="I538" s="179"/>
      <c r="J538" s="135">
        <v>9624.7999999999993</v>
      </c>
      <c r="K538" s="180">
        <f t="shared" si="47"/>
        <v>28874.399999999998</v>
      </c>
    </row>
    <row r="539" spans="1:11" ht="31.5">
      <c r="A539" s="177">
        <v>16</v>
      </c>
      <c r="B539" s="134" t="s">
        <v>750</v>
      </c>
      <c r="C539" s="117" t="s">
        <v>751</v>
      </c>
      <c r="D539" s="109" t="s">
        <v>40</v>
      </c>
      <c r="E539" s="110">
        <v>1</v>
      </c>
      <c r="F539" s="179"/>
      <c r="G539" s="179"/>
      <c r="H539" s="179"/>
      <c r="I539" s="179"/>
      <c r="J539" s="135">
        <v>7888.25</v>
      </c>
      <c r="K539" s="180">
        <f t="shared" si="47"/>
        <v>7888.25</v>
      </c>
    </row>
    <row r="540" spans="1:11" ht="31.5">
      <c r="A540" s="177">
        <v>17</v>
      </c>
      <c r="B540" s="134" t="s">
        <v>752</v>
      </c>
      <c r="C540" s="117" t="s">
        <v>753</v>
      </c>
      <c r="D540" s="109" t="s">
        <v>40</v>
      </c>
      <c r="E540" s="110">
        <v>2</v>
      </c>
      <c r="F540" s="179"/>
      <c r="G540" s="179"/>
      <c r="H540" s="179"/>
      <c r="I540" s="179"/>
      <c r="J540" s="135">
        <v>5606.9</v>
      </c>
      <c r="K540" s="180">
        <f t="shared" si="47"/>
        <v>11213.8</v>
      </c>
    </row>
    <row r="541" spans="1:11" ht="47.25">
      <c r="A541" s="177">
        <v>18</v>
      </c>
      <c r="B541" s="141" t="s">
        <v>754</v>
      </c>
      <c r="C541" s="108" t="s">
        <v>755</v>
      </c>
      <c r="D541" s="109" t="s">
        <v>40</v>
      </c>
      <c r="E541" s="110">
        <v>10</v>
      </c>
      <c r="F541" s="179"/>
      <c r="G541" s="179"/>
      <c r="H541" s="179"/>
      <c r="I541" s="179"/>
      <c r="J541" s="135">
        <v>2814.8</v>
      </c>
      <c r="K541" s="180">
        <f t="shared" si="47"/>
        <v>28148</v>
      </c>
    </row>
    <row r="542" spans="1:11" ht="31.5">
      <c r="A542" s="177">
        <v>19</v>
      </c>
      <c r="B542" s="181"/>
      <c r="C542" s="108" t="s">
        <v>756</v>
      </c>
      <c r="D542" s="109" t="s">
        <v>40</v>
      </c>
      <c r="E542" s="110">
        <v>1</v>
      </c>
      <c r="F542" s="179"/>
      <c r="G542" s="179"/>
      <c r="H542" s="179"/>
      <c r="I542" s="179"/>
      <c r="J542" s="135">
        <v>11741</v>
      </c>
      <c r="K542" s="130">
        <f t="shared" si="47"/>
        <v>11741</v>
      </c>
    </row>
    <row r="543" spans="1:11">
      <c r="A543" s="177">
        <v>20</v>
      </c>
      <c r="B543" s="181"/>
      <c r="C543" s="142" t="s">
        <v>757</v>
      </c>
      <c r="D543" s="27" t="s">
        <v>40</v>
      </c>
      <c r="E543" s="27">
        <v>1</v>
      </c>
      <c r="F543" s="179"/>
      <c r="G543" s="179"/>
      <c r="H543" s="179"/>
      <c r="I543" s="179"/>
      <c r="J543" s="144">
        <v>353850.59783999994</v>
      </c>
      <c r="K543" s="130">
        <f t="shared" si="47"/>
        <v>353850.59783999994</v>
      </c>
    </row>
    <row r="544" spans="1:11">
      <c r="A544" s="177">
        <v>21</v>
      </c>
      <c r="B544" s="181"/>
      <c r="C544" s="142" t="s">
        <v>758</v>
      </c>
      <c r="D544" s="27" t="s">
        <v>40</v>
      </c>
      <c r="E544" s="27">
        <v>1</v>
      </c>
      <c r="F544" s="179"/>
      <c r="G544" s="179"/>
      <c r="H544" s="179"/>
      <c r="I544" s="179"/>
      <c r="J544" s="147">
        <v>49263.15</v>
      </c>
      <c r="K544" s="130">
        <f t="shared" si="47"/>
        <v>49263.15</v>
      </c>
    </row>
    <row r="545" spans="1:11">
      <c r="A545" s="177">
        <v>22</v>
      </c>
      <c r="B545" s="181"/>
      <c r="C545" s="183" t="s">
        <v>759</v>
      </c>
      <c r="D545" s="5" t="s">
        <v>277</v>
      </c>
      <c r="E545" s="27">
        <v>1</v>
      </c>
      <c r="F545" s="179"/>
      <c r="G545" s="179"/>
      <c r="H545" s="179"/>
      <c r="I545" s="179"/>
      <c r="J545" s="147">
        <v>35385.06</v>
      </c>
      <c r="K545" s="130">
        <f t="shared" si="47"/>
        <v>35385.06</v>
      </c>
    </row>
    <row r="546" spans="1:11">
      <c r="A546" s="177">
        <v>23</v>
      </c>
      <c r="B546" s="181"/>
      <c r="C546" s="183" t="s">
        <v>760</v>
      </c>
      <c r="D546" s="5" t="s">
        <v>277</v>
      </c>
      <c r="E546" s="27">
        <v>4</v>
      </c>
      <c r="F546" s="179"/>
      <c r="G546" s="179"/>
      <c r="H546" s="179"/>
      <c r="I546" s="179"/>
      <c r="J546" s="147">
        <v>3570.97</v>
      </c>
      <c r="K546" s="130">
        <f t="shared" si="47"/>
        <v>14283.88</v>
      </c>
    </row>
    <row r="547" spans="1:11">
      <c r="A547" s="177">
        <v>24</v>
      </c>
      <c r="B547" s="181"/>
      <c r="C547" s="137" t="s">
        <v>761</v>
      </c>
      <c r="D547" s="27" t="s">
        <v>40</v>
      </c>
      <c r="E547" s="184">
        <v>1</v>
      </c>
      <c r="F547" s="179"/>
      <c r="G547" s="179"/>
      <c r="H547" s="179"/>
      <c r="I547" s="179"/>
      <c r="J547" s="27">
        <v>696031.26</v>
      </c>
      <c r="K547" s="130">
        <f t="shared" si="47"/>
        <v>696031.26</v>
      </c>
    </row>
    <row r="548" spans="1:11" ht="94.5">
      <c r="A548" s="177">
        <v>25</v>
      </c>
      <c r="B548" s="181"/>
      <c r="C548" s="137" t="s">
        <v>762</v>
      </c>
      <c r="D548" s="27" t="s">
        <v>277</v>
      </c>
      <c r="E548" s="27">
        <v>1</v>
      </c>
      <c r="F548" s="179"/>
      <c r="G548" s="179"/>
      <c r="H548" s="179"/>
      <c r="I548" s="179"/>
      <c r="J548" s="27">
        <v>174498.4</v>
      </c>
      <c r="K548" s="130">
        <f t="shared" si="47"/>
        <v>174498.4</v>
      </c>
    </row>
    <row r="549" spans="1:11" ht="31.5">
      <c r="A549" s="177">
        <v>26</v>
      </c>
      <c r="B549" s="181"/>
      <c r="C549" s="137" t="s">
        <v>763</v>
      </c>
      <c r="D549" s="27" t="s">
        <v>37</v>
      </c>
      <c r="E549" s="27">
        <v>1</v>
      </c>
      <c r="F549" s="179"/>
      <c r="G549" s="179"/>
      <c r="H549" s="179"/>
      <c r="I549" s="179"/>
      <c r="J549" s="27">
        <v>176509.12</v>
      </c>
      <c r="K549" s="130">
        <f t="shared" si="47"/>
        <v>176509.12</v>
      </c>
    </row>
    <row r="550" spans="1:11" ht="31.5">
      <c r="A550" s="177">
        <v>27</v>
      </c>
      <c r="B550" s="181"/>
      <c r="C550" s="137" t="s">
        <v>764</v>
      </c>
      <c r="D550" s="27" t="s">
        <v>37</v>
      </c>
      <c r="E550" s="27">
        <v>1</v>
      </c>
      <c r="F550" s="179"/>
      <c r="G550" s="179"/>
      <c r="H550" s="179"/>
      <c r="I550" s="179"/>
      <c r="J550" s="27">
        <v>55806.92</v>
      </c>
      <c r="K550" s="130">
        <f t="shared" si="47"/>
        <v>55806.92</v>
      </c>
    </row>
    <row r="551" spans="1:11">
      <c r="A551" s="177">
        <v>28</v>
      </c>
      <c r="B551" s="181"/>
      <c r="C551" s="137" t="s">
        <v>765</v>
      </c>
      <c r="D551" s="27" t="s">
        <v>277</v>
      </c>
      <c r="E551" s="27">
        <v>3</v>
      </c>
      <c r="F551" s="179"/>
      <c r="G551" s="179"/>
      <c r="H551" s="179"/>
      <c r="I551" s="179"/>
      <c r="J551" s="27">
        <v>11633.62</v>
      </c>
      <c r="K551" s="130">
        <f t="shared" si="47"/>
        <v>34900.86</v>
      </c>
    </row>
    <row r="552" spans="1:11">
      <c r="A552" s="177">
        <v>29</v>
      </c>
      <c r="B552" s="181"/>
      <c r="C552" s="137" t="s">
        <v>766</v>
      </c>
      <c r="D552" s="27" t="s">
        <v>277</v>
      </c>
      <c r="E552" s="27">
        <v>6</v>
      </c>
      <c r="F552" s="179"/>
      <c r="G552" s="179"/>
      <c r="H552" s="179"/>
      <c r="I552" s="179"/>
      <c r="J552" s="27">
        <v>4652.74</v>
      </c>
      <c r="K552" s="130">
        <f t="shared" si="47"/>
        <v>27916.44</v>
      </c>
    </row>
    <row r="553" spans="1:11" ht="47.25">
      <c r="A553" s="177">
        <v>30</v>
      </c>
      <c r="B553" s="181"/>
      <c r="C553" s="137" t="s">
        <v>767</v>
      </c>
      <c r="D553" s="27" t="s">
        <v>277</v>
      </c>
      <c r="E553" s="27">
        <v>4</v>
      </c>
      <c r="F553" s="179"/>
      <c r="G553" s="179"/>
      <c r="H553" s="179"/>
      <c r="I553" s="179"/>
      <c r="J553" s="27">
        <v>25016</v>
      </c>
      <c r="K553" s="130">
        <f t="shared" si="47"/>
        <v>100064</v>
      </c>
    </row>
    <row r="554" spans="1:11">
      <c r="A554" s="185"/>
      <c r="B554" s="186" t="s">
        <v>82</v>
      </c>
      <c r="C554" s="186"/>
      <c r="D554" s="186"/>
      <c r="E554" s="186"/>
      <c r="F554" s="186"/>
      <c r="G554" s="186"/>
      <c r="H554" s="186"/>
      <c r="I554" s="186"/>
      <c r="J554" s="186"/>
      <c r="K554" s="187">
        <f>SUM(K524:K553)</f>
        <v>1922975.5778400002</v>
      </c>
    </row>
    <row r="555" spans="1:11">
      <c r="A555" s="177">
        <v>24</v>
      </c>
      <c r="B555" s="188" t="s">
        <v>768</v>
      </c>
      <c r="C555" s="189" t="s">
        <v>769</v>
      </c>
      <c r="D555" s="190" t="s">
        <v>40</v>
      </c>
      <c r="E555" s="146"/>
      <c r="F555" s="191"/>
      <c r="G555" s="191"/>
      <c r="H555" s="191"/>
      <c r="I555" s="192">
        <v>1</v>
      </c>
      <c r="J555" s="403">
        <v>10000</v>
      </c>
      <c r="K555" s="180">
        <f>J555*I555</f>
        <v>10000</v>
      </c>
    </row>
    <row r="556" spans="1:11">
      <c r="A556" s="177">
        <v>25</v>
      </c>
      <c r="B556" s="193" t="s">
        <v>770</v>
      </c>
      <c r="C556" s="108" t="s">
        <v>771</v>
      </c>
      <c r="D556" s="194" t="s">
        <v>40</v>
      </c>
      <c r="E556" s="146"/>
      <c r="F556" s="191"/>
      <c r="G556" s="191"/>
      <c r="H556" s="191"/>
      <c r="I556" s="109">
        <v>1</v>
      </c>
      <c r="J556" s="135">
        <v>3000</v>
      </c>
      <c r="K556" s="180">
        <f t="shared" ref="K556:K565" si="48">J556*I556</f>
        <v>3000</v>
      </c>
    </row>
    <row r="557" spans="1:11" ht="31.5">
      <c r="A557" s="177">
        <v>26</v>
      </c>
      <c r="B557" s="181"/>
      <c r="C557" s="108" t="s">
        <v>772</v>
      </c>
      <c r="D557" s="194" t="s">
        <v>277</v>
      </c>
      <c r="E557" s="146"/>
      <c r="F557" s="191"/>
      <c r="G557" s="191"/>
      <c r="H557" s="191"/>
      <c r="I557" s="109">
        <v>1</v>
      </c>
      <c r="J557" s="135">
        <v>500</v>
      </c>
      <c r="K557" s="180">
        <f t="shared" si="48"/>
        <v>500</v>
      </c>
    </row>
    <row r="558" spans="1:11">
      <c r="A558" s="177">
        <v>27</v>
      </c>
      <c r="B558" s="115" t="s">
        <v>773</v>
      </c>
      <c r="C558" s="108" t="s">
        <v>774</v>
      </c>
      <c r="D558" s="194" t="s">
        <v>40</v>
      </c>
      <c r="E558" s="146"/>
      <c r="F558" s="191"/>
      <c r="G558" s="191"/>
      <c r="H558" s="191"/>
      <c r="I558" s="109">
        <v>1</v>
      </c>
      <c r="J558" s="135">
        <v>5000</v>
      </c>
      <c r="K558" s="180">
        <f t="shared" si="48"/>
        <v>5000</v>
      </c>
    </row>
    <row r="559" spans="1:11">
      <c r="A559" s="177">
        <v>28</v>
      </c>
      <c r="B559" s="188" t="s">
        <v>775</v>
      </c>
      <c r="C559" s="108" t="s">
        <v>776</v>
      </c>
      <c r="D559" s="194" t="s">
        <v>40</v>
      </c>
      <c r="E559" s="146"/>
      <c r="F559" s="191"/>
      <c r="G559" s="191"/>
      <c r="H559" s="191"/>
      <c r="I559" s="109">
        <v>1</v>
      </c>
      <c r="J559" s="135">
        <v>50</v>
      </c>
      <c r="K559" s="180">
        <f t="shared" si="48"/>
        <v>50</v>
      </c>
    </row>
    <row r="560" spans="1:11">
      <c r="A560" s="177">
        <v>29</v>
      </c>
      <c r="B560" s="188" t="s">
        <v>777</v>
      </c>
      <c r="C560" s="108" t="s">
        <v>778</v>
      </c>
      <c r="D560" s="194" t="s">
        <v>40</v>
      </c>
      <c r="E560" s="146"/>
      <c r="F560" s="191"/>
      <c r="G560" s="191"/>
      <c r="H560" s="191"/>
      <c r="I560" s="109">
        <v>1</v>
      </c>
      <c r="J560" s="135">
        <v>5</v>
      </c>
      <c r="K560" s="180">
        <f t="shared" si="48"/>
        <v>5</v>
      </c>
    </row>
    <row r="561" spans="1:15" ht="31.5">
      <c r="A561" s="177">
        <v>30</v>
      </c>
      <c r="B561" s="181"/>
      <c r="C561" s="108" t="s">
        <v>779</v>
      </c>
      <c r="D561" s="109" t="s">
        <v>40</v>
      </c>
      <c r="E561" s="146"/>
      <c r="F561" s="191"/>
      <c r="G561" s="191"/>
      <c r="H561" s="191"/>
      <c r="I561" s="109">
        <v>1</v>
      </c>
      <c r="J561" s="135">
        <v>150</v>
      </c>
      <c r="K561" s="180">
        <f t="shared" si="48"/>
        <v>150</v>
      </c>
    </row>
    <row r="562" spans="1:15" ht="31.5">
      <c r="A562" s="177">
        <v>31</v>
      </c>
      <c r="B562" s="181"/>
      <c r="C562" s="108" t="s">
        <v>780</v>
      </c>
      <c r="D562" s="109" t="s">
        <v>40</v>
      </c>
      <c r="E562" s="146"/>
      <c r="F562" s="191"/>
      <c r="G562" s="191"/>
      <c r="H562" s="191"/>
      <c r="I562" s="109">
        <v>1</v>
      </c>
      <c r="J562" s="135">
        <v>100</v>
      </c>
      <c r="K562" s="180">
        <f t="shared" si="48"/>
        <v>100</v>
      </c>
    </row>
    <row r="563" spans="1:15">
      <c r="A563" s="177">
        <v>32</v>
      </c>
      <c r="B563" s="115" t="s">
        <v>732</v>
      </c>
      <c r="C563" s="108" t="s">
        <v>733</v>
      </c>
      <c r="D563" s="109" t="s">
        <v>734</v>
      </c>
      <c r="E563" s="146"/>
      <c r="F563" s="191"/>
      <c r="G563" s="191"/>
      <c r="H563" s="191"/>
      <c r="I563" s="110">
        <v>3</v>
      </c>
      <c r="J563" s="135">
        <v>749.47</v>
      </c>
      <c r="K563" s="180">
        <f t="shared" si="48"/>
        <v>2248.41</v>
      </c>
    </row>
    <row r="564" spans="1:15">
      <c r="A564" s="177">
        <v>33</v>
      </c>
      <c r="B564" s="115"/>
      <c r="C564" s="108" t="s">
        <v>737</v>
      </c>
      <c r="D564" s="109" t="s">
        <v>40</v>
      </c>
      <c r="E564" s="191"/>
      <c r="F564" s="191"/>
      <c r="G564" s="191"/>
      <c r="H564" s="191"/>
      <c r="I564" s="110">
        <v>2</v>
      </c>
      <c r="J564" s="135">
        <v>1817.82</v>
      </c>
      <c r="K564" s="180">
        <f t="shared" si="48"/>
        <v>3635.64</v>
      </c>
    </row>
    <row r="565" spans="1:15">
      <c r="A565" s="177">
        <v>34</v>
      </c>
      <c r="B565" s="115" t="s">
        <v>742</v>
      </c>
      <c r="C565" s="108" t="s">
        <v>743</v>
      </c>
      <c r="D565" s="109" t="s">
        <v>734</v>
      </c>
      <c r="E565" s="191"/>
      <c r="F565" s="191"/>
      <c r="G565" s="191"/>
      <c r="H565" s="191"/>
      <c r="I565" s="110">
        <v>1</v>
      </c>
      <c r="J565" s="135">
        <v>749.47</v>
      </c>
      <c r="K565" s="180">
        <f t="shared" si="48"/>
        <v>749.47</v>
      </c>
    </row>
    <row r="566" spans="1:15">
      <c r="A566" s="169" t="s">
        <v>82</v>
      </c>
      <c r="B566" s="170"/>
      <c r="C566" s="170"/>
      <c r="D566" s="170"/>
      <c r="E566" s="170"/>
      <c r="F566" s="170"/>
      <c r="G566" s="170"/>
      <c r="H566" s="170"/>
      <c r="I566" s="170"/>
      <c r="J566" s="171"/>
      <c r="K566" s="394">
        <f>SUM(K555:K565)</f>
        <v>25438.52</v>
      </c>
    </row>
    <row r="567" spans="1:15">
      <c r="A567" s="367"/>
      <c r="B567" s="369"/>
      <c r="C567" s="370"/>
      <c r="D567" s="370"/>
      <c r="E567" s="367"/>
      <c r="F567" s="367"/>
      <c r="G567" s="367"/>
      <c r="H567" s="367"/>
      <c r="I567" s="367"/>
      <c r="J567" s="367"/>
      <c r="K567" s="367"/>
    </row>
    <row r="568" spans="1:15">
      <c r="A568" s="367"/>
      <c r="B568" s="369"/>
      <c r="C568" s="370"/>
      <c r="D568" s="370"/>
      <c r="E568" s="367"/>
      <c r="F568" s="367"/>
      <c r="G568" s="367"/>
      <c r="H568" s="367"/>
      <c r="I568" s="367"/>
      <c r="J568" s="367"/>
      <c r="K568" s="367"/>
    </row>
    <row r="569" spans="1:15">
      <c r="A569" s="367"/>
      <c r="B569" s="369"/>
      <c r="C569" s="370" t="s">
        <v>519</v>
      </c>
      <c r="D569" s="370"/>
      <c r="E569" s="367"/>
      <c r="F569" s="367" t="s">
        <v>520</v>
      </c>
      <c r="G569" s="367"/>
      <c r="H569" s="367"/>
      <c r="I569" s="367"/>
      <c r="J569" s="367" t="s">
        <v>521</v>
      </c>
      <c r="K569" s="367"/>
    </row>
    <row r="570" spans="1:15">
      <c r="A570" s="367"/>
      <c r="B570" s="369"/>
      <c r="C570" s="370"/>
      <c r="D570" s="370"/>
      <c r="E570" s="367"/>
      <c r="F570" s="367"/>
      <c r="G570" s="367"/>
      <c r="H570" s="367"/>
      <c r="I570" s="367"/>
      <c r="J570" s="367"/>
      <c r="K570" s="367"/>
    </row>
    <row r="571" spans="1:15">
      <c r="A571" s="367"/>
      <c r="B571" s="369"/>
      <c r="C571" s="370"/>
      <c r="D571" s="370"/>
      <c r="E571" s="367"/>
      <c r="F571" s="367"/>
      <c r="G571" s="367"/>
      <c r="H571" s="367"/>
      <c r="I571" s="367"/>
      <c r="J571" s="367"/>
      <c r="K571" s="367"/>
    </row>
    <row r="573" spans="1:15">
      <c r="A573" s="404" t="s">
        <v>781</v>
      </c>
      <c r="B573" s="404"/>
      <c r="C573" s="404"/>
      <c r="D573" s="404"/>
      <c r="E573" s="404"/>
      <c r="F573" s="404"/>
      <c r="G573" s="404"/>
      <c r="H573" s="404"/>
      <c r="I573" s="404"/>
      <c r="J573" s="404"/>
      <c r="K573" s="404"/>
      <c r="L573" s="404"/>
      <c r="M573" s="404"/>
      <c r="N573" s="404"/>
      <c r="O573" s="404"/>
    </row>
    <row r="574" spans="1:15">
      <c r="A574" s="405" t="s">
        <v>782</v>
      </c>
      <c r="B574" s="405"/>
      <c r="C574" s="406" t="s">
        <v>783</v>
      </c>
      <c r="D574" s="407" t="s">
        <v>784</v>
      </c>
      <c r="E574" s="407"/>
      <c r="F574" s="407"/>
      <c r="G574" s="407"/>
      <c r="H574" s="407"/>
      <c r="I574" s="407"/>
      <c r="J574" s="407"/>
      <c r="K574" s="407"/>
      <c r="L574" s="407"/>
      <c r="M574" s="407"/>
      <c r="N574" s="407"/>
      <c r="O574" s="407"/>
    </row>
    <row r="575" spans="1:15">
      <c r="A575" s="405" t="s">
        <v>785</v>
      </c>
      <c r="B575" s="405"/>
      <c r="C575" s="406" t="s">
        <v>786</v>
      </c>
      <c r="D575" s="407"/>
      <c r="E575" s="407"/>
      <c r="F575" s="407"/>
      <c r="G575" s="407"/>
      <c r="H575" s="407"/>
      <c r="I575" s="407"/>
      <c r="J575" s="407"/>
      <c r="K575" s="407"/>
      <c r="L575" s="407"/>
      <c r="M575" s="407"/>
      <c r="N575" s="407"/>
      <c r="O575" s="407"/>
    </row>
    <row r="576" spans="1:15">
      <c r="A576" s="408" t="s">
        <v>787</v>
      </c>
      <c r="B576" s="408" t="s">
        <v>788</v>
      </c>
      <c r="C576" s="409" t="s">
        <v>789</v>
      </c>
      <c r="D576" s="410" t="s">
        <v>790</v>
      </c>
      <c r="E576" s="411" t="s">
        <v>120</v>
      </c>
      <c r="F576" s="405" t="s">
        <v>121</v>
      </c>
      <c r="G576" s="405"/>
      <c r="H576" s="405" t="s">
        <v>122</v>
      </c>
      <c r="I576" s="405"/>
      <c r="J576" s="405" t="s">
        <v>123</v>
      </c>
      <c r="K576" s="405"/>
      <c r="L576" s="405" t="s">
        <v>1</v>
      </c>
      <c r="M576" s="405"/>
      <c r="N576" s="405" t="s">
        <v>0</v>
      </c>
      <c r="O576" s="405"/>
    </row>
    <row r="577" spans="1:15" ht="63">
      <c r="A577" s="408"/>
      <c r="B577" s="408"/>
      <c r="C577" s="409"/>
      <c r="D577" s="410"/>
      <c r="E577" s="412"/>
      <c r="F577" s="413" t="s">
        <v>125</v>
      </c>
      <c r="G577" s="414" t="s">
        <v>126</v>
      </c>
      <c r="H577" s="413" t="s">
        <v>125</v>
      </c>
      <c r="I577" s="413" t="s">
        <v>126</v>
      </c>
      <c r="J577" s="413" t="s">
        <v>125</v>
      </c>
      <c r="K577" s="413" t="s">
        <v>126</v>
      </c>
      <c r="L577" s="413" t="s">
        <v>125</v>
      </c>
      <c r="M577" s="413" t="s">
        <v>126</v>
      </c>
      <c r="N577" s="413" t="s">
        <v>125</v>
      </c>
      <c r="O577" s="413" t="s">
        <v>126</v>
      </c>
    </row>
    <row r="578" spans="1:15">
      <c r="A578" s="415"/>
      <c r="B578" s="416"/>
      <c r="C578" s="417" t="s">
        <v>791</v>
      </c>
      <c r="D578" s="418"/>
      <c r="E578" s="419"/>
      <c r="F578" s="420"/>
      <c r="G578" s="419"/>
      <c r="H578" s="420"/>
      <c r="I578" s="419"/>
      <c r="J578" s="420"/>
      <c r="K578" s="420"/>
      <c r="L578" s="420"/>
      <c r="M578" s="420"/>
      <c r="N578" s="420"/>
      <c r="O578" s="420"/>
    </row>
    <row r="579" spans="1:15" ht="31.5">
      <c r="A579" s="421">
        <v>1</v>
      </c>
      <c r="B579" s="422" t="s">
        <v>792</v>
      </c>
      <c r="C579" s="423" t="s">
        <v>793</v>
      </c>
      <c r="D579" s="424" t="s">
        <v>387</v>
      </c>
      <c r="E579" s="425">
        <v>50</v>
      </c>
      <c r="F579" s="426" t="s">
        <v>794</v>
      </c>
      <c r="G579" s="425">
        <f>F579*E579</f>
        <v>38250</v>
      </c>
      <c r="H579" s="425">
        <v>0</v>
      </c>
      <c r="I579" s="425">
        <f>H579*E579</f>
        <v>0</v>
      </c>
      <c r="J579" s="425">
        <v>0</v>
      </c>
      <c r="K579" s="425">
        <f>E579*J579</f>
        <v>0</v>
      </c>
      <c r="L579" s="425">
        <v>0</v>
      </c>
      <c r="M579" s="425">
        <f>E579*L579</f>
        <v>0</v>
      </c>
      <c r="N579" s="425">
        <v>0</v>
      </c>
      <c r="O579" s="425">
        <f>N579*E579</f>
        <v>0</v>
      </c>
    </row>
    <row r="580" spans="1:15" ht="31.5">
      <c r="A580" s="421">
        <v>2</v>
      </c>
      <c r="B580" s="422" t="s">
        <v>392</v>
      </c>
      <c r="C580" s="423" t="s">
        <v>795</v>
      </c>
      <c r="D580" s="424" t="s">
        <v>387</v>
      </c>
      <c r="E580" s="425">
        <v>50</v>
      </c>
      <c r="F580" s="422">
        <v>543</v>
      </c>
      <c r="G580" s="425">
        <f t="shared" ref="G580:G643" si="49">F580*E580</f>
        <v>27150</v>
      </c>
      <c r="H580" s="425">
        <v>0</v>
      </c>
      <c r="I580" s="425">
        <f t="shared" ref="I580:I643" si="50">H580*E580</f>
        <v>0</v>
      </c>
      <c r="J580" s="425">
        <v>0</v>
      </c>
      <c r="K580" s="425">
        <f t="shared" ref="K580:K643" si="51">E580*J580</f>
        <v>0</v>
      </c>
      <c r="L580" s="425">
        <v>0</v>
      </c>
      <c r="M580" s="425">
        <f t="shared" ref="M580:M643" si="52">E580*L580</f>
        <v>0</v>
      </c>
      <c r="N580" s="425">
        <v>0</v>
      </c>
      <c r="O580" s="425">
        <f t="shared" ref="O580:O643" si="53">N580*E580</f>
        <v>0</v>
      </c>
    </row>
    <row r="581" spans="1:15">
      <c r="A581" s="421">
        <v>3</v>
      </c>
      <c r="B581" s="422" t="s">
        <v>796</v>
      </c>
      <c r="C581" s="423" t="s">
        <v>797</v>
      </c>
      <c r="D581" s="424" t="s">
        <v>387</v>
      </c>
      <c r="E581" s="425">
        <v>50</v>
      </c>
      <c r="F581" s="426">
        <v>875</v>
      </c>
      <c r="G581" s="425">
        <f t="shared" si="49"/>
        <v>43750</v>
      </c>
      <c r="H581" s="425">
        <v>0</v>
      </c>
      <c r="I581" s="425">
        <f t="shared" si="50"/>
        <v>0</v>
      </c>
      <c r="J581" s="425">
        <v>0</v>
      </c>
      <c r="K581" s="425">
        <f t="shared" si="51"/>
        <v>0</v>
      </c>
      <c r="L581" s="425">
        <v>0</v>
      </c>
      <c r="M581" s="425">
        <f t="shared" si="52"/>
        <v>0</v>
      </c>
      <c r="N581" s="425">
        <v>0</v>
      </c>
      <c r="O581" s="425">
        <f t="shared" si="53"/>
        <v>0</v>
      </c>
    </row>
    <row r="582" spans="1:15" ht="31.5">
      <c r="A582" s="421">
        <v>4</v>
      </c>
      <c r="B582" s="422"/>
      <c r="C582" s="423" t="s">
        <v>798</v>
      </c>
      <c r="D582" s="424" t="s">
        <v>387</v>
      </c>
      <c r="E582" s="425">
        <v>28.35</v>
      </c>
      <c r="F582" s="422">
        <v>13</v>
      </c>
      <c r="G582" s="425">
        <f t="shared" si="49"/>
        <v>368.55</v>
      </c>
      <c r="H582" s="425">
        <v>0</v>
      </c>
      <c r="I582" s="425">
        <f t="shared" si="50"/>
        <v>0</v>
      </c>
      <c r="J582" s="425">
        <v>0</v>
      </c>
      <c r="K582" s="425">
        <f t="shared" si="51"/>
        <v>0</v>
      </c>
      <c r="L582" s="425">
        <v>0</v>
      </c>
      <c r="M582" s="425">
        <f t="shared" si="52"/>
        <v>0</v>
      </c>
      <c r="N582" s="425">
        <v>0</v>
      </c>
      <c r="O582" s="425">
        <f t="shared" si="53"/>
        <v>0</v>
      </c>
    </row>
    <row r="583" spans="1:15">
      <c r="A583" s="421"/>
      <c r="B583" s="422"/>
      <c r="C583" s="427" t="s">
        <v>799</v>
      </c>
      <c r="D583" s="424"/>
      <c r="E583" s="425"/>
      <c r="F583" s="426"/>
      <c r="G583" s="425">
        <f t="shared" si="49"/>
        <v>0</v>
      </c>
      <c r="H583" s="425"/>
      <c r="I583" s="425">
        <f t="shared" si="50"/>
        <v>0</v>
      </c>
      <c r="J583" s="425"/>
      <c r="K583" s="425">
        <f t="shared" si="51"/>
        <v>0</v>
      </c>
      <c r="L583" s="425"/>
      <c r="M583" s="425">
        <f t="shared" si="52"/>
        <v>0</v>
      </c>
      <c r="N583" s="425"/>
      <c r="O583" s="425">
        <f t="shared" si="53"/>
        <v>0</v>
      </c>
    </row>
    <row r="584" spans="1:15" ht="47.25">
      <c r="A584" s="421">
        <v>5</v>
      </c>
      <c r="B584" s="422" t="s">
        <v>800</v>
      </c>
      <c r="C584" s="428" t="s">
        <v>801</v>
      </c>
      <c r="D584" s="424" t="s">
        <v>40</v>
      </c>
      <c r="E584" s="425">
        <v>5436.65</v>
      </c>
      <c r="F584" s="426" t="s">
        <v>802</v>
      </c>
      <c r="G584" s="425">
        <f t="shared" si="49"/>
        <v>16309.949999999999</v>
      </c>
      <c r="H584" s="425">
        <v>0</v>
      </c>
      <c r="I584" s="425">
        <f t="shared" si="50"/>
        <v>0</v>
      </c>
      <c r="J584" s="425">
        <v>0</v>
      </c>
      <c r="K584" s="425">
        <f t="shared" si="51"/>
        <v>0</v>
      </c>
      <c r="L584" s="425">
        <v>0</v>
      </c>
      <c r="M584" s="425">
        <f t="shared" si="52"/>
        <v>0</v>
      </c>
      <c r="N584" s="425">
        <v>0</v>
      </c>
      <c r="O584" s="425">
        <f t="shared" si="53"/>
        <v>0</v>
      </c>
    </row>
    <row r="585" spans="1:15" ht="47.25">
      <c r="A585" s="421">
        <v>6</v>
      </c>
      <c r="B585" s="422" t="s">
        <v>803</v>
      </c>
      <c r="C585" s="428" t="s">
        <v>804</v>
      </c>
      <c r="D585" s="424" t="s">
        <v>40</v>
      </c>
      <c r="E585" s="425">
        <v>4982.6499999999996</v>
      </c>
      <c r="F585" s="426">
        <v>2</v>
      </c>
      <c r="G585" s="425">
        <f t="shared" si="49"/>
        <v>9965.2999999999993</v>
      </c>
      <c r="H585" s="425">
        <v>0</v>
      </c>
      <c r="I585" s="425">
        <f t="shared" si="50"/>
        <v>0</v>
      </c>
      <c r="J585" s="425">
        <v>0</v>
      </c>
      <c r="K585" s="425">
        <f t="shared" si="51"/>
        <v>0</v>
      </c>
      <c r="L585" s="425">
        <v>0</v>
      </c>
      <c r="M585" s="425">
        <f t="shared" si="52"/>
        <v>0</v>
      </c>
      <c r="N585" s="425">
        <v>0</v>
      </c>
      <c r="O585" s="425">
        <f t="shared" si="53"/>
        <v>0</v>
      </c>
    </row>
    <row r="586" spans="1:15" ht="47.25">
      <c r="A586" s="421">
        <v>7</v>
      </c>
      <c r="B586" s="422" t="s">
        <v>805</v>
      </c>
      <c r="C586" s="428" t="s">
        <v>806</v>
      </c>
      <c r="D586" s="424" t="s">
        <v>40</v>
      </c>
      <c r="E586" s="425">
        <v>4994</v>
      </c>
      <c r="F586" s="426">
        <v>1</v>
      </c>
      <c r="G586" s="425">
        <f t="shared" si="49"/>
        <v>4994</v>
      </c>
      <c r="H586" s="425">
        <v>0</v>
      </c>
      <c r="I586" s="425">
        <f t="shared" si="50"/>
        <v>0</v>
      </c>
      <c r="J586" s="425">
        <v>0</v>
      </c>
      <c r="K586" s="425">
        <f t="shared" si="51"/>
        <v>0</v>
      </c>
      <c r="L586" s="425">
        <v>0</v>
      </c>
      <c r="M586" s="425">
        <f t="shared" si="52"/>
        <v>0</v>
      </c>
      <c r="N586" s="425">
        <v>0</v>
      </c>
      <c r="O586" s="425">
        <f t="shared" si="53"/>
        <v>0</v>
      </c>
    </row>
    <row r="587" spans="1:15" ht="47.25">
      <c r="A587" s="421">
        <v>8</v>
      </c>
      <c r="B587" s="422" t="s">
        <v>807</v>
      </c>
      <c r="C587" s="428" t="s">
        <v>808</v>
      </c>
      <c r="D587" s="424" t="s">
        <v>40</v>
      </c>
      <c r="E587" s="425">
        <v>5096.1499999999996</v>
      </c>
      <c r="F587" s="426">
        <v>1</v>
      </c>
      <c r="G587" s="425">
        <f t="shared" si="49"/>
        <v>5096.1499999999996</v>
      </c>
      <c r="H587" s="425">
        <v>0</v>
      </c>
      <c r="I587" s="425">
        <f t="shared" si="50"/>
        <v>0</v>
      </c>
      <c r="J587" s="425">
        <v>0</v>
      </c>
      <c r="K587" s="425">
        <f t="shared" si="51"/>
        <v>0</v>
      </c>
      <c r="L587" s="425">
        <v>0</v>
      </c>
      <c r="M587" s="425">
        <f t="shared" si="52"/>
        <v>0</v>
      </c>
      <c r="N587" s="425">
        <v>0</v>
      </c>
      <c r="O587" s="425">
        <f t="shared" si="53"/>
        <v>0</v>
      </c>
    </row>
    <row r="588" spans="1:15" ht="47.25">
      <c r="A588" s="421">
        <v>9</v>
      </c>
      <c r="B588" s="422"/>
      <c r="C588" s="428" t="s">
        <v>809</v>
      </c>
      <c r="D588" s="424" t="s">
        <v>40</v>
      </c>
      <c r="E588" s="425">
        <v>5096.1499999999996</v>
      </c>
      <c r="F588" s="426">
        <v>2</v>
      </c>
      <c r="G588" s="425">
        <f t="shared" si="49"/>
        <v>10192.299999999999</v>
      </c>
      <c r="H588" s="425">
        <v>0</v>
      </c>
      <c r="I588" s="425">
        <f t="shared" si="50"/>
        <v>0</v>
      </c>
      <c r="J588" s="425">
        <v>0</v>
      </c>
      <c r="K588" s="425">
        <f t="shared" si="51"/>
        <v>0</v>
      </c>
      <c r="L588" s="425">
        <v>0</v>
      </c>
      <c r="M588" s="425">
        <f t="shared" si="52"/>
        <v>0</v>
      </c>
      <c r="N588" s="425">
        <v>0</v>
      </c>
      <c r="O588" s="425">
        <f t="shared" si="53"/>
        <v>0</v>
      </c>
    </row>
    <row r="589" spans="1:15" ht="47.25">
      <c r="A589" s="421">
        <v>10</v>
      </c>
      <c r="B589" s="422" t="s">
        <v>810</v>
      </c>
      <c r="C589" s="428" t="s">
        <v>811</v>
      </c>
      <c r="D589" s="424" t="s">
        <v>40</v>
      </c>
      <c r="E589" s="425">
        <v>5096.1499999999996</v>
      </c>
      <c r="F589" s="426">
        <v>2</v>
      </c>
      <c r="G589" s="425">
        <f t="shared" si="49"/>
        <v>10192.299999999999</v>
      </c>
      <c r="H589" s="425">
        <v>0</v>
      </c>
      <c r="I589" s="425">
        <f t="shared" si="50"/>
        <v>0</v>
      </c>
      <c r="J589" s="425">
        <v>0</v>
      </c>
      <c r="K589" s="425">
        <f t="shared" si="51"/>
        <v>0</v>
      </c>
      <c r="L589" s="425">
        <v>0</v>
      </c>
      <c r="M589" s="425">
        <f t="shared" si="52"/>
        <v>0</v>
      </c>
      <c r="N589" s="425">
        <v>0</v>
      </c>
      <c r="O589" s="425">
        <f t="shared" si="53"/>
        <v>0</v>
      </c>
    </row>
    <row r="590" spans="1:15" ht="47.25">
      <c r="A590" s="421">
        <v>11</v>
      </c>
      <c r="B590" s="422" t="s">
        <v>812</v>
      </c>
      <c r="C590" s="428" t="s">
        <v>813</v>
      </c>
      <c r="D590" s="424" t="s">
        <v>40</v>
      </c>
      <c r="E590" s="425">
        <v>5050.75</v>
      </c>
      <c r="F590" s="426">
        <v>2</v>
      </c>
      <c r="G590" s="425">
        <f t="shared" si="49"/>
        <v>10101.5</v>
      </c>
      <c r="H590" s="425">
        <v>0</v>
      </c>
      <c r="I590" s="425">
        <f t="shared" si="50"/>
        <v>0</v>
      </c>
      <c r="J590" s="425">
        <v>0</v>
      </c>
      <c r="K590" s="425">
        <f t="shared" si="51"/>
        <v>0</v>
      </c>
      <c r="L590" s="425">
        <v>0</v>
      </c>
      <c r="M590" s="425">
        <f t="shared" si="52"/>
        <v>0</v>
      </c>
      <c r="N590" s="425">
        <v>0</v>
      </c>
      <c r="O590" s="425">
        <f t="shared" si="53"/>
        <v>0</v>
      </c>
    </row>
    <row r="591" spans="1:15" ht="63">
      <c r="A591" s="421">
        <v>12</v>
      </c>
      <c r="B591" s="422" t="s">
        <v>814</v>
      </c>
      <c r="C591" s="428" t="s">
        <v>815</v>
      </c>
      <c r="D591" s="424" t="s">
        <v>40</v>
      </c>
      <c r="E591" s="425">
        <v>5652.3</v>
      </c>
      <c r="F591" s="426">
        <v>1</v>
      </c>
      <c r="G591" s="425">
        <f t="shared" si="49"/>
        <v>5652.3</v>
      </c>
      <c r="H591" s="425">
        <v>0</v>
      </c>
      <c r="I591" s="425">
        <f t="shared" si="50"/>
        <v>0</v>
      </c>
      <c r="J591" s="425">
        <v>0</v>
      </c>
      <c r="K591" s="425">
        <f t="shared" si="51"/>
        <v>0</v>
      </c>
      <c r="L591" s="425">
        <v>0</v>
      </c>
      <c r="M591" s="425">
        <f t="shared" si="52"/>
        <v>0</v>
      </c>
      <c r="N591" s="425">
        <v>0</v>
      </c>
      <c r="O591" s="425">
        <f t="shared" si="53"/>
        <v>0</v>
      </c>
    </row>
    <row r="592" spans="1:15" ht="63">
      <c r="A592" s="421">
        <v>13</v>
      </c>
      <c r="B592" s="422" t="s">
        <v>814</v>
      </c>
      <c r="C592" s="428" t="s">
        <v>816</v>
      </c>
      <c r="D592" s="424" t="s">
        <v>40</v>
      </c>
      <c r="E592" s="425">
        <v>10</v>
      </c>
      <c r="F592" s="426">
        <v>0</v>
      </c>
      <c r="G592" s="425">
        <f t="shared" si="49"/>
        <v>0</v>
      </c>
      <c r="H592" s="425">
        <v>0</v>
      </c>
      <c r="I592" s="425">
        <f t="shared" si="50"/>
        <v>0</v>
      </c>
      <c r="J592" s="425">
        <v>0</v>
      </c>
      <c r="K592" s="425">
        <f t="shared" si="51"/>
        <v>0</v>
      </c>
      <c r="L592" s="425">
        <v>0</v>
      </c>
      <c r="M592" s="425">
        <f t="shared" si="52"/>
        <v>0</v>
      </c>
      <c r="N592" s="425">
        <v>1</v>
      </c>
      <c r="O592" s="425">
        <f t="shared" si="53"/>
        <v>10</v>
      </c>
    </row>
    <row r="593" spans="1:15" ht="63">
      <c r="A593" s="421">
        <v>14</v>
      </c>
      <c r="B593" s="422" t="s">
        <v>817</v>
      </c>
      <c r="C593" s="429" t="s">
        <v>818</v>
      </c>
      <c r="D593" s="424" t="s">
        <v>40</v>
      </c>
      <c r="E593" s="425">
        <v>5652.3</v>
      </c>
      <c r="F593" s="426" t="s">
        <v>819</v>
      </c>
      <c r="G593" s="425">
        <f t="shared" si="49"/>
        <v>5652.3</v>
      </c>
      <c r="H593" s="425">
        <v>0</v>
      </c>
      <c r="I593" s="425">
        <f t="shared" si="50"/>
        <v>0</v>
      </c>
      <c r="J593" s="425">
        <v>0</v>
      </c>
      <c r="K593" s="425">
        <f t="shared" si="51"/>
        <v>0</v>
      </c>
      <c r="L593" s="425">
        <v>0</v>
      </c>
      <c r="M593" s="425">
        <f t="shared" si="52"/>
        <v>0</v>
      </c>
      <c r="N593" s="425">
        <v>0</v>
      </c>
      <c r="O593" s="425">
        <f t="shared" si="53"/>
        <v>0</v>
      </c>
    </row>
    <row r="594" spans="1:15" ht="47.25">
      <c r="A594" s="421">
        <v>15</v>
      </c>
      <c r="B594" s="422"/>
      <c r="C594" s="428" t="s">
        <v>820</v>
      </c>
      <c r="D594" s="424" t="s">
        <v>40</v>
      </c>
      <c r="E594" s="425">
        <v>3915.75</v>
      </c>
      <c r="F594" s="426">
        <v>2</v>
      </c>
      <c r="G594" s="425">
        <f t="shared" si="49"/>
        <v>7831.5</v>
      </c>
      <c r="H594" s="425">
        <v>0</v>
      </c>
      <c r="I594" s="425">
        <f t="shared" si="50"/>
        <v>0</v>
      </c>
      <c r="J594" s="425">
        <v>0</v>
      </c>
      <c r="K594" s="425">
        <f t="shared" si="51"/>
        <v>0</v>
      </c>
      <c r="L594" s="425">
        <v>0</v>
      </c>
      <c r="M594" s="425">
        <f t="shared" si="52"/>
        <v>0</v>
      </c>
      <c r="N594" s="425">
        <v>0</v>
      </c>
      <c r="O594" s="425">
        <f t="shared" si="53"/>
        <v>0</v>
      </c>
    </row>
    <row r="595" spans="1:15" ht="63">
      <c r="A595" s="421">
        <v>16</v>
      </c>
      <c r="B595" s="422" t="s">
        <v>807</v>
      </c>
      <c r="C595" s="423" t="s">
        <v>821</v>
      </c>
      <c r="D595" s="424" t="s">
        <v>40</v>
      </c>
      <c r="E595" s="425">
        <v>4483</v>
      </c>
      <c r="F595" s="426">
        <v>3</v>
      </c>
      <c r="G595" s="425">
        <f t="shared" si="49"/>
        <v>13449</v>
      </c>
      <c r="H595" s="425">
        <v>0</v>
      </c>
      <c r="I595" s="425">
        <f t="shared" si="50"/>
        <v>0</v>
      </c>
      <c r="J595" s="425">
        <v>0</v>
      </c>
      <c r="K595" s="425">
        <f t="shared" si="51"/>
        <v>0</v>
      </c>
      <c r="L595" s="425">
        <v>0</v>
      </c>
      <c r="M595" s="425">
        <f t="shared" si="52"/>
        <v>0</v>
      </c>
      <c r="N595" s="425">
        <v>0</v>
      </c>
      <c r="O595" s="425">
        <f t="shared" si="53"/>
        <v>0</v>
      </c>
    </row>
    <row r="596" spans="1:15" ht="31.5">
      <c r="A596" s="416"/>
      <c r="B596" s="416"/>
      <c r="C596" s="430" t="s">
        <v>822</v>
      </c>
      <c r="D596" s="431"/>
      <c r="E596" s="431"/>
      <c r="F596" s="431"/>
      <c r="G596" s="425">
        <f t="shared" si="49"/>
        <v>0</v>
      </c>
      <c r="H596" s="431"/>
      <c r="I596" s="425">
        <f t="shared" si="50"/>
        <v>0</v>
      </c>
      <c r="J596" s="431"/>
      <c r="K596" s="425">
        <f t="shared" si="51"/>
        <v>0</v>
      </c>
      <c r="L596" s="431"/>
      <c r="M596" s="425">
        <f t="shared" si="52"/>
        <v>0</v>
      </c>
      <c r="N596" s="431"/>
      <c r="O596" s="425">
        <f t="shared" si="53"/>
        <v>0</v>
      </c>
    </row>
    <row r="597" spans="1:15">
      <c r="A597" s="421">
        <v>17</v>
      </c>
      <c r="B597" s="422" t="s">
        <v>823</v>
      </c>
      <c r="C597" s="423" t="s">
        <v>824</v>
      </c>
      <c r="D597" s="424" t="s">
        <v>40</v>
      </c>
      <c r="E597" s="425">
        <v>1500</v>
      </c>
      <c r="F597" s="426">
        <v>2</v>
      </c>
      <c r="G597" s="425">
        <f t="shared" si="49"/>
        <v>3000</v>
      </c>
      <c r="H597" s="425">
        <v>0</v>
      </c>
      <c r="I597" s="425">
        <f t="shared" si="50"/>
        <v>0</v>
      </c>
      <c r="J597" s="425">
        <v>0</v>
      </c>
      <c r="K597" s="425">
        <f t="shared" si="51"/>
        <v>0</v>
      </c>
      <c r="L597" s="425">
        <v>0</v>
      </c>
      <c r="M597" s="425">
        <f t="shared" si="52"/>
        <v>0</v>
      </c>
      <c r="N597" s="425">
        <v>0</v>
      </c>
      <c r="O597" s="425">
        <f t="shared" si="53"/>
        <v>0</v>
      </c>
    </row>
    <row r="598" spans="1:15">
      <c r="A598" s="421">
        <v>18</v>
      </c>
      <c r="B598" s="422" t="s">
        <v>825</v>
      </c>
      <c r="C598" s="423" t="s">
        <v>826</v>
      </c>
      <c r="D598" s="424" t="s">
        <v>40</v>
      </c>
      <c r="E598" s="425">
        <v>3700</v>
      </c>
      <c r="F598" s="426">
        <v>3</v>
      </c>
      <c r="G598" s="425">
        <f t="shared" si="49"/>
        <v>11100</v>
      </c>
      <c r="H598" s="425">
        <v>0</v>
      </c>
      <c r="I598" s="425">
        <f t="shared" si="50"/>
        <v>0</v>
      </c>
      <c r="J598" s="425">
        <v>0</v>
      </c>
      <c r="K598" s="425">
        <f t="shared" si="51"/>
        <v>0</v>
      </c>
      <c r="L598" s="425">
        <v>0</v>
      </c>
      <c r="M598" s="425">
        <f t="shared" si="52"/>
        <v>0</v>
      </c>
      <c r="N598" s="425">
        <v>0</v>
      </c>
      <c r="O598" s="425">
        <f t="shared" si="53"/>
        <v>0</v>
      </c>
    </row>
    <row r="599" spans="1:15" ht="31.5">
      <c r="A599" s="421">
        <v>19</v>
      </c>
      <c r="B599" s="422"/>
      <c r="C599" s="423" t="s">
        <v>827</v>
      </c>
      <c r="D599" s="424" t="s">
        <v>40</v>
      </c>
      <c r="E599" s="425">
        <v>1850</v>
      </c>
      <c r="F599" s="426">
        <v>10</v>
      </c>
      <c r="G599" s="425">
        <f t="shared" si="49"/>
        <v>18500</v>
      </c>
      <c r="H599" s="425">
        <v>0</v>
      </c>
      <c r="I599" s="425">
        <f t="shared" si="50"/>
        <v>0</v>
      </c>
      <c r="J599" s="425">
        <v>0</v>
      </c>
      <c r="K599" s="425">
        <f t="shared" si="51"/>
        <v>0</v>
      </c>
      <c r="L599" s="425">
        <v>0</v>
      </c>
      <c r="M599" s="425">
        <f t="shared" si="52"/>
        <v>0</v>
      </c>
      <c r="N599" s="425">
        <v>0</v>
      </c>
      <c r="O599" s="425">
        <f t="shared" si="53"/>
        <v>0</v>
      </c>
    </row>
    <row r="600" spans="1:15" ht="63">
      <c r="A600" s="421">
        <v>20</v>
      </c>
      <c r="B600" s="422"/>
      <c r="C600" s="432" t="s">
        <v>828</v>
      </c>
      <c r="D600" s="433" t="s">
        <v>40</v>
      </c>
      <c r="E600" s="425">
        <v>1248</v>
      </c>
      <c r="F600" s="426" t="s">
        <v>829</v>
      </c>
      <c r="G600" s="425">
        <f t="shared" si="49"/>
        <v>8736</v>
      </c>
      <c r="H600" s="425">
        <v>0</v>
      </c>
      <c r="I600" s="425">
        <f t="shared" si="50"/>
        <v>0</v>
      </c>
      <c r="J600" s="425">
        <v>0</v>
      </c>
      <c r="K600" s="425">
        <f t="shared" si="51"/>
        <v>0</v>
      </c>
      <c r="L600" s="425">
        <v>0</v>
      </c>
      <c r="M600" s="425">
        <f t="shared" si="52"/>
        <v>0</v>
      </c>
      <c r="N600" s="425">
        <v>0</v>
      </c>
      <c r="O600" s="425">
        <f t="shared" si="53"/>
        <v>0</v>
      </c>
    </row>
    <row r="601" spans="1:15">
      <c r="A601" s="421">
        <v>21</v>
      </c>
      <c r="B601" s="422" t="s">
        <v>830</v>
      </c>
      <c r="C601" s="423" t="s">
        <v>831</v>
      </c>
      <c r="D601" s="424" t="s">
        <v>40</v>
      </c>
      <c r="E601" s="425">
        <v>854</v>
      </c>
      <c r="F601" s="426">
        <v>24</v>
      </c>
      <c r="G601" s="425">
        <f t="shared" si="49"/>
        <v>20496</v>
      </c>
      <c r="H601" s="425">
        <v>0</v>
      </c>
      <c r="I601" s="425">
        <f t="shared" si="50"/>
        <v>0</v>
      </c>
      <c r="J601" s="425">
        <v>0</v>
      </c>
      <c r="K601" s="425">
        <f t="shared" si="51"/>
        <v>0</v>
      </c>
      <c r="L601" s="425">
        <v>0</v>
      </c>
      <c r="M601" s="425">
        <f t="shared" si="52"/>
        <v>0</v>
      </c>
      <c r="N601" s="425">
        <v>0</v>
      </c>
      <c r="O601" s="425">
        <f t="shared" si="53"/>
        <v>0</v>
      </c>
    </row>
    <row r="602" spans="1:15">
      <c r="A602" s="421">
        <v>22</v>
      </c>
      <c r="B602" s="422" t="s">
        <v>560</v>
      </c>
      <c r="C602" s="423" t="s">
        <v>832</v>
      </c>
      <c r="D602" s="424" t="s">
        <v>40</v>
      </c>
      <c r="E602" s="425">
        <v>1019.23</v>
      </c>
      <c r="F602" s="426" t="s">
        <v>833</v>
      </c>
      <c r="G602" s="425">
        <f t="shared" si="49"/>
        <v>13249.99</v>
      </c>
      <c r="H602" s="425">
        <v>0</v>
      </c>
      <c r="I602" s="425">
        <f t="shared" si="50"/>
        <v>0</v>
      </c>
      <c r="J602" s="425">
        <v>0</v>
      </c>
      <c r="K602" s="425">
        <f t="shared" si="51"/>
        <v>0</v>
      </c>
      <c r="L602" s="425">
        <v>0</v>
      </c>
      <c r="M602" s="425">
        <f t="shared" si="52"/>
        <v>0</v>
      </c>
      <c r="N602" s="425">
        <v>0</v>
      </c>
      <c r="O602" s="425">
        <f t="shared" si="53"/>
        <v>0</v>
      </c>
    </row>
    <row r="603" spans="1:15" ht="47.25">
      <c r="A603" s="421">
        <v>23</v>
      </c>
      <c r="B603" s="422"/>
      <c r="C603" s="423" t="s">
        <v>834</v>
      </c>
      <c r="D603" s="424" t="s">
        <v>40</v>
      </c>
      <c r="E603" s="425">
        <v>1350.65</v>
      </c>
      <c r="F603" s="422">
        <v>0</v>
      </c>
      <c r="G603" s="425">
        <f t="shared" si="49"/>
        <v>0</v>
      </c>
      <c r="H603" s="425">
        <v>0</v>
      </c>
      <c r="I603" s="425">
        <f t="shared" si="50"/>
        <v>0</v>
      </c>
      <c r="J603" s="425">
        <v>0</v>
      </c>
      <c r="K603" s="425">
        <f t="shared" si="51"/>
        <v>0</v>
      </c>
      <c r="L603" s="425">
        <v>0</v>
      </c>
      <c r="M603" s="425">
        <f t="shared" si="52"/>
        <v>0</v>
      </c>
      <c r="N603" s="425">
        <v>0</v>
      </c>
      <c r="O603" s="425">
        <f t="shared" si="53"/>
        <v>0</v>
      </c>
    </row>
    <row r="604" spans="1:15" ht="47.25">
      <c r="A604" s="421">
        <v>24</v>
      </c>
      <c r="B604" s="422" t="s">
        <v>560</v>
      </c>
      <c r="C604" s="423" t="s">
        <v>835</v>
      </c>
      <c r="D604" s="424" t="s">
        <v>40</v>
      </c>
      <c r="E604" s="425">
        <v>3229.07</v>
      </c>
      <c r="F604" s="426">
        <v>16</v>
      </c>
      <c r="G604" s="425">
        <f t="shared" si="49"/>
        <v>51665.120000000003</v>
      </c>
      <c r="H604" s="425">
        <v>0</v>
      </c>
      <c r="I604" s="425">
        <f t="shared" si="50"/>
        <v>0</v>
      </c>
      <c r="J604" s="425">
        <v>0</v>
      </c>
      <c r="K604" s="425">
        <f t="shared" si="51"/>
        <v>0</v>
      </c>
      <c r="L604" s="425">
        <v>0</v>
      </c>
      <c r="M604" s="425">
        <f t="shared" si="52"/>
        <v>0</v>
      </c>
      <c r="N604" s="425">
        <v>0</v>
      </c>
      <c r="O604" s="425">
        <f t="shared" si="53"/>
        <v>0</v>
      </c>
    </row>
    <row r="605" spans="1:15" ht="47.25">
      <c r="A605" s="421">
        <v>25</v>
      </c>
      <c r="B605" s="422"/>
      <c r="C605" s="434" t="s">
        <v>836</v>
      </c>
      <c r="D605" s="435" t="s">
        <v>40</v>
      </c>
      <c r="E605" s="425">
        <v>3961.15</v>
      </c>
      <c r="F605" s="426" t="s">
        <v>837</v>
      </c>
      <c r="G605" s="425">
        <f t="shared" si="49"/>
        <v>39611.5</v>
      </c>
      <c r="H605" s="425">
        <v>0</v>
      </c>
      <c r="I605" s="425">
        <f t="shared" si="50"/>
        <v>0</v>
      </c>
      <c r="J605" s="425">
        <v>0</v>
      </c>
      <c r="K605" s="425">
        <f t="shared" si="51"/>
        <v>0</v>
      </c>
      <c r="L605" s="425">
        <v>0</v>
      </c>
      <c r="M605" s="425">
        <f t="shared" si="52"/>
        <v>0</v>
      </c>
      <c r="N605" s="425">
        <v>0</v>
      </c>
      <c r="O605" s="425">
        <f t="shared" si="53"/>
        <v>0</v>
      </c>
    </row>
    <row r="606" spans="1:15" ht="63">
      <c r="A606" s="421">
        <v>26</v>
      </c>
      <c r="B606" s="422"/>
      <c r="C606" s="432" t="s">
        <v>838</v>
      </c>
      <c r="D606" s="424" t="s">
        <v>40</v>
      </c>
      <c r="E606" s="425">
        <v>1129.33</v>
      </c>
      <c r="F606" s="426" t="s">
        <v>839</v>
      </c>
      <c r="G606" s="425">
        <f t="shared" si="49"/>
        <v>6775.98</v>
      </c>
      <c r="H606" s="425">
        <v>0</v>
      </c>
      <c r="I606" s="425">
        <f t="shared" si="50"/>
        <v>0</v>
      </c>
      <c r="J606" s="425">
        <v>0</v>
      </c>
      <c r="K606" s="425">
        <f t="shared" si="51"/>
        <v>0</v>
      </c>
      <c r="L606" s="425">
        <v>0</v>
      </c>
      <c r="M606" s="425">
        <f t="shared" si="52"/>
        <v>0</v>
      </c>
      <c r="N606" s="425">
        <v>0</v>
      </c>
      <c r="O606" s="425">
        <f t="shared" si="53"/>
        <v>0</v>
      </c>
    </row>
    <row r="607" spans="1:15" ht="78.75">
      <c r="A607" s="421">
        <v>27</v>
      </c>
      <c r="B607" s="422"/>
      <c r="C607" s="423" t="s">
        <v>840</v>
      </c>
      <c r="D607" s="424" t="s">
        <v>40</v>
      </c>
      <c r="E607" s="425">
        <v>1356.33</v>
      </c>
      <c r="F607" s="422">
        <v>0</v>
      </c>
      <c r="G607" s="425">
        <f t="shared" si="49"/>
        <v>0</v>
      </c>
      <c r="H607" s="425">
        <v>0</v>
      </c>
      <c r="I607" s="425">
        <f t="shared" si="50"/>
        <v>0</v>
      </c>
      <c r="J607" s="425">
        <v>0</v>
      </c>
      <c r="K607" s="425">
        <f t="shared" si="51"/>
        <v>0</v>
      </c>
      <c r="L607" s="425">
        <v>0</v>
      </c>
      <c r="M607" s="425">
        <f t="shared" si="52"/>
        <v>0</v>
      </c>
      <c r="N607" s="425">
        <v>0</v>
      </c>
      <c r="O607" s="425">
        <f t="shared" si="53"/>
        <v>0</v>
      </c>
    </row>
    <row r="608" spans="1:15" ht="31.5">
      <c r="A608" s="421">
        <v>28</v>
      </c>
      <c r="B608" s="422"/>
      <c r="C608" s="436" t="s">
        <v>841</v>
      </c>
      <c r="D608" s="424"/>
      <c r="E608" s="425">
        <v>1462</v>
      </c>
      <c r="F608" s="422">
        <v>13</v>
      </c>
      <c r="G608" s="425">
        <f t="shared" si="49"/>
        <v>19006</v>
      </c>
      <c r="H608" s="425">
        <v>0</v>
      </c>
      <c r="I608" s="425">
        <f t="shared" si="50"/>
        <v>0</v>
      </c>
      <c r="J608" s="425">
        <v>0</v>
      </c>
      <c r="K608" s="425">
        <f t="shared" si="51"/>
        <v>0</v>
      </c>
      <c r="L608" s="425">
        <v>0</v>
      </c>
      <c r="M608" s="425">
        <f t="shared" si="52"/>
        <v>0</v>
      </c>
      <c r="N608" s="425">
        <v>0</v>
      </c>
      <c r="O608" s="425">
        <f t="shared" si="53"/>
        <v>0</v>
      </c>
    </row>
    <row r="609" spans="1:15">
      <c r="A609" s="421"/>
      <c r="B609" s="422"/>
      <c r="C609" s="436"/>
      <c r="D609" s="424"/>
      <c r="E609" s="425"/>
      <c r="F609" s="422"/>
      <c r="G609" s="425"/>
      <c r="H609" s="425"/>
      <c r="I609" s="425"/>
      <c r="J609" s="425"/>
      <c r="K609" s="425"/>
      <c r="L609" s="425"/>
      <c r="M609" s="425"/>
      <c r="N609" s="425"/>
      <c r="O609" s="425"/>
    </row>
    <row r="610" spans="1:15">
      <c r="A610" s="416"/>
      <c r="B610" s="416"/>
      <c r="C610" s="437" t="s">
        <v>842</v>
      </c>
      <c r="D610" s="431"/>
      <c r="E610" s="431"/>
      <c r="F610" s="431"/>
      <c r="G610" s="438">
        <f t="shared" si="49"/>
        <v>0</v>
      </c>
      <c r="H610" s="431"/>
      <c r="I610" s="438">
        <f t="shared" si="50"/>
        <v>0</v>
      </c>
      <c r="J610" s="431"/>
      <c r="K610" s="438">
        <f t="shared" si="51"/>
        <v>0</v>
      </c>
      <c r="L610" s="431"/>
      <c r="M610" s="438">
        <f t="shared" si="52"/>
        <v>0</v>
      </c>
      <c r="N610" s="431"/>
      <c r="O610" s="438">
        <f t="shared" si="53"/>
        <v>0</v>
      </c>
    </row>
    <row r="611" spans="1:15" ht="31.5">
      <c r="A611" s="421">
        <v>29</v>
      </c>
      <c r="B611" s="422"/>
      <c r="C611" s="428" t="s">
        <v>843</v>
      </c>
      <c r="D611" s="433" t="s">
        <v>40</v>
      </c>
      <c r="E611" s="425">
        <v>18000</v>
      </c>
      <c r="F611" s="426">
        <v>3</v>
      </c>
      <c r="G611" s="425">
        <f t="shared" si="49"/>
        <v>54000</v>
      </c>
      <c r="H611" s="425">
        <v>0</v>
      </c>
      <c r="I611" s="425">
        <f t="shared" si="50"/>
        <v>0</v>
      </c>
      <c r="J611" s="425">
        <v>0</v>
      </c>
      <c r="K611" s="425">
        <f t="shared" si="51"/>
        <v>0</v>
      </c>
      <c r="L611" s="425">
        <v>0</v>
      </c>
      <c r="M611" s="425">
        <f t="shared" si="52"/>
        <v>0</v>
      </c>
      <c r="N611" s="425">
        <v>0</v>
      </c>
      <c r="O611" s="425">
        <f t="shared" si="53"/>
        <v>0</v>
      </c>
    </row>
    <row r="612" spans="1:15" ht="31.5">
      <c r="A612" s="421">
        <v>30</v>
      </c>
      <c r="B612" s="422"/>
      <c r="C612" s="428" t="s">
        <v>844</v>
      </c>
      <c r="D612" s="433" t="s">
        <v>40</v>
      </c>
      <c r="E612" s="425">
        <v>15000</v>
      </c>
      <c r="F612" s="426">
        <v>3</v>
      </c>
      <c r="G612" s="425">
        <f t="shared" si="49"/>
        <v>45000</v>
      </c>
      <c r="H612" s="425">
        <v>0</v>
      </c>
      <c r="I612" s="425">
        <f t="shared" si="50"/>
        <v>0</v>
      </c>
      <c r="J612" s="425">
        <v>0</v>
      </c>
      <c r="K612" s="425">
        <f t="shared" si="51"/>
        <v>0</v>
      </c>
      <c r="L612" s="425">
        <v>0</v>
      </c>
      <c r="M612" s="425">
        <f t="shared" si="52"/>
        <v>0</v>
      </c>
      <c r="N612" s="425">
        <v>0</v>
      </c>
      <c r="O612" s="425">
        <f t="shared" si="53"/>
        <v>0</v>
      </c>
    </row>
    <row r="613" spans="1:15">
      <c r="A613" s="421">
        <v>31</v>
      </c>
      <c r="B613" s="422"/>
      <c r="C613" s="423" t="s">
        <v>845</v>
      </c>
      <c r="D613" s="424" t="s">
        <v>40</v>
      </c>
      <c r="E613" s="425">
        <v>23484</v>
      </c>
      <c r="F613" s="426">
        <v>3</v>
      </c>
      <c r="G613" s="425">
        <f t="shared" si="49"/>
        <v>70452</v>
      </c>
      <c r="H613" s="425">
        <v>0</v>
      </c>
      <c r="I613" s="425">
        <f t="shared" si="50"/>
        <v>0</v>
      </c>
      <c r="J613" s="425">
        <v>0</v>
      </c>
      <c r="K613" s="425">
        <f t="shared" si="51"/>
        <v>0</v>
      </c>
      <c r="L613" s="425">
        <v>0</v>
      </c>
      <c r="M613" s="425">
        <f t="shared" si="52"/>
        <v>0</v>
      </c>
      <c r="N613" s="425">
        <v>0</v>
      </c>
      <c r="O613" s="425">
        <f t="shared" si="53"/>
        <v>0</v>
      </c>
    </row>
    <row r="614" spans="1:15" ht="31.5">
      <c r="A614" s="421">
        <v>32</v>
      </c>
      <c r="B614" s="422"/>
      <c r="C614" s="423" t="s">
        <v>846</v>
      </c>
      <c r="D614" s="424" t="s">
        <v>40</v>
      </c>
      <c r="E614" s="425">
        <v>16000</v>
      </c>
      <c r="F614" s="426">
        <v>1</v>
      </c>
      <c r="G614" s="425">
        <f t="shared" si="49"/>
        <v>16000</v>
      </c>
      <c r="H614" s="425">
        <v>0</v>
      </c>
      <c r="I614" s="425">
        <f t="shared" si="50"/>
        <v>0</v>
      </c>
      <c r="J614" s="425">
        <v>0</v>
      </c>
      <c r="K614" s="425">
        <f t="shared" si="51"/>
        <v>0</v>
      </c>
      <c r="L614" s="425">
        <v>0</v>
      </c>
      <c r="M614" s="425">
        <f t="shared" si="52"/>
        <v>0</v>
      </c>
      <c r="N614" s="425">
        <v>0</v>
      </c>
      <c r="O614" s="425">
        <f t="shared" si="53"/>
        <v>0</v>
      </c>
    </row>
    <row r="615" spans="1:15">
      <c r="A615" s="421">
        <v>33</v>
      </c>
      <c r="B615" s="422"/>
      <c r="C615" s="423" t="s">
        <v>847</v>
      </c>
      <c r="D615" s="424" t="s">
        <v>40</v>
      </c>
      <c r="E615" s="425">
        <v>7037</v>
      </c>
      <c r="F615" s="426" t="s">
        <v>848</v>
      </c>
      <c r="G615" s="425">
        <f t="shared" si="49"/>
        <v>28148</v>
      </c>
      <c r="H615" s="425">
        <v>0</v>
      </c>
      <c r="I615" s="425">
        <f t="shared" si="50"/>
        <v>0</v>
      </c>
      <c r="J615" s="425">
        <v>0</v>
      </c>
      <c r="K615" s="425">
        <f t="shared" si="51"/>
        <v>0</v>
      </c>
      <c r="L615" s="425">
        <v>0</v>
      </c>
      <c r="M615" s="425">
        <f t="shared" si="52"/>
        <v>0</v>
      </c>
      <c r="N615" s="425">
        <v>0</v>
      </c>
      <c r="O615" s="425">
        <f t="shared" si="53"/>
        <v>0</v>
      </c>
    </row>
    <row r="616" spans="1:15" ht="31.5">
      <c r="A616" s="421">
        <v>34</v>
      </c>
      <c r="B616" s="422"/>
      <c r="C616" s="423" t="s">
        <v>849</v>
      </c>
      <c r="D616" s="424" t="s">
        <v>40</v>
      </c>
      <c r="E616" s="425">
        <v>18.2</v>
      </c>
      <c r="F616" s="422">
        <v>55</v>
      </c>
      <c r="G616" s="425">
        <f t="shared" si="49"/>
        <v>1001</v>
      </c>
      <c r="H616" s="425">
        <v>0</v>
      </c>
      <c r="I616" s="425">
        <f t="shared" si="50"/>
        <v>0</v>
      </c>
      <c r="J616" s="425">
        <v>0</v>
      </c>
      <c r="K616" s="425">
        <f t="shared" si="51"/>
        <v>0</v>
      </c>
      <c r="L616" s="425">
        <v>0</v>
      </c>
      <c r="M616" s="425">
        <f t="shared" si="52"/>
        <v>0</v>
      </c>
      <c r="N616" s="425">
        <v>0</v>
      </c>
      <c r="O616" s="425">
        <f t="shared" si="53"/>
        <v>0</v>
      </c>
    </row>
    <row r="617" spans="1:15">
      <c r="A617" s="416"/>
      <c r="B617" s="416"/>
      <c r="C617" s="430" t="s">
        <v>850</v>
      </c>
      <c r="D617" s="431"/>
      <c r="E617" s="431"/>
      <c r="F617" s="431"/>
      <c r="G617" s="425">
        <f t="shared" si="49"/>
        <v>0</v>
      </c>
      <c r="H617" s="431"/>
      <c r="I617" s="425">
        <f t="shared" si="50"/>
        <v>0</v>
      </c>
      <c r="J617" s="431"/>
      <c r="K617" s="425">
        <f t="shared" si="51"/>
        <v>0</v>
      </c>
      <c r="L617" s="431"/>
      <c r="M617" s="425">
        <f t="shared" si="52"/>
        <v>0</v>
      </c>
      <c r="N617" s="431"/>
      <c r="O617" s="425">
        <f t="shared" si="53"/>
        <v>0</v>
      </c>
    </row>
    <row r="618" spans="1:15" ht="47.25">
      <c r="A618" s="421">
        <v>35</v>
      </c>
      <c r="B618" s="422"/>
      <c r="C618" s="423" t="s">
        <v>851</v>
      </c>
      <c r="D618" s="424" t="s">
        <v>40</v>
      </c>
      <c r="E618" s="425">
        <v>2809.13</v>
      </c>
      <c r="F618" s="426">
        <v>6</v>
      </c>
      <c r="G618" s="425">
        <f t="shared" si="49"/>
        <v>16854.78</v>
      </c>
      <c r="H618" s="425">
        <v>0</v>
      </c>
      <c r="I618" s="425">
        <f t="shared" si="50"/>
        <v>0</v>
      </c>
      <c r="J618" s="425">
        <v>0</v>
      </c>
      <c r="K618" s="425">
        <f t="shared" si="51"/>
        <v>0</v>
      </c>
      <c r="L618" s="425">
        <v>0</v>
      </c>
      <c r="M618" s="425">
        <f t="shared" si="52"/>
        <v>0</v>
      </c>
      <c r="N618" s="425">
        <v>0</v>
      </c>
      <c r="O618" s="425">
        <f t="shared" si="53"/>
        <v>0</v>
      </c>
    </row>
    <row r="619" spans="1:15" ht="47.25">
      <c r="A619" s="421">
        <v>36</v>
      </c>
      <c r="B619" s="422"/>
      <c r="C619" s="423" t="s">
        <v>852</v>
      </c>
      <c r="D619" s="424" t="s">
        <v>40</v>
      </c>
      <c r="E619" s="425">
        <v>2235.9499999999998</v>
      </c>
      <c r="F619" s="426">
        <v>5</v>
      </c>
      <c r="G619" s="425">
        <f t="shared" si="49"/>
        <v>11179.75</v>
      </c>
      <c r="H619" s="425">
        <v>0</v>
      </c>
      <c r="I619" s="425">
        <f t="shared" si="50"/>
        <v>0</v>
      </c>
      <c r="J619" s="425">
        <v>0</v>
      </c>
      <c r="K619" s="425">
        <f t="shared" si="51"/>
        <v>0</v>
      </c>
      <c r="L619" s="425">
        <v>0</v>
      </c>
      <c r="M619" s="425">
        <f t="shared" si="52"/>
        <v>0</v>
      </c>
      <c r="N619" s="425">
        <v>0</v>
      </c>
      <c r="O619" s="425">
        <f t="shared" si="53"/>
        <v>0</v>
      </c>
    </row>
    <row r="620" spans="1:15" ht="47.25">
      <c r="A620" s="421">
        <v>37</v>
      </c>
      <c r="B620" s="422"/>
      <c r="C620" s="423" t="s">
        <v>853</v>
      </c>
      <c r="D620" s="424" t="s">
        <v>40</v>
      </c>
      <c r="E620" s="425">
        <v>3722.8</v>
      </c>
      <c r="F620" s="426">
        <v>5</v>
      </c>
      <c r="G620" s="425">
        <f t="shared" si="49"/>
        <v>18614</v>
      </c>
      <c r="H620" s="425">
        <v>0</v>
      </c>
      <c r="I620" s="425">
        <f t="shared" si="50"/>
        <v>0</v>
      </c>
      <c r="J620" s="425">
        <v>0</v>
      </c>
      <c r="K620" s="425">
        <f t="shared" si="51"/>
        <v>0</v>
      </c>
      <c r="L620" s="425">
        <v>0</v>
      </c>
      <c r="M620" s="425">
        <f t="shared" si="52"/>
        <v>0</v>
      </c>
      <c r="N620" s="425">
        <v>0</v>
      </c>
      <c r="O620" s="425">
        <f t="shared" si="53"/>
        <v>0</v>
      </c>
    </row>
    <row r="621" spans="1:15" ht="47.25">
      <c r="A621" s="421">
        <v>38</v>
      </c>
      <c r="B621" s="422"/>
      <c r="C621" s="423" t="s">
        <v>854</v>
      </c>
      <c r="D621" s="424" t="s">
        <v>40</v>
      </c>
      <c r="E621" s="425">
        <v>3944.12</v>
      </c>
      <c r="F621" s="426">
        <v>9</v>
      </c>
      <c r="G621" s="425">
        <f t="shared" si="49"/>
        <v>35497.08</v>
      </c>
      <c r="H621" s="425">
        <v>0</v>
      </c>
      <c r="I621" s="425">
        <f t="shared" si="50"/>
        <v>0</v>
      </c>
      <c r="J621" s="425">
        <v>0</v>
      </c>
      <c r="K621" s="425">
        <f t="shared" si="51"/>
        <v>0</v>
      </c>
      <c r="L621" s="425">
        <v>0</v>
      </c>
      <c r="M621" s="425">
        <f t="shared" si="52"/>
        <v>0</v>
      </c>
      <c r="N621" s="425">
        <v>0</v>
      </c>
      <c r="O621" s="425">
        <f t="shared" si="53"/>
        <v>0</v>
      </c>
    </row>
    <row r="622" spans="1:15" ht="47.25">
      <c r="A622" s="421">
        <v>39</v>
      </c>
      <c r="B622" s="422"/>
      <c r="C622" s="423" t="s">
        <v>855</v>
      </c>
      <c r="D622" s="424" t="s">
        <v>40</v>
      </c>
      <c r="E622" s="425">
        <v>4284.63</v>
      </c>
      <c r="F622" s="426" t="s">
        <v>856</v>
      </c>
      <c r="G622" s="425">
        <f t="shared" si="49"/>
        <v>51415.56</v>
      </c>
      <c r="H622" s="425">
        <v>0</v>
      </c>
      <c r="I622" s="425">
        <f t="shared" si="50"/>
        <v>0</v>
      </c>
      <c r="J622" s="425">
        <v>0</v>
      </c>
      <c r="K622" s="425">
        <f t="shared" si="51"/>
        <v>0</v>
      </c>
      <c r="L622" s="425">
        <v>0</v>
      </c>
      <c r="M622" s="425">
        <f t="shared" si="52"/>
        <v>0</v>
      </c>
      <c r="N622" s="425">
        <v>0</v>
      </c>
      <c r="O622" s="425">
        <f t="shared" si="53"/>
        <v>0</v>
      </c>
    </row>
    <row r="623" spans="1:15" ht="31.5">
      <c r="A623" s="421">
        <v>40</v>
      </c>
      <c r="B623" s="422"/>
      <c r="C623" s="423" t="s">
        <v>857</v>
      </c>
      <c r="D623" s="424" t="s">
        <v>40</v>
      </c>
      <c r="E623" s="425">
        <v>4086</v>
      </c>
      <c r="F623" s="426">
        <v>3</v>
      </c>
      <c r="G623" s="425">
        <f t="shared" si="49"/>
        <v>12258</v>
      </c>
      <c r="H623" s="425">
        <v>0</v>
      </c>
      <c r="I623" s="425">
        <f t="shared" si="50"/>
        <v>0</v>
      </c>
      <c r="J623" s="425">
        <v>0</v>
      </c>
      <c r="K623" s="425">
        <f t="shared" si="51"/>
        <v>0</v>
      </c>
      <c r="L623" s="425">
        <v>0</v>
      </c>
      <c r="M623" s="425">
        <f t="shared" si="52"/>
        <v>0</v>
      </c>
      <c r="N623" s="425">
        <v>0</v>
      </c>
      <c r="O623" s="425">
        <f t="shared" si="53"/>
        <v>0</v>
      </c>
    </row>
    <row r="624" spans="1:15" ht="31.5">
      <c r="A624" s="421">
        <v>41</v>
      </c>
      <c r="B624" s="422"/>
      <c r="C624" s="423" t="s">
        <v>858</v>
      </c>
      <c r="D624" s="424" t="s">
        <v>40</v>
      </c>
      <c r="E624" s="425">
        <v>4199.5</v>
      </c>
      <c r="F624" s="426">
        <v>4</v>
      </c>
      <c r="G624" s="425">
        <f t="shared" si="49"/>
        <v>16798</v>
      </c>
      <c r="H624" s="425">
        <v>0</v>
      </c>
      <c r="I624" s="425">
        <f t="shared" si="50"/>
        <v>0</v>
      </c>
      <c r="J624" s="425">
        <v>0</v>
      </c>
      <c r="K624" s="425">
        <f t="shared" si="51"/>
        <v>0</v>
      </c>
      <c r="L624" s="425">
        <v>0</v>
      </c>
      <c r="M624" s="425">
        <f t="shared" si="52"/>
        <v>0</v>
      </c>
      <c r="N624" s="425">
        <v>0</v>
      </c>
      <c r="O624" s="425">
        <f t="shared" si="53"/>
        <v>0</v>
      </c>
    </row>
    <row r="625" spans="1:15" ht="47.25">
      <c r="A625" s="421"/>
      <c r="B625" s="422"/>
      <c r="C625" s="423" t="s">
        <v>859</v>
      </c>
      <c r="D625" s="424" t="s">
        <v>40</v>
      </c>
      <c r="E625" s="425">
        <v>1362</v>
      </c>
      <c r="F625" s="422">
        <v>2</v>
      </c>
      <c r="G625" s="425">
        <f t="shared" si="49"/>
        <v>2724</v>
      </c>
      <c r="H625" s="425"/>
      <c r="I625" s="425"/>
      <c r="J625" s="425"/>
      <c r="K625" s="425"/>
      <c r="L625" s="425"/>
      <c r="M625" s="425"/>
      <c r="N625" s="425"/>
      <c r="O625" s="425"/>
    </row>
    <row r="626" spans="1:15" ht="47.25">
      <c r="A626" s="421">
        <v>42</v>
      </c>
      <c r="B626" s="422"/>
      <c r="C626" s="423" t="s">
        <v>859</v>
      </c>
      <c r="D626" s="424" t="s">
        <v>40</v>
      </c>
      <c r="E626" s="425">
        <v>1298</v>
      </c>
      <c r="F626" s="422">
        <v>10</v>
      </c>
      <c r="G626" s="425">
        <f t="shared" si="49"/>
        <v>12980</v>
      </c>
      <c r="H626" s="425">
        <v>0</v>
      </c>
      <c r="I626" s="425">
        <f t="shared" si="50"/>
        <v>0</v>
      </c>
      <c r="J626" s="425">
        <v>0</v>
      </c>
      <c r="K626" s="425">
        <f t="shared" si="51"/>
        <v>0</v>
      </c>
      <c r="L626" s="425">
        <v>0</v>
      </c>
      <c r="M626" s="425">
        <f t="shared" si="52"/>
        <v>0</v>
      </c>
      <c r="N626" s="425">
        <v>0</v>
      </c>
      <c r="O626" s="425">
        <f t="shared" si="53"/>
        <v>0</v>
      </c>
    </row>
    <row r="627" spans="1:15" ht="31.5">
      <c r="A627" s="416"/>
      <c r="B627" s="416"/>
      <c r="C627" s="430" t="s">
        <v>860</v>
      </c>
      <c r="D627" s="431"/>
      <c r="E627" s="431"/>
      <c r="F627" s="431"/>
      <c r="G627" s="425">
        <f t="shared" si="49"/>
        <v>0</v>
      </c>
      <c r="H627" s="431"/>
      <c r="I627" s="425">
        <f t="shared" si="50"/>
        <v>0</v>
      </c>
      <c r="J627" s="431"/>
      <c r="K627" s="425">
        <f t="shared" si="51"/>
        <v>0</v>
      </c>
      <c r="L627" s="431"/>
      <c r="M627" s="425">
        <f t="shared" si="52"/>
        <v>0</v>
      </c>
      <c r="N627" s="431"/>
      <c r="O627" s="425">
        <f t="shared" si="53"/>
        <v>0</v>
      </c>
    </row>
    <row r="628" spans="1:15" ht="31.5">
      <c r="A628" s="421">
        <v>43</v>
      </c>
      <c r="B628" s="422"/>
      <c r="C628" s="428" t="s">
        <v>861</v>
      </c>
      <c r="D628" s="433" t="s">
        <v>40</v>
      </c>
      <c r="E628" s="425">
        <v>5000</v>
      </c>
      <c r="F628" s="422">
        <v>3</v>
      </c>
      <c r="G628" s="425">
        <f t="shared" si="49"/>
        <v>15000</v>
      </c>
      <c r="H628" s="425">
        <v>0</v>
      </c>
      <c r="I628" s="425">
        <f t="shared" si="50"/>
        <v>0</v>
      </c>
      <c r="J628" s="425">
        <v>0</v>
      </c>
      <c r="K628" s="425">
        <f t="shared" si="51"/>
        <v>0</v>
      </c>
      <c r="L628" s="425">
        <v>0</v>
      </c>
      <c r="M628" s="425">
        <f t="shared" si="52"/>
        <v>0</v>
      </c>
      <c r="N628" s="425">
        <v>0</v>
      </c>
      <c r="O628" s="425">
        <f t="shared" si="53"/>
        <v>0</v>
      </c>
    </row>
    <row r="629" spans="1:15" ht="31.5">
      <c r="A629" s="421">
        <v>44</v>
      </c>
      <c r="B629" s="422"/>
      <c r="C629" s="428" t="s">
        <v>861</v>
      </c>
      <c r="D629" s="433" t="s">
        <v>40</v>
      </c>
      <c r="E629" s="425">
        <v>25000</v>
      </c>
      <c r="F629" s="422">
        <v>1</v>
      </c>
      <c r="G629" s="425">
        <f t="shared" si="49"/>
        <v>25000</v>
      </c>
      <c r="H629" s="425">
        <v>0</v>
      </c>
      <c r="I629" s="425">
        <f t="shared" si="50"/>
        <v>0</v>
      </c>
      <c r="J629" s="425">
        <v>0</v>
      </c>
      <c r="K629" s="425">
        <f t="shared" si="51"/>
        <v>0</v>
      </c>
      <c r="L629" s="425">
        <v>0</v>
      </c>
      <c r="M629" s="425">
        <f t="shared" si="52"/>
        <v>0</v>
      </c>
      <c r="N629" s="425">
        <v>0</v>
      </c>
      <c r="O629" s="425">
        <f t="shared" si="53"/>
        <v>0</v>
      </c>
    </row>
    <row r="630" spans="1:15" ht="47.25">
      <c r="A630" s="421">
        <v>45</v>
      </c>
      <c r="B630" s="422"/>
      <c r="C630" s="432" t="s">
        <v>862</v>
      </c>
      <c r="D630" s="424" t="s">
        <v>40</v>
      </c>
      <c r="E630" s="425">
        <v>33709.5</v>
      </c>
      <c r="F630" s="426">
        <v>1</v>
      </c>
      <c r="G630" s="425">
        <f t="shared" si="49"/>
        <v>33709.5</v>
      </c>
      <c r="H630" s="425">
        <v>0</v>
      </c>
      <c r="I630" s="425">
        <f t="shared" si="50"/>
        <v>0</v>
      </c>
      <c r="J630" s="425">
        <v>0</v>
      </c>
      <c r="K630" s="425">
        <f t="shared" si="51"/>
        <v>0</v>
      </c>
      <c r="L630" s="425">
        <v>0</v>
      </c>
      <c r="M630" s="425">
        <f t="shared" si="52"/>
        <v>0</v>
      </c>
      <c r="N630" s="425">
        <v>0</v>
      </c>
      <c r="O630" s="425">
        <f t="shared" si="53"/>
        <v>0</v>
      </c>
    </row>
    <row r="631" spans="1:15" ht="47.25">
      <c r="A631" s="421">
        <v>46</v>
      </c>
      <c r="B631" s="422"/>
      <c r="C631" s="423" t="s">
        <v>863</v>
      </c>
      <c r="D631" s="424" t="s">
        <v>40</v>
      </c>
      <c r="E631" s="425">
        <v>13614.32</v>
      </c>
      <c r="F631" s="426">
        <v>2</v>
      </c>
      <c r="G631" s="425">
        <f t="shared" si="49"/>
        <v>27228.639999999999</v>
      </c>
      <c r="H631" s="425">
        <v>0</v>
      </c>
      <c r="I631" s="425">
        <f t="shared" si="50"/>
        <v>0</v>
      </c>
      <c r="J631" s="425">
        <v>0</v>
      </c>
      <c r="K631" s="425">
        <f t="shared" si="51"/>
        <v>0</v>
      </c>
      <c r="L631" s="425">
        <v>0</v>
      </c>
      <c r="M631" s="425">
        <f t="shared" si="52"/>
        <v>0</v>
      </c>
      <c r="N631" s="425">
        <v>0</v>
      </c>
      <c r="O631" s="425">
        <f t="shared" si="53"/>
        <v>0</v>
      </c>
    </row>
    <row r="632" spans="1:15" ht="31.5">
      <c r="A632" s="421">
        <v>47</v>
      </c>
      <c r="B632" s="422"/>
      <c r="C632" s="423" t="s">
        <v>864</v>
      </c>
      <c r="D632" s="424" t="s">
        <v>40</v>
      </c>
      <c r="E632" s="425">
        <v>1589</v>
      </c>
      <c r="F632" s="426">
        <v>1</v>
      </c>
      <c r="G632" s="425">
        <f t="shared" si="49"/>
        <v>1589</v>
      </c>
      <c r="H632" s="425">
        <v>0</v>
      </c>
      <c r="I632" s="425">
        <f t="shared" si="50"/>
        <v>0</v>
      </c>
      <c r="J632" s="425">
        <v>0</v>
      </c>
      <c r="K632" s="425">
        <f t="shared" si="51"/>
        <v>0</v>
      </c>
      <c r="L632" s="425">
        <v>0</v>
      </c>
      <c r="M632" s="425">
        <f t="shared" si="52"/>
        <v>0</v>
      </c>
      <c r="N632" s="425">
        <v>0</v>
      </c>
      <c r="O632" s="425">
        <f t="shared" si="53"/>
        <v>0</v>
      </c>
    </row>
    <row r="633" spans="1:15" ht="31.5">
      <c r="A633" s="421">
        <v>48</v>
      </c>
      <c r="B633" s="422"/>
      <c r="C633" s="423" t="s">
        <v>865</v>
      </c>
      <c r="D633" s="424" t="s">
        <v>40</v>
      </c>
      <c r="E633" s="425">
        <v>8853</v>
      </c>
      <c r="F633" s="422">
        <v>1</v>
      </c>
      <c r="G633" s="425">
        <f t="shared" si="49"/>
        <v>8853</v>
      </c>
      <c r="H633" s="425">
        <v>0</v>
      </c>
      <c r="I633" s="425">
        <f t="shared" si="50"/>
        <v>0</v>
      </c>
      <c r="J633" s="425">
        <v>0</v>
      </c>
      <c r="K633" s="425">
        <f t="shared" si="51"/>
        <v>0</v>
      </c>
      <c r="L633" s="425">
        <v>0</v>
      </c>
      <c r="M633" s="425">
        <f t="shared" si="52"/>
        <v>0</v>
      </c>
      <c r="N633" s="425">
        <v>0</v>
      </c>
      <c r="O633" s="425">
        <f t="shared" si="53"/>
        <v>0</v>
      </c>
    </row>
    <row r="634" spans="1:15" ht="31.5">
      <c r="A634" s="421">
        <v>49</v>
      </c>
      <c r="B634" s="422"/>
      <c r="C634" s="423" t="s">
        <v>866</v>
      </c>
      <c r="D634" s="424" t="s">
        <v>40</v>
      </c>
      <c r="E634" s="425">
        <v>4540</v>
      </c>
      <c r="F634" s="426">
        <v>2</v>
      </c>
      <c r="G634" s="425">
        <f t="shared" si="49"/>
        <v>9080</v>
      </c>
      <c r="H634" s="425">
        <v>0</v>
      </c>
      <c r="I634" s="425">
        <f t="shared" si="50"/>
        <v>0</v>
      </c>
      <c r="J634" s="425">
        <v>0</v>
      </c>
      <c r="K634" s="425">
        <f t="shared" si="51"/>
        <v>0</v>
      </c>
      <c r="L634" s="425">
        <v>0</v>
      </c>
      <c r="M634" s="425">
        <f t="shared" si="52"/>
        <v>0</v>
      </c>
      <c r="N634" s="425">
        <v>0</v>
      </c>
      <c r="O634" s="425">
        <f t="shared" si="53"/>
        <v>0</v>
      </c>
    </row>
    <row r="635" spans="1:15" ht="47.25">
      <c r="A635" s="421">
        <v>50</v>
      </c>
      <c r="B635" s="422"/>
      <c r="C635" s="434" t="s">
        <v>867</v>
      </c>
      <c r="D635" s="424" t="s">
        <v>40</v>
      </c>
      <c r="E635" s="425">
        <v>17025</v>
      </c>
      <c r="F635" s="426">
        <v>1</v>
      </c>
      <c r="G635" s="425">
        <f t="shared" si="49"/>
        <v>17025</v>
      </c>
      <c r="H635" s="425">
        <v>0</v>
      </c>
      <c r="I635" s="425">
        <f t="shared" si="50"/>
        <v>0</v>
      </c>
      <c r="J635" s="425">
        <v>0</v>
      </c>
      <c r="K635" s="425">
        <f t="shared" si="51"/>
        <v>0</v>
      </c>
      <c r="L635" s="425">
        <v>0</v>
      </c>
      <c r="M635" s="425">
        <f t="shared" si="52"/>
        <v>0</v>
      </c>
      <c r="N635" s="425">
        <v>0</v>
      </c>
      <c r="O635" s="425">
        <f t="shared" si="53"/>
        <v>0</v>
      </c>
    </row>
    <row r="636" spans="1:15" ht="31.5">
      <c r="A636" s="421">
        <v>51</v>
      </c>
      <c r="B636" s="422"/>
      <c r="C636" s="423" t="s">
        <v>868</v>
      </c>
      <c r="D636" s="424" t="s">
        <v>40</v>
      </c>
      <c r="E636" s="425">
        <v>7924.73</v>
      </c>
      <c r="F636" s="426">
        <v>1</v>
      </c>
      <c r="G636" s="425">
        <f t="shared" si="49"/>
        <v>7924.73</v>
      </c>
      <c r="H636" s="425">
        <v>0</v>
      </c>
      <c r="I636" s="425">
        <f t="shared" si="50"/>
        <v>0</v>
      </c>
      <c r="J636" s="425">
        <v>0</v>
      </c>
      <c r="K636" s="425">
        <f t="shared" si="51"/>
        <v>0</v>
      </c>
      <c r="L636" s="425">
        <v>0</v>
      </c>
      <c r="M636" s="425">
        <f t="shared" si="52"/>
        <v>0</v>
      </c>
      <c r="N636" s="425">
        <v>0</v>
      </c>
      <c r="O636" s="425">
        <f t="shared" si="53"/>
        <v>0</v>
      </c>
    </row>
    <row r="637" spans="1:15" ht="31.5">
      <c r="A637" s="421">
        <v>52</v>
      </c>
      <c r="B637" s="422"/>
      <c r="C637" s="423" t="s">
        <v>869</v>
      </c>
      <c r="D637" s="424" t="s">
        <v>40</v>
      </c>
      <c r="E637" s="425">
        <v>5664</v>
      </c>
      <c r="F637" s="422">
        <v>1</v>
      </c>
      <c r="G637" s="425">
        <f t="shared" si="49"/>
        <v>5664</v>
      </c>
      <c r="H637" s="425">
        <v>0</v>
      </c>
      <c r="I637" s="425">
        <f t="shared" si="50"/>
        <v>0</v>
      </c>
      <c r="J637" s="425">
        <v>0</v>
      </c>
      <c r="K637" s="425">
        <f t="shared" si="51"/>
        <v>0</v>
      </c>
      <c r="L637" s="425">
        <v>0</v>
      </c>
      <c r="M637" s="425">
        <f t="shared" si="52"/>
        <v>0</v>
      </c>
      <c r="N637" s="425">
        <v>0</v>
      </c>
      <c r="O637" s="425">
        <f t="shared" si="53"/>
        <v>0</v>
      </c>
    </row>
    <row r="638" spans="1:15">
      <c r="A638" s="421">
        <v>53</v>
      </c>
      <c r="B638" s="422"/>
      <c r="C638" s="423" t="s">
        <v>870</v>
      </c>
      <c r="D638" s="424" t="s">
        <v>40</v>
      </c>
      <c r="E638" s="425">
        <v>7922</v>
      </c>
      <c r="F638" s="422">
        <v>1</v>
      </c>
      <c r="G638" s="425">
        <f t="shared" si="49"/>
        <v>7922</v>
      </c>
      <c r="H638" s="425">
        <v>0</v>
      </c>
      <c r="I638" s="425">
        <f t="shared" si="50"/>
        <v>0</v>
      </c>
      <c r="J638" s="425">
        <v>0</v>
      </c>
      <c r="K638" s="425">
        <f t="shared" si="51"/>
        <v>0</v>
      </c>
      <c r="L638" s="425">
        <v>0</v>
      </c>
      <c r="M638" s="425">
        <f t="shared" si="52"/>
        <v>0</v>
      </c>
      <c r="N638" s="425">
        <v>0</v>
      </c>
      <c r="O638" s="425">
        <f t="shared" si="53"/>
        <v>0</v>
      </c>
    </row>
    <row r="639" spans="1:15" ht="47.25">
      <c r="A639" s="421">
        <v>54</v>
      </c>
      <c r="B639" s="422"/>
      <c r="C639" s="434" t="s">
        <v>871</v>
      </c>
      <c r="D639" s="435" t="s">
        <v>40</v>
      </c>
      <c r="E639" s="425">
        <v>6782</v>
      </c>
      <c r="F639" s="426">
        <v>3</v>
      </c>
      <c r="G639" s="425">
        <f t="shared" si="49"/>
        <v>20346</v>
      </c>
      <c r="H639" s="425">
        <v>0</v>
      </c>
      <c r="I639" s="425">
        <f t="shared" si="50"/>
        <v>0</v>
      </c>
      <c r="J639" s="425">
        <v>0</v>
      </c>
      <c r="K639" s="425">
        <f t="shared" si="51"/>
        <v>0</v>
      </c>
      <c r="L639" s="425">
        <v>0</v>
      </c>
      <c r="M639" s="425">
        <f t="shared" si="52"/>
        <v>0</v>
      </c>
      <c r="N639" s="425">
        <v>0</v>
      </c>
      <c r="O639" s="425">
        <f t="shared" si="53"/>
        <v>0</v>
      </c>
    </row>
    <row r="640" spans="1:15" ht="47.25">
      <c r="A640" s="421">
        <v>55</v>
      </c>
      <c r="B640" s="422"/>
      <c r="C640" s="423" t="s">
        <v>872</v>
      </c>
      <c r="D640" s="424" t="s">
        <v>40</v>
      </c>
      <c r="E640" s="425">
        <v>112365</v>
      </c>
      <c r="F640" s="426">
        <v>1</v>
      </c>
      <c r="G640" s="425">
        <f t="shared" si="49"/>
        <v>112365</v>
      </c>
      <c r="H640" s="425">
        <v>0</v>
      </c>
      <c r="I640" s="425">
        <f t="shared" si="50"/>
        <v>0</v>
      </c>
      <c r="J640" s="425">
        <v>0</v>
      </c>
      <c r="K640" s="425">
        <f t="shared" si="51"/>
        <v>0</v>
      </c>
      <c r="L640" s="425">
        <v>0</v>
      </c>
      <c r="M640" s="425">
        <f t="shared" si="52"/>
        <v>0</v>
      </c>
      <c r="N640" s="425">
        <v>0</v>
      </c>
      <c r="O640" s="425">
        <f t="shared" si="53"/>
        <v>0</v>
      </c>
    </row>
    <row r="641" spans="1:15" ht="63">
      <c r="A641" s="421">
        <v>56</v>
      </c>
      <c r="B641" s="422"/>
      <c r="C641" s="423" t="s">
        <v>873</v>
      </c>
      <c r="D641" s="424" t="s">
        <v>40</v>
      </c>
      <c r="E641" s="425">
        <v>112365</v>
      </c>
      <c r="F641" s="426">
        <v>1</v>
      </c>
      <c r="G641" s="425">
        <f t="shared" si="49"/>
        <v>112365</v>
      </c>
      <c r="H641" s="425">
        <v>0</v>
      </c>
      <c r="I641" s="425">
        <f t="shared" si="50"/>
        <v>0</v>
      </c>
      <c r="J641" s="425">
        <v>0</v>
      </c>
      <c r="K641" s="425">
        <f t="shared" si="51"/>
        <v>0</v>
      </c>
      <c r="L641" s="425">
        <v>0</v>
      </c>
      <c r="M641" s="425">
        <f t="shared" si="52"/>
        <v>0</v>
      </c>
      <c r="N641" s="425">
        <v>0</v>
      </c>
      <c r="O641" s="425">
        <f t="shared" si="53"/>
        <v>0</v>
      </c>
    </row>
    <row r="642" spans="1:15" ht="63">
      <c r="A642" s="421">
        <v>57</v>
      </c>
      <c r="B642" s="422"/>
      <c r="C642" s="432" t="s">
        <v>874</v>
      </c>
      <c r="D642" s="424" t="s">
        <v>40</v>
      </c>
      <c r="E642" s="425">
        <v>6804</v>
      </c>
      <c r="F642" s="426">
        <v>3</v>
      </c>
      <c r="G642" s="425">
        <f t="shared" si="49"/>
        <v>20412</v>
      </c>
      <c r="H642" s="425">
        <v>0</v>
      </c>
      <c r="I642" s="425">
        <f t="shared" si="50"/>
        <v>0</v>
      </c>
      <c r="J642" s="425">
        <v>0</v>
      </c>
      <c r="K642" s="425">
        <f t="shared" si="51"/>
        <v>0</v>
      </c>
      <c r="L642" s="425">
        <v>0</v>
      </c>
      <c r="M642" s="425">
        <f t="shared" si="52"/>
        <v>0</v>
      </c>
      <c r="N642" s="425">
        <v>0</v>
      </c>
      <c r="O642" s="425">
        <f t="shared" si="53"/>
        <v>0</v>
      </c>
    </row>
    <row r="643" spans="1:15" ht="31.5">
      <c r="A643" s="421">
        <v>58</v>
      </c>
      <c r="B643" s="422"/>
      <c r="C643" s="423" t="s">
        <v>875</v>
      </c>
      <c r="D643" s="424" t="s">
        <v>40</v>
      </c>
      <c r="E643" s="425">
        <v>10203.65</v>
      </c>
      <c r="F643" s="426">
        <v>2</v>
      </c>
      <c r="G643" s="425">
        <f t="shared" si="49"/>
        <v>20407.3</v>
      </c>
      <c r="H643" s="425">
        <v>0</v>
      </c>
      <c r="I643" s="425">
        <f t="shared" si="50"/>
        <v>0</v>
      </c>
      <c r="J643" s="425">
        <v>0</v>
      </c>
      <c r="K643" s="425">
        <f t="shared" si="51"/>
        <v>0</v>
      </c>
      <c r="L643" s="425">
        <v>0</v>
      </c>
      <c r="M643" s="425">
        <f t="shared" si="52"/>
        <v>0</v>
      </c>
      <c r="N643" s="425">
        <v>0</v>
      </c>
      <c r="O643" s="425">
        <f t="shared" si="53"/>
        <v>0</v>
      </c>
    </row>
    <row r="644" spans="1:15" ht="31.5">
      <c r="A644" s="421">
        <v>59</v>
      </c>
      <c r="B644" s="422"/>
      <c r="C644" s="423" t="s">
        <v>876</v>
      </c>
      <c r="D644" s="424" t="s">
        <v>40</v>
      </c>
      <c r="E644" s="425">
        <v>6242.5</v>
      </c>
      <c r="F644" s="426" t="s">
        <v>848</v>
      </c>
      <c r="G644" s="425">
        <f t="shared" ref="G644:G682" si="54">F644*E644</f>
        <v>24970</v>
      </c>
      <c r="H644" s="425">
        <v>0</v>
      </c>
      <c r="I644" s="425">
        <f t="shared" ref="I644:I682" si="55">H644*E644</f>
        <v>0</v>
      </c>
      <c r="J644" s="425">
        <v>0</v>
      </c>
      <c r="K644" s="425">
        <f t="shared" ref="K644:K682" si="56">E644*J644</f>
        <v>0</v>
      </c>
      <c r="L644" s="425">
        <v>0</v>
      </c>
      <c r="M644" s="425">
        <f t="shared" ref="M644:M682" si="57">E644*L644</f>
        <v>0</v>
      </c>
      <c r="N644" s="425">
        <v>0</v>
      </c>
      <c r="O644" s="425">
        <f t="shared" ref="O644:O682" si="58">N644*E644</f>
        <v>0</v>
      </c>
    </row>
    <row r="645" spans="1:15" ht="31.5">
      <c r="A645" s="421">
        <v>60</v>
      </c>
      <c r="B645" s="422"/>
      <c r="C645" s="423" t="s">
        <v>877</v>
      </c>
      <c r="D645" s="424" t="s">
        <v>40</v>
      </c>
      <c r="E645" s="425">
        <v>140.63</v>
      </c>
      <c r="F645" s="422">
        <v>4</v>
      </c>
      <c r="G645" s="425">
        <f t="shared" si="54"/>
        <v>562.52</v>
      </c>
      <c r="H645" s="425">
        <v>0</v>
      </c>
      <c r="I645" s="425">
        <f t="shared" si="55"/>
        <v>0</v>
      </c>
      <c r="J645" s="425">
        <v>0</v>
      </c>
      <c r="K645" s="425">
        <f t="shared" si="56"/>
        <v>0</v>
      </c>
      <c r="L645" s="425">
        <v>0</v>
      </c>
      <c r="M645" s="425">
        <f t="shared" si="57"/>
        <v>0</v>
      </c>
      <c r="N645" s="425">
        <v>0</v>
      </c>
      <c r="O645" s="425">
        <f t="shared" si="58"/>
        <v>0</v>
      </c>
    </row>
    <row r="646" spans="1:15">
      <c r="A646" s="421">
        <v>61</v>
      </c>
      <c r="B646" s="422"/>
      <c r="C646" s="429" t="s">
        <v>878</v>
      </c>
      <c r="D646" s="424" t="s">
        <v>7</v>
      </c>
      <c r="E646" s="425">
        <v>3876.3</v>
      </c>
      <c r="F646" s="422">
        <v>3</v>
      </c>
      <c r="G646" s="425">
        <f t="shared" si="54"/>
        <v>11628.900000000001</v>
      </c>
      <c r="H646" s="425">
        <v>0</v>
      </c>
      <c r="I646" s="425">
        <f t="shared" si="55"/>
        <v>0</v>
      </c>
      <c r="J646" s="425">
        <v>0</v>
      </c>
      <c r="K646" s="425">
        <f t="shared" si="56"/>
        <v>0</v>
      </c>
      <c r="L646" s="425">
        <v>0</v>
      </c>
      <c r="M646" s="425">
        <f t="shared" si="57"/>
        <v>0</v>
      </c>
      <c r="N646" s="425">
        <v>0</v>
      </c>
      <c r="O646" s="425">
        <f t="shared" si="58"/>
        <v>0</v>
      </c>
    </row>
    <row r="647" spans="1:15" ht="31.5">
      <c r="A647" s="416"/>
      <c r="B647" s="416"/>
      <c r="C647" s="430" t="s">
        <v>879</v>
      </c>
      <c r="D647" s="431"/>
      <c r="E647" s="431"/>
      <c r="F647" s="431"/>
      <c r="G647" s="425">
        <f t="shared" si="54"/>
        <v>0</v>
      </c>
      <c r="H647" s="431"/>
      <c r="I647" s="425">
        <f t="shared" si="55"/>
        <v>0</v>
      </c>
      <c r="J647" s="431"/>
      <c r="K647" s="425">
        <f t="shared" si="56"/>
        <v>0</v>
      </c>
      <c r="L647" s="431"/>
      <c r="M647" s="425">
        <f t="shared" si="57"/>
        <v>0</v>
      </c>
      <c r="N647" s="431"/>
      <c r="O647" s="425">
        <f t="shared" si="58"/>
        <v>0</v>
      </c>
    </row>
    <row r="648" spans="1:15">
      <c r="A648" s="421">
        <v>62</v>
      </c>
      <c r="B648" s="422"/>
      <c r="C648" s="423" t="s">
        <v>880</v>
      </c>
      <c r="D648" s="424" t="s">
        <v>40</v>
      </c>
      <c r="E648" s="425">
        <v>329.15</v>
      </c>
      <c r="F648" s="422">
        <v>1</v>
      </c>
      <c r="G648" s="425">
        <f t="shared" si="54"/>
        <v>329.15</v>
      </c>
      <c r="H648" s="425">
        <v>0</v>
      </c>
      <c r="I648" s="425">
        <f t="shared" si="55"/>
        <v>0</v>
      </c>
      <c r="J648" s="425">
        <v>0</v>
      </c>
      <c r="K648" s="425">
        <f t="shared" si="56"/>
        <v>0</v>
      </c>
      <c r="L648" s="425">
        <v>0</v>
      </c>
      <c r="M648" s="425">
        <f t="shared" si="57"/>
        <v>0</v>
      </c>
      <c r="N648" s="425">
        <v>0</v>
      </c>
      <c r="O648" s="425">
        <f t="shared" si="58"/>
        <v>0</v>
      </c>
    </row>
    <row r="649" spans="1:15" ht="31.5">
      <c r="A649" s="421">
        <v>63</v>
      </c>
      <c r="B649" s="422"/>
      <c r="C649" s="428" t="s">
        <v>881</v>
      </c>
      <c r="D649" s="433" t="s">
        <v>40</v>
      </c>
      <c r="E649" s="425">
        <v>30000</v>
      </c>
      <c r="F649" s="422">
        <v>0</v>
      </c>
      <c r="G649" s="425">
        <f t="shared" si="54"/>
        <v>0</v>
      </c>
      <c r="H649" s="425">
        <v>0</v>
      </c>
      <c r="I649" s="425">
        <f t="shared" si="55"/>
        <v>0</v>
      </c>
      <c r="J649" s="425">
        <v>0</v>
      </c>
      <c r="K649" s="425">
        <f t="shared" si="56"/>
        <v>0</v>
      </c>
      <c r="L649" s="425">
        <v>0</v>
      </c>
      <c r="M649" s="425">
        <f t="shared" si="57"/>
        <v>0</v>
      </c>
      <c r="N649" s="425">
        <v>1</v>
      </c>
      <c r="O649" s="425">
        <f t="shared" si="58"/>
        <v>30000</v>
      </c>
    </row>
    <row r="650" spans="1:15" ht="47.25">
      <c r="A650" s="421">
        <v>64</v>
      </c>
      <c r="B650" s="422"/>
      <c r="C650" s="428" t="s">
        <v>882</v>
      </c>
      <c r="D650" s="433" t="s">
        <v>40</v>
      </c>
      <c r="E650" s="425">
        <v>200</v>
      </c>
      <c r="F650" s="422">
        <v>0</v>
      </c>
      <c r="G650" s="425">
        <f t="shared" si="54"/>
        <v>0</v>
      </c>
      <c r="H650" s="425">
        <v>0</v>
      </c>
      <c r="I650" s="425">
        <f t="shared" si="55"/>
        <v>0</v>
      </c>
      <c r="J650" s="425">
        <v>0</v>
      </c>
      <c r="K650" s="425">
        <f t="shared" si="56"/>
        <v>0</v>
      </c>
      <c r="L650" s="425">
        <v>0</v>
      </c>
      <c r="M650" s="425">
        <f t="shared" si="57"/>
        <v>0</v>
      </c>
      <c r="N650" s="425">
        <v>55</v>
      </c>
      <c r="O650" s="425">
        <f t="shared" si="58"/>
        <v>11000</v>
      </c>
    </row>
    <row r="651" spans="1:15" ht="31.5">
      <c r="A651" s="421">
        <v>65</v>
      </c>
      <c r="B651" s="422"/>
      <c r="C651" s="428" t="s">
        <v>883</v>
      </c>
      <c r="D651" s="433" t="s">
        <v>40</v>
      </c>
      <c r="E651" s="425">
        <v>200</v>
      </c>
      <c r="F651" s="422">
        <v>0</v>
      </c>
      <c r="G651" s="425">
        <f t="shared" si="54"/>
        <v>0</v>
      </c>
      <c r="H651" s="425">
        <v>0</v>
      </c>
      <c r="I651" s="425">
        <f t="shared" si="55"/>
        <v>0</v>
      </c>
      <c r="J651" s="425">
        <v>0</v>
      </c>
      <c r="K651" s="425">
        <f t="shared" si="56"/>
        <v>0</v>
      </c>
      <c r="L651" s="425">
        <v>0</v>
      </c>
      <c r="M651" s="425">
        <f t="shared" si="57"/>
        <v>0</v>
      </c>
      <c r="N651" s="425">
        <v>2</v>
      </c>
      <c r="O651" s="425">
        <f t="shared" si="58"/>
        <v>400</v>
      </c>
    </row>
    <row r="652" spans="1:15" ht="31.5">
      <c r="A652" s="421">
        <v>66</v>
      </c>
      <c r="B652" s="422"/>
      <c r="C652" s="428" t="s">
        <v>884</v>
      </c>
      <c r="D652" s="433" t="s">
        <v>40</v>
      </c>
      <c r="E652" s="425">
        <v>10000</v>
      </c>
      <c r="F652" s="422">
        <v>1</v>
      </c>
      <c r="G652" s="425">
        <f t="shared" si="54"/>
        <v>10000</v>
      </c>
      <c r="H652" s="425">
        <v>0</v>
      </c>
      <c r="I652" s="425">
        <f t="shared" si="55"/>
        <v>0</v>
      </c>
      <c r="J652" s="425">
        <v>0</v>
      </c>
      <c r="K652" s="425">
        <f t="shared" si="56"/>
        <v>0</v>
      </c>
      <c r="L652" s="425">
        <v>0</v>
      </c>
      <c r="M652" s="425">
        <f t="shared" si="57"/>
        <v>0</v>
      </c>
      <c r="N652" s="425">
        <v>0</v>
      </c>
      <c r="O652" s="425">
        <f t="shared" si="58"/>
        <v>0</v>
      </c>
    </row>
    <row r="653" spans="1:15">
      <c r="A653" s="421">
        <v>67</v>
      </c>
      <c r="B653" s="422"/>
      <c r="C653" s="428" t="s">
        <v>19</v>
      </c>
      <c r="D653" s="424" t="s">
        <v>40</v>
      </c>
      <c r="E653" s="425">
        <v>18510.099999999999</v>
      </c>
      <c r="F653" s="426" t="s">
        <v>885</v>
      </c>
      <c r="G653" s="425">
        <f t="shared" si="54"/>
        <v>92550.5</v>
      </c>
      <c r="H653" s="425">
        <v>0</v>
      </c>
      <c r="I653" s="425">
        <f t="shared" si="55"/>
        <v>0</v>
      </c>
      <c r="J653" s="425">
        <v>0</v>
      </c>
      <c r="K653" s="425">
        <f t="shared" si="56"/>
        <v>0</v>
      </c>
      <c r="L653" s="425">
        <v>0</v>
      </c>
      <c r="M653" s="425">
        <f t="shared" si="57"/>
        <v>0</v>
      </c>
      <c r="N653" s="425">
        <v>0</v>
      </c>
      <c r="O653" s="425">
        <f t="shared" si="58"/>
        <v>0</v>
      </c>
    </row>
    <row r="654" spans="1:15">
      <c r="A654" s="421">
        <v>68</v>
      </c>
      <c r="B654" s="422"/>
      <c r="C654" s="423" t="s">
        <v>886</v>
      </c>
      <c r="D654" s="424" t="s">
        <v>40</v>
      </c>
      <c r="E654" s="425">
        <v>879.63</v>
      </c>
      <c r="F654" s="422">
        <v>6</v>
      </c>
      <c r="G654" s="425">
        <f t="shared" si="54"/>
        <v>5277.78</v>
      </c>
      <c r="H654" s="425">
        <v>0</v>
      </c>
      <c r="I654" s="425">
        <f t="shared" si="55"/>
        <v>0</v>
      </c>
      <c r="J654" s="425">
        <v>0</v>
      </c>
      <c r="K654" s="425">
        <f t="shared" si="56"/>
        <v>0</v>
      </c>
      <c r="L654" s="425">
        <v>0</v>
      </c>
      <c r="M654" s="425">
        <f t="shared" si="57"/>
        <v>0</v>
      </c>
      <c r="N654" s="425">
        <v>0</v>
      </c>
      <c r="O654" s="425">
        <f t="shared" si="58"/>
        <v>0</v>
      </c>
    </row>
    <row r="655" spans="1:15">
      <c r="A655" s="416"/>
      <c r="B655" s="416"/>
      <c r="C655" s="430" t="s">
        <v>887</v>
      </c>
      <c r="D655" s="431"/>
      <c r="E655" s="431"/>
      <c r="F655" s="431"/>
      <c r="G655" s="425">
        <f t="shared" si="54"/>
        <v>0</v>
      </c>
      <c r="H655" s="431"/>
      <c r="I655" s="425">
        <f t="shared" si="55"/>
        <v>0</v>
      </c>
      <c r="J655" s="431"/>
      <c r="K655" s="425">
        <f t="shared" si="56"/>
        <v>0</v>
      </c>
      <c r="L655" s="431"/>
      <c r="M655" s="425">
        <f t="shared" si="57"/>
        <v>0</v>
      </c>
      <c r="N655" s="431"/>
      <c r="O655" s="425">
        <f t="shared" si="58"/>
        <v>0</v>
      </c>
    </row>
    <row r="656" spans="1:15" ht="47.25">
      <c r="A656" s="421">
        <v>69</v>
      </c>
      <c r="B656" s="422"/>
      <c r="C656" s="428" t="s">
        <v>888</v>
      </c>
      <c r="D656" s="424" t="s">
        <v>40</v>
      </c>
      <c r="E656" s="425">
        <v>13614.33</v>
      </c>
      <c r="F656" s="426">
        <v>1</v>
      </c>
      <c r="G656" s="425">
        <f t="shared" si="54"/>
        <v>13614.33</v>
      </c>
      <c r="H656" s="425">
        <v>0</v>
      </c>
      <c r="I656" s="425">
        <f t="shared" si="55"/>
        <v>0</v>
      </c>
      <c r="J656" s="425">
        <v>0</v>
      </c>
      <c r="K656" s="425">
        <f t="shared" si="56"/>
        <v>0</v>
      </c>
      <c r="L656" s="425">
        <v>0</v>
      </c>
      <c r="M656" s="425">
        <f t="shared" si="57"/>
        <v>0</v>
      </c>
      <c r="N656" s="425">
        <v>0</v>
      </c>
      <c r="O656" s="425">
        <f t="shared" si="58"/>
        <v>0</v>
      </c>
    </row>
    <row r="657" spans="1:15" ht="47.25">
      <c r="A657" s="421">
        <v>70</v>
      </c>
      <c r="B657" s="422"/>
      <c r="C657" s="423" t="s">
        <v>889</v>
      </c>
      <c r="D657" s="424" t="s">
        <v>890</v>
      </c>
      <c r="E657" s="425">
        <v>81213.5</v>
      </c>
      <c r="F657" s="422">
        <v>0</v>
      </c>
      <c r="G657" s="425">
        <f t="shared" si="54"/>
        <v>0</v>
      </c>
      <c r="H657" s="425">
        <v>0</v>
      </c>
      <c r="I657" s="425">
        <f t="shared" si="55"/>
        <v>0</v>
      </c>
      <c r="J657" s="425">
        <v>0</v>
      </c>
      <c r="K657" s="425">
        <f t="shared" si="56"/>
        <v>0</v>
      </c>
      <c r="L657" s="425">
        <v>0</v>
      </c>
      <c r="M657" s="425">
        <f t="shared" si="57"/>
        <v>0</v>
      </c>
      <c r="N657" s="425">
        <v>0</v>
      </c>
      <c r="O657" s="425">
        <f t="shared" si="58"/>
        <v>0</v>
      </c>
    </row>
    <row r="658" spans="1:15">
      <c r="A658" s="421">
        <v>71</v>
      </c>
      <c r="B658" s="422"/>
      <c r="C658" s="439" t="s">
        <v>891</v>
      </c>
      <c r="D658" s="433" t="s">
        <v>892</v>
      </c>
      <c r="E658" s="425">
        <v>73.16</v>
      </c>
      <c r="F658" s="422">
        <v>1780</v>
      </c>
      <c r="G658" s="425">
        <f t="shared" si="54"/>
        <v>130224.79999999999</v>
      </c>
      <c r="H658" s="425">
        <v>0</v>
      </c>
      <c r="I658" s="425">
        <f t="shared" si="55"/>
        <v>0</v>
      </c>
      <c r="J658" s="425">
        <v>0</v>
      </c>
      <c r="K658" s="425">
        <f t="shared" si="56"/>
        <v>0</v>
      </c>
      <c r="L658" s="425">
        <v>0</v>
      </c>
      <c r="M658" s="425">
        <f t="shared" si="57"/>
        <v>0</v>
      </c>
      <c r="N658" s="425">
        <v>0</v>
      </c>
      <c r="O658" s="425">
        <f t="shared" si="58"/>
        <v>0</v>
      </c>
    </row>
    <row r="659" spans="1:15" ht="31.5">
      <c r="A659" s="421">
        <v>72</v>
      </c>
      <c r="B659" s="422"/>
      <c r="C659" s="423" t="s">
        <v>893</v>
      </c>
      <c r="D659" s="424" t="s">
        <v>40</v>
      </c>
      <c r="E659" s="425">
        <v>22643</v>
      </c>
      <c r="F659" s="426">
        <v>1</v>
      </c>
      <c r="G659" s="425">
        <f t="shared" si="54"/>
        <v>22643</v>
      </c>
      <c r="H659" s="425">
        <v>0</v>
      </c>
      <c r="I659" s="425">
        <f t="shared" si="55"/>
        <v>0</v>
      </c>
      <c r="J659" s="425">
        <v>0</v>
      </c>
      <c r="K659" s="425">
        <f t="shared" si="56"/>
        <v>0</v>
      </c>
      <c r="L659" s="425">
        <v>0</v>
      </c>
      <c r="M659" s="425">
        <f t="shared" si="57"/>
        <v>0</v>
      </c>
      <c r="N659" s="425">
        <v>0</v>
      </c>
      <c r="O659" s="425">
        <f t="shared" si="58"/>
        <v>0</v>
      </c>
    </row>
    <row r="660" spans="1:15" ht="31.5">
      <c r="A660" s="421">
        <v>73</v>
      </c>
      <c r="B660" s="422"/>
      <c r="C660" s="428" t="s">
        <v>894</v>
      </c>
      <c r="D660" s="433" t="s">
        <v>7</v>
      </c>
      <c r="E660" s="425">
        <v>587.64</v>
      </c>
      <c r="F660" s="422">
        <v>3</v>
      </c>
      <c r="G660" s="425">
        <f t="shared" si="54"/>
        <v>1762.92</v>
      </c>
      <c r="H660" s="425">
        <v>0</v>
      </c>
      <c r="I660" s="425">
        <f t="shared" si="55"/>
        <v>0</v>
      </c>
      <c r="J660" s="425">
        <v>0</v>
      </c>
      <c r="K660" s="425">
        <f t="shared" si="56"/>
        <v>0</v>
      </c>
      <c r="L660" s="425">
        <v>0</v>
      </c>
      <c r="M660" s="425">
        <f t="shared" si="57"/>
        <v>0</v>
      </c>
      <c r="N660" s="425">
        <v>0</v>
      </c>
      <c r="O660" s="425">
        <f t="shared" si="58"/>
        <v>0</v>
      </c>
    </row>
    <row r="661" spans="1:15">
      <c r="A661" s="421">
        <v>74</v>
      </c>
      <c r="B661" s="422"/>
      <c r="C661" s="428" t="s">
        <v>895</v>
      </c>
      <c r="D661" s="433" t="s">
        <v>7</v>
      </c>
      <c r="E661" s="425">
        <v>703.28</v>
      </c>
      <c r="F661" s="422">
        <v>61</v>
      </c>
      <c r="G661" s="425">
        <f t="shared" si="54"/>
        <v>42900.08</v>
      </c>
      <c r="H661" s="425">
        <v>0</v>
      </c>
      <c r="I661" s="425">
        <f t="shared" si="55"/>
        <v>0</v>
      </c>
      <c r="J661" s="425">
        <v>0</v>
      </c>
      <c r="K661" s="425">
        <f t="shared" si="56"/>
        <v>0</v>
      </c>
      <c r="L661" s="425">
        <v>0</v>
      </c>
      <c r="M661" s="425">
        <f t="shared" si="57"/>
        <v>0</v>
      </c>
      <c r="N661" s="425">
        <v>0</v>
      </c>
      <c r="O661" s="425">
        <f t="shared" si="58"/>
        <v>0</v>
      </c>
    </row>
    <row r="662" spans="1:15" ht="47.25">
      <c r="A662" s="421">
        <v>75</v>
      </c>
      <c r="B662" s="422"/>
      <c r="C662" s="428" t="s">
        <v>896</v>
      </c>
      <c r="D662" s="433" t="s">
        <v>40</v>
      </c>
      <c r="E662" s="425">
        <v>38916.400000000001</v>
      </c>
      <c r="F662" s="422">
        <v>1</v>
      </c>
      <c r="G662" s="425">
        <f t="shared" si="54"/>
        <v>38916.400000000001</v>
      </c>
      <c r="H662" s="425">
        <v>0</v>
      </c>
      <c r="I662" s="425">
        <f t="shared" si="55"/>
        <v>0</v>
      </c>
      <c r="J662" s="425">
        <v>0</v>
      </c>
      <c r="K662" s="425">
        <f t="shared" si="56"/>
        <v>0</v>
      </c>
      <c r="L662" s="425">
        <v>0</v>
      </c>
      <c r="M662" s="425">
        <f t="shared" si="57"/>
        <v>0</v>
      </c>
      <c r="N662" s="425">
        <v>0</v>
      </c>
      <c r="O662" s="425">
        <f t="shared" si="58"/>
        <v>0</v>
      </c>
    </row>
    <row r="663" spans="1:15">
      <c r="A663" s="421">
        <v>76</v>
      </c>
      <c r="B663" s="422"/>
      <c r="C663" s="439" t="s">
        <v>897</v>
      </c>
      <c r="D663" s="433" t="s">
        <v>62</v>
      </c>
      <c r="E663" s="425">
        <v>9954</v>
      </c>
      <c r="F663" s="426">
        <v>4</v>
      </c>
      <c r="G663" s="425">
        <f t="shared" si="54"/>
        <v>39816</v>
      </c>
      <c r="H663" s="425">
        <v>0</v>
      </c>
      <c r="I663" s="425">
        <f t="shared" si="55"/>
        <v>0</v>
      </c>
      <c r="J663" s="425">
        <v>0</v>
      </c>
      <c r="K663" s="425">
        <f t="shared" si="56"/>
        <v>0</v>
      </c>
      <c r="L663" s="425">
        <v>0</v>
      </c>
      <c r="M663" s="425">
        <f t="shared" si="57"/>
        <v>0</v>
      </c>
      <c r="N663" s="425">
        <v>0</v>
      </c>
      <c r="O663" s="425">
        <f t="shared" si="58"/>
        <v>0</v>
      </c>
    </row>
    <row r="664" spans="1:15" ht="47.25">
      <c r="A664" s="421">
        <v>77</v>
      </c>
      <c r="B664" s="422"/>
      <c r="C664" s="428" t="s">
        <v>898</v>
      </c>
      <c r="D664" s="433" t="s">
        <v>40</v>
      </c>
      <c r="E664" s="425">
        <v>1500</v>
      </c>
      <c r="F664" s="422">
        <v>0</v>
      </c>
      <c r="G664" s="425">
        <f t="shared" si="54"/>
        <v>0</v>
      </c>
      <c r="H664" s="425">
        <v>0</v>
      </c>
      <c r="I664" s="425">
        <f t="shared" si="55"/>
        <v>0</v>
      </c>
      <c r="J664" s="425">
        <v>0</v>
      </c>
      <c r="K664" s="425">
        <f t="shared" si="56"/>
        <v>0</v>
      </c>
      <c r="L664" s="425">
        <v>0</v>
      </c>
      <c r="M664" s="425">
        <f t="shared" si="57"/>
        <v>0</v>
      </c>
      <c r="N664" s="425">
        <v>9</v>
      </c>
      <c r="O664" s="425">
        <f t="shared" si="58"/>
        <v>13500</v>
      </c>
    </row>
    <row r="665" spans="1:15" ht="31.5">
      <c r="A665" s="421">
        <v>78</v>
      </c>
      <c r="B665" s="422"/>
      <c r="C665" s="428" t="s">
        <v>899</v>
      </c>
      <c r="D665" s="433" t="s">
        <v>40</v>
      </c>
      <c r="E665" s="425">
        <v>37878</v>
      </c>
      <c r="F665" s="422">
        <v>2</v>
      </c>
      <c r="G665" s="425">
        <f t="shared" si="54"/>
        <v>75756</v>
      </c>
      <c r="H665" s="425">
        <v>0</v>
      </c>
      <c r="I665" s="425">
        <f t="shared" si="55"/>
        <v>0</v>
      </c>
      <c r="J665" s="425">
        <v>0</v>
      </c>
      <c r="K665" s="425">
        <f t="shared" si="56"/>
        <v>0</v>
      </c>
      <c r="L665" s="425">
        <v>0</v>
      </c>
      <c r="M665" s="425">
        <f t="shared" si="57"/>
        <v>0</v>
      </c>
      <c r="N665" s="425">
        <v>0</v>
      </c>
      <c r="O665" s="425">
        <f t="shared" si="58"/>
        <v>0</v>
      </c>
    </row>
    <row r="666" spans="1:15">
      <c r="A666" s="421">
        <v>79</v>
      </c>
      <c r="B666" s="422"/>
      <c r="C666" s="423" t="s">
        <v>900</v>
      </c>
      <c r="D666" s="424" t="s">
        <v>901</v>
      </c>
      <c r="E666" s="425">
        <v>13</v>
      </c>
      <c r="F666" s="426">
        <v>385.5</v>
      </c>
      <c r="G666" s="425">
        <f t="shared" si="54"/>
        <v>5011.5</v>
      </c>
      <c r="H666" s="425">
        <v>0</v>
      </c>
      <c r="I666" s="425">
        <f t="shared" si="55"/>
        <v>0</v>
      </c>
      <c r="J666" s="425">
        <v>0</v>
      </c>
      <c r="K666" s="425">
        <f t="shared" si="56"/>
        <v>0</v>
      </c>
      <c r="L666" s="425">
        <v>0</v>
      </c>
      <c r="M666" s="425">
        <f t="shared" si="57"/>
        <v>0</v>
      </c>
      <c r="N666" s="425">
        <v>0</v>
      </c>
      <c r="O666" s="425">
        <f t="shared" si="58"/>
        <v>0</v>
      </c>
    </row>
    <row r="667" spans="1:15">
      <c r="A667" s="431"/>
      <c r="B667" s="431"/>
      <c r="C667" s="431"/>
      <c r="D667" s="431"/>
      <c r="E667" s="431"/>
      <c r="F667" s="431"/>
      <c r="G667" s="440"/>
      <c r="H667" s="431"/>
      <c r="I667" s="440"/>
      <c r="J667" s="431"/>
      <c r="K667" s="431"/>
      <c r="L667" s="431"/>
      <c r="M667" s="431"/>
      <c r="N667" s="431"/>
      <c r="O667" s="431"/>
    </row>
    <row r="668" spans="1:15">
      <c r="A668" s="431"/>
      <c r="B668" s="431"/>
      <c r="C668" s="431"/>
      <c r="D668" s="431"/>
      <c r="E668" s="431"/>
      <c r="F668" s="431"/>
      <c r="G668" s="431"/>
      <c r="H668" s="431"/>
      <c r="I668" s="431"/>
      <c r="J668" s="431"/>
      <c r="K668" s="431"/>
      <c r="L668" s="431"/>
      <c r="M668" s="431"/>
      <c r="N668" s="431"/>
      <c r="O668" s="431"/>
    </row>
    <row r="669" spans="1:15" ht="31.5">
      <c r="A669" s="421">
        <v>80</v>
      </c>
      <c r="B669" s="422"/>
      <c r="C669" s="423" t="s">
        <v>902</v>
      </c>
      <c r="D669" s="424" t="s">
        <v>903</v>
      </c>
      <c r="E669" s="425">
        <v>20</v>
      </c>
      <c r="F669" s="422">
        <v>255</v>
      </c>
      <c r="G669" s="425">
        <f t="shared" si="54"/>
        <v>5100</v>
      </c>
      <c r="H669" s="425">
        <v>0</v>
      </c>
      <c r="I669" s="425">
        <f t="shared" si="55"/>
        <v>0</v>
      </c>
      <c r="J669" s="425">
        <v>0</v>
      </c>
      <c r="K669" s="425">
        <f t="shared" si="56"/>
        <v>0</v>
      </c>
      <c r="L669" s="425">
        <v>0</v>
      </c>
      <c r="M669" s="425">
        <f t="shared" si="57"/>
        <v>0</v>
      </c>
      <c r="N669" s="425">
        <v>0</v>
      </c>
      <c r="O669" s="425">
        <f t="shared" si="58"/>
        <v>0</v>
      </c>
    </row>
    <row r="670" spans="1:15">
      <c r="A670" s="421">
        <v>81</v>
      </c>
      <c r="B670" s="422"/>
      <c r="C670" s="423" t="s">
        <v>904</v>
      </c>
      <c r="D670" s="424" t="s">
        <v>40</v>
      </c>
      <c r="E670" s="425">
        <v>500</v>
      </c>
      <c r="F670" s="426">
        <v>2</v>
      </c>
      <c r="G670" s="425">
        <f t="shared" si="54"/>
        <v>1000</v>
      </c>
      <c r="H670" s="425">
        <v>0</v>
      </c>
      <c r="I670" s="425">
        <f t="shared" si="55"/>
        <v>0</v>
      </c>
      <c r="J670" s="425">
        <v>0</v>
      </c>
      <c r="K670" s="425">
        <f t="shared" si="56"/>
        <v>0</v>
      </c>
      <c r="L670" s="425">
        <v>0</v>
      </c>
      <c r="M670" s="425">
        <f t="shared" si="57"/>
        <v>0</v>
      </c>
      <c r="N670" s="425">
        <v>0</v>
      </c>
      <c r="O670" s="425">
        <f t="shared" si="58"/>
        <v>0</v>
      </c>
    </row>
    <row r="671" spans="1:15" ht="31.5">
      <c r="A671" s="421">
        <v>82</v>
      </c>
      <c r="B671" s="422"/>
      <c r="C671" s="423" t="s">
        <v>905</v>
      </c>
      <c r="D671" s="433" t="s">
        <v>387</v>
      </c>
      <c r="E671" s="425">
        <v>15.32</v>
      </c>
      <c r="F671" s="426">
        <v>1500</v>
      </c>
      <c r="G671" s="425">
        <f t="shared" si="54"/>
        <v>22980</v>
      </c>
      <c r="H671" s="425">
        <v>0</v>
      </c>
      <c r="I671" s="425">
        <f t="shared" si="55"/>
        <v>0</v>
      </c>
      <c r="J671" s="425">
        <v>0</v>
      </c>
      <c r="K671" s="425">
        <f t="shared" si="56"/>
        <v>0</v>
      </c>
      <c r="L671" s="425">
        <v>0</v>
      </c>
      <c r="M671" s="425">
        <f t="shared" si="57"/>
        <v>0</v>
      </c>
      <c r="N671" s="425">
        <v>0</v>
      </c>
      <c r="O671" s="425">
        <f t="shared" si="58"/>
        <v>0</v>
      </c>
    </row>
    <row r="672" spans="1:15">
      <c r="A672" s="421">
        <v>83</v>
      </c>
      <c r="B672" s="422"/>
      <c r="C672" s="423" t="s">
        <v>906</v>
      </c>
      <c r="D672" s="433" t="s">
        <v>40</v>
      </c>
      <c r="E672" s="425">
        <v>418.82</v>
      </c>
      <c r="F672" s="426">
        <v>5</v>
      </c>
      <c r="G672" s="425">
        <f t="shared" si="54"/>
        <v>2094.1</v>
      </c>
      <c r="H672" s="425">
        <v>0</v>
      </c>
      <c r="I672" s="425">
        <f t="shared" si="55"/>
        <v>0</v>
      </c>
      <c r="J672" s="425">
        <v>0</v>
      </c>
      <c r="K672" s="425">
        <f t="shared" si="56"/>
        <v>0</v>
      </c>
      <c r="L672" s="425">
        <v>0</v>
      </c>
      <c r="M672" s="425">
        <f t="shared" si="57"/>
        <v>0</v>
      </c>
      <c r="N672" s="425">
        <v>0</v>
      </c>
      <c r="O672" s="425">
        <f t="shared" si="58"/>
        <v>0</v>
      </c>
    </row>
    <row r="673" spans="1:15" ht="31.5">
      <c r="A673" s="421">
        <v>84</v>
      </c>
      <c r="B673" s="422"/>
      <c r="C673" s="423" t="s">
        <v>907</v>
      </c>
      <c r="D673" s="424" t="s">
        <v>40</v>
      </c>
      <c r="E673" s="425">
        <v>75000</v>
      </c>
      <c r="F673" s="426" t="s">
        <v>848</v>
      </c>
      <c r="G673" s="425">
        <f t="shared" si="54"/>
        <v>300000</v>
      </c>
      <c r="H673" s="425">
        <v>0</v>
      </c>
      <c r="I673" s="425">
        <f t="shared" si="55"/>
        <v>0</v>
      </c>
      <c r="J673" s="425">
        <v>0</v>
      </c>
      <c r="K673" s="425">
        <f t="shared" si="56"/>
        <v>0</v>
      </c>
      <c r="L673" s="425">
        <v>0</v>
      </c>
      <c r="M673" s="425">
        <f t="shared" si="57"/>
        <v>0</v>
      </c>
      <c r="N673" s="425">
        <v>0</v>
      </c>
      <c r="O673" s="425">
        <f t="shared" si="58"/>
        <v>0</v>
      </c>
    </row>
    <row r="674" spans="1:15" ht="47.25">
      <c r="A674" s="421">
        <v>85</v>
      </c>
      <c r="B674" s="422"/>
      <c r="C674" s="423" t="s">
        <v>908</v>
      </c>
      <c r="D674" s="424" t="s">
        <v>40</v>
      </c>
      <c r="E674" s="425">
        <v>15000</v>
      </c>
      <c r="F674" s="426" t="s">
        <v>802</v>
      </c>
      <c r="G674" s="425">
        <f t="shared" si="54"/>
        <v>45000</v>
      </c>
      <c r="H674" s="425">
        <v>0</v>
      </c>
      <c r="I674" s="425">
        <f t="shared" si="55"/>
        <v>0</v>
      </c>
      <c r="J674" s="425"/>
      <c r="K674" s="425">
        <f t="shared" si="56"/>
        <v>0</v>
      </c>
      <c r="L674" s="425"/>
      <c r="M674" s="425">
        <f t="shared" si="57"/>
        <v>0</v>
      </c>
      <c r="N674" s="425"/>
      <c r="O674" s="425">
        <f t="shared" si="58"/>
        <v>0</v>
      </c>
    </row>
    <row r="675" spans="1:15" ht="47.25">
      <c r="A675" s="421">
        <v>86</v>
      </c>
      <c r="B675" s="422"/>
      <c r="C675" s="423" t="s">
        <v>909</v>
      </c>
      <c r="D675" s="424" t="s">
        <v>40</v>
      </c>
      <c r="E675" s="425">
        <v>10000</v>
      </c>
      <c r="F675" s="426">
        <v>1</v>
      </c>
      <c r="G675" s="425">
        <f t="shared" si="54"/>
        <v>10000</v>
      </c>
      <c r="H675" s="425">
        <v>0</v>
      </c>
      <c r="I675" s="425">
        <f t="shared" si="55"/>
        <v>0</v>
      </c>
      <c r="J675" s="425">
        <v>0</v>
      </c>
      <c r="K675" s="425">
        <f t="shared" si="56"/>
        <v>0</v>
      </c>
      <c r="L675" s="425">
        <v>0</v>
      </c>
      <c r="M675" s="425">
        <f t="shared" si="57"/>
        <v>0</v>
      </c>
      <c r="N675" s="425">
        <v>0</v>
      </c>
      <c r="O675" s="425">
        <f t="shared" si="58"/>
        <v>0</v>
      </c>
    </row>
    <row r="676" spans="1:15" ht="31.5">
      <c r="A676" s="421">
        <v>87</v>
      </c>
      <c r="B676" s="422"/>
      <c r="C676" s="423" t="s">
        <v>910</v>
      </c>
      <c r="D676" s="424" t="s">
        <v>40</v>
      </c>
      <c r="E676" s="425">
        <v>2000</v>
      </c>
      <c r="F676" s="426">
        <v>2</v>
      </c>
      <c r="G676" s="425">
        <f t="shared" si="54"/>
        <v>4000</v>
      </c>
      <c r="H676" s="425">
        <v>0</v>
      </c>
      <c r="I676" s="425">
        <f t="shared" si="55"/>
        <v>0</v>
      </c>
      <c r="J676" s="425">
        <v>0</v>
      </c>
      <c r="K676" s="425">
        <f t="shared" si="56"/>
        <v>0</v>
      </c>
      <c r="L676" s="425">
        <v>0</v>
      </c>
      <c r="M676" s="425">
        <f t="shared" si="57"/>
        <v>0</v>
      </c>
      <c r="N676" s="425">
        <v>0</v>
      </c>
      <c r="O676" s="425">
        <f t="shared" si="58"/>
        <v>0</v>
      </c>
    </row>
    <row r="677" spans="1:15">
      <c r="A677" s="421">
        <v>88</v>
      </c>
      <c r="B677" s="422"/>
      <c r="C677" s="423" t="s">
        <v>911</v>
      </c>
      <c r="D677" s="424" t="s">
        <v>40</v>
      </c>
      <c r="E677" s="425">
        <v>250</v>
      </c>
      <c r="F677" s="426">
        <v>0</v>
      </c>
      <c r="G677" s="425">
        <f t="shared" si="54"/>
        <v>0</v>
      </c>
      <c r="H677" s="425">
        <v>0</v>
      </c>
      <c r="I677" s="425">
        <f t="shared" si="55"/>
        <v>0</v>
      </c>
      <c r="J677" s="425">
        <v>0</v>
      </c>
      <c r="K677" s="425">
        <f t="shared" si="56"/>
        <v>0</v>
      </c>
      <c r="L677" s="425">
        <v>0</v>
      </c>
      <c r="M677" s="425">
        <f t="shared" si="57"/>
        <v>0</v>
      </c>
      <c r="N677" s="425">
        <v>32</v>
      </c>
      <c r="O677" s="425">
        <f t="shared" si="58"/>
        <v>8000</v>
      </c>
    </row>
    <row r="678" spans="1:15" ht="47.25">
      <c r="A678" s="421">
        <v>89</v>
      </c>
      <c r="B678" s="422"/>
      <c r="C678" s="423" t="s">
        <v>912</v>
      </c>
      <c r="D678" s="424" t="s">
        <v>257</v>
      </c>
      <c r="E678" s="425">
        <v>5000</v>
      </c>
      <c r="F678" s="426" t="s">
        <v>913</v>
      </c>
      <c r="G678" s="425">
        <f t="shared" si="54"/>
        <v>0</v>
      </c>
      <c r="H678" s="425">
        <v>0</v>
      </c>
      <c r="I678" s="425">
        <f t="shared" si="55"/>
        <v>0</v>
      </c>
      <c r="J678" s="425">
        <v>0</v>
      </c>
      <c r="K678" s="425">
        <f t="shared" si="56"/>
        <v>0</v>
      </c>
      <c r="L678" s="425">
        <v>0</v>
      </c>
      <c r="M678" s="425">
        <f t="shared" si="57"/>
        <v>0</v>
      </c>
      <c r="N678" s="425">
        <v>1</v>
      </c>
      <c r="O678" s="425">
        <f t="shared" si="58"/>
        <v>5000</v>
      </c>
    </row>
    <row r="679" spans="1:15" ht="31.5">
      <c r="A679" s="421">
        <v>90</v>
      </c>
      <c r="B679" s="422"/>
      <c r="C679" s="423" t="s">
        <v>914</v>
      </c>
      <c r="D679" s="424" t="s">
        <v>62</v>
      </c>
      <c r="E679" s="425">
        <v>1000</v>
      </c>
      <c r="F679" s="426" t="s">
        <v>913</v>
      </c>
      <c r="G679" s="425">
        <f t="shared" si="54"/>
        <v>0</v>
      </c>
      <c r="H679" s="425">
        <v>0</v>
      </c>
      <c r="I679" s="425">
        <f t="shared" si="55"/>
        <v>0</v>
      </c>
      <c r="J679" s="425">
        <v>0</v>
      </c>
      <c r="K679" s="425">
        <f t="shared" si="56"/>
        <v>0</v>
      </c>
      <c r="L679" s="425">
        <v>0</v>
      </c>
      <c r="M679" s="425">
        <f t="shared" si="57"/>
        <v>0</v>
      </c>
      <c r="N679" s="425">
        <v>6</v>
      </c>
      <c r="O679" s="425">
        <f t="shared" si="58"/>
        <v>6000</v>
      </c>
    </row>
    <row r="680" spans="1:15">
      <c r="A680" s="421">
        <v>91</v>
      </c>
      <c r="B680" s="422"/>
      <c r="C680" s="436" t="s">
        <v>915</v>
      </c>
      <c r="D680" s="424" t="s">
        <v>387</v>
      </c>
      <c r="E680" s="425">
        <v>40</v>
      </c>
      <c r="F680" s="426">
        <v>175.5</v>
      </c>
      <c r="G680" s="425">
        <f>F680*E680</f>
        <v>7020</v>
      </c>
      <c r="H680" s="425">
        <v>0</v>
      </c>
      <c r="I680" s="425">
        <f>H680*E680</f>
        <v>0</v>
      </c>
      <c r="J680" s="425">
        <v>0</v>
      </c>
      <c r="K680" s="425">
        <f>E680*J680</f>
        <v>0</v>
      </c>
      <c r="L680" s="425">
        <v>0</v>
      </c>
      <c r="M680" s="425">
        <f>E680*L680</f>
        <v>0</v>
      </c>
      <c r="N680" s="425">
        <v>0</v>
      </c>
      <c r="O680" s="425">
        <f>N680*E680</f>
        <v>0</v>
      </c>
    </row>
    <row r="681" spans="1:15" ht="47.25">
      <c r="A681" s="421">
        <v>92</v>
      </c>
      <c r="B681" s="422"/>
      <c r="C681" s="441" t="s">
        <v>916</v>
      </c>
      <c r="D681" s="424" t="s">
        <v>917</v>
      </c>
      <c r="E681" s="425">
        <v>15000</v>
      </c>
      <c r="F681" s="426" t="s">
        <v>918</v>
      </c>
      <c r="G681" s="425">
        <f>F681*E681</f>
        <v>11745</v>
      </c>
      <c r="H681" s="425">
        <v>0</v>
      </c>
      <c r="I681" s="425">
        <f>H681*E681</f>
        <v>0</v>
      </c>
      <c r="J681" s="425">
        <v>0</v>
      </c>
      <c r="K681" s="425">
        <f>E681*J681</f>
        <v>0</v>
      </c>
      <c r="L681" s="425">
        <v>0</v>
      </c>
      <c r="M681" s="425">
        <f>E681*L681</f>
        <v>0</v>
      </c>
      <c r="N681" s="425">
        <v>0</v>
      </c>
      <c r="O681" s="425">
        <f>N681*E681</f>
        <v>0</v>
      </c>
    </row>
    <row r="682" spans="1:15" ht="31.5">
      <c r="A682" s="421">
        <v>93</v>
      </c>
      <c r="B682" s="422"/>
      <c r="C682" s="436" t="s">
        <v>919</v>
      </c>
      <c r="D682" s="433" t="s">
        <v>387</v>
      </c>
      <c r="E682" s="425">
        <v>40</v>
      </c>
      <c r="F682" s="426">
        <v>50</v>
      </c>
      <c r="G682" s="425">
        <f>F682*E682</f>
        <v>2000</v>
      </c>
      <c r="H682" s="425">
        <v>0</v>
      </c>
      <c r="I682" s="425">
        <f>H682*E682</f>
        <v>0</v>
      </c>
      <c r="J682" s="425">
        <v>0</v>
      </c>
      <c r="K682" s="425">
        <f>E682*J682</f>
        <v>0</v>
      </c>
      <c r="L682" s="425">
        <v>0</v>
      </c>
      <c r="M682" s="425">
        <f>E682*L682</f>
        <v>0</v>
      </c>
      <c r="N682" s="425">
        <v>0</v>
      </c>
      <c r="O682" s="425">
        <f>N682*E682</f>
        <v>0</v>
      </c>
    </row>
    <row r="683" spans="1:15">
      <c r="A683" s="442"/>
      <c r="B683" s="443"/>
      <c r="C683" s="444"/>
      <c r="D683" s="445"/>
      <c r="E683" s="446"/>
      <c r="F683" s="447"/>
      <c r="G683" s="446">
        <f>SUM(G579:G682)</f>
        <v>2165812.0599999996</v>
      </c>
      <c r="H683" s="446"/>
      <c r="I683" s="446">
        <f>SUM(I579:I682)</f>
        <v>0</v>
      </c>
      <c r="J683" s="446"/>
      <c r="K683" s="446">
        <f>SUM(K579:K682)</f>
        <v>0</v>
      </c>
      <c r="L683" s="446"/>
      <c r="M683" s="446">
        <f>SUM(M579:M682)</f>
        <v>0</v>
      </c>
      <c r="N683" s="446"/>
      <c r="O683" s="446">
        <f>SUM(O579:O682)</f>
        <v>73910</v>
      </c>
    </row>
    <row r="684" spans="1:15">
      <c r="A684" s="442"/>
      <c r="B684" s="443"/>
      <c r="C684" s="444"/>
      <c r="D684" s="445"/>
      <c r="E684" s="446"/>
      <c r="F684" s="447"/>
      <c r="G684" s="446"/>
      <c r="H684" s="446"/>
      <c r="I684" s="446"/>
      <c r="J684" s="446"/>
      <c r="K684" s="446"/>
      <c r="L684" s="446"/>
      <c r="M684" s="446"/>
      <c r="N684" s="446"/>
      <c r="O684" s="446"/>
    </row>
    <row r="685" spans="1:15">
      <c r="A685" s="442"/>
      <c r="B685" s="443"/>
      <c r="C685" s="444"/>
      <c r="D685" s="445"/>
      <c r="E685" s="446"/>
      <c r="F685" s="447"/>
      <c r="G685" s="446"/>
      <c r="H685" s="446"/>
      <c r="I685" s="446"/>
      <c r="J685" s="446"/>
      <c r="K685" s="446"/>
      <c r="L685" s="446"/>
      <c r="M685" s="446"/>
      <c r="N685" s="446"/>
      <c r="O685" s="446"/>
    </row>
    <row r="686" spans="1:15">
      <c r="A686" s="442"/>
      <c r="B686" s="443"/>
      <c r="C686" s="444"/>
      <c r="D686" s="445"/>
      <c r="E686" s="446"/>
      <c r="F686" s="447"/>
      <c r="G686" s="446"/>
      <c r="H686" s="446"/>
      <c r="I686" s="446"/>
      <c r="J686" s="446"/>
      <c r="K686" s="446"/>
      <c r="L686" s="446"/>
      <c r="M686" s="446"/>
      <c r="N686" s="446"/>
      <c r="O686" s="446"/>
    </row>
    <row r="687" spans="1:15">
      <c r="A687" s="442"/>
      <c r="B687" s="443"/>
      <c r="C687" s="444"/>
      <c r="D687" s="445"/>
      <c r="E687" s="446"/>
      <c r="F687" s="447"/>
      <c r="G687" s="446"/>
      <c r="H687" s="446"/>
      <c r="I687" s="446"/>
      <c r="J687" s="446"/>
      <c r="K687" s="446"/>
      <c r="L687" s="446"/>
      <c r="M687" s="446"/>
      <c r="N687" s="446"/>
      <c r="O687" s="446"/>
    </row>
    <row r="688" spans="1:15">
      <c r="A688" s="431"/>
      <c r="B688" s="431"/>
      <c r="C688" s="431"/>
      <c r="D688" s="431"/>
      <c r="E688" s="431"/>
      <c r="F688" s="431"/>
      <c r="G688" s="431"/>
      <c r="H688" s="431"/>
      <c r="I688" s="431"/>
      <c r="J688" s="431"/>
      <c r="K688" s="431"/>
      <c r="L688" s="431"/>
      <c r="M688" s="431"/>
      <c r="N688" s="431"/>
      <c r="O688" s="431"/>
    </row>
    <row r="689" spans="1:15">
      <c r="A689" s="431"/>
      <c r="B689" s="431"/>
      <c r="C689" s="431"/>
      <c r="D689" s="431"/>
      <c r="E689" s="431"/>
      <c r="F689" s="431"/>
      <c r="G689" s="431"/>
      <c r="H689" s="431"/>
      <c r="I689" s="431"/>
      <c r="J689" s="431"/>
      <c r="K689" s="431"/>
      <c r="L689" s="431"/>
      <c r="M689" s="431"/>
      <c r="N689" s="431"/>
      <c r="O689" s="431"/>
    </row>
    <row r="690" spans="1:15">
      <c r="A690" s="431"/>
      <c r="B690" s="431"/>
      <c r="C690" s="431"/>
      <c r="D690" s="431"/>
      <c r="E690" s="431"/>
      <c r="F690" s="431"/>
      <c r="G690" s="431"/>
      <c r="H690" s="431"/>
      <c r="I690" s="431"/>
      <c r="J690" s="431"/>
      <c r="K690" s="431"/>
      <c r="L690" s="431"/>
      <c r="M690" s="431"/>
      <c r="N690" s="431"/>
      <c r="O690" s="431"/>
    </row>
    <row r="691" spans="1:15">
      <c r="A691" s="431"/>
      <c r="B691" s="431"/>
      <c r="C691" s="448" t="s">
        <v>920</v>
      </c>
      <c r="D691" s="448"/>
      <c r="E691" s="448"/>
      <c r="F691" s="448"/>
      <c r="G691" s="448"/>
      <c r="H691" s="448"/>
      <c r="I691" s="448"/>
      <c r="J691" s="448"/>
      <c r="K691" s="448"/>
      <c r="L691" s="431"/>
      <c r="M691" s="431"/>
      <c r="N691" s="431"/>
      <c r="O691" s="431"/>
    </row>
    <row r="692" spans="1:15">
      <c r="A692" s="431"/>
      <c r="B692" s="431"/>
      <c r="C692" s="449"/>
      <c r="D692" s="450"/>
      <c r="E692" s="431"/>
      <c r="F692" s="450"/>
      <c r="G692" s="431"/>
      <c r="H692" s="431"/>
      <c r="I692" s="431"/>
      <c r="J692" s="431"/>
      <c r="K692" s="431"/>
      <c r="L692" s="431"/>
      <c r="M692" s="431"/>
      <c r="N692" s="431"/>
      <c r="O692" s="431"/>
    </row>
    <row r="693" spans="1:15">
      <c r="A693" s="431"/>
      <c r="B693" s="431"/>
      <c r="C693" s="451" t="s">
        <v>921</v>
      </c>
      <c r="D693" s="451"/>
      <c r="E693" s="451"/>
      <c r="F693" s="451" t="s">
        <v>922</v>
      </c>
      <c r="G693" s="451"/>
      <c r="H693" s="451"/>
      <c r="I693" s="451" t="s">
        <v>923</v>
      </c>
      <c r="J693" s="451"/>
      <c r="K693" s="451"/>
      <c r="L693" s="431"/>
      <c r="M693" s="431"/>
      <c r="N693" s="431"/>
      <c r="O693" s="431"/>
    </row>
    <row r="694" spans="1:15">
      <c r="A694" s="431"/>
      <c r="B694" s="431"/>
      <c r="C694" s="452">
        <f>F694+I694</f>
        <v>2239722.0599999996</v>
      </c>
      <c r="D694" s="453"/>
      <c r="E694" s="454"/>
      <c r="F694" s="452">
        <f>G683</f>
        <v>2165812.0599999996</v>
      </c>
      <c r="G694" s="453"/>
      <c r="H694" s="454"/>
      <c r="I694" s="452">
        <f>O683</f>
        <v>73910</v>
      </c>
      <c r="J694" s="455"/>
      <c r="K694" s="456"/>
      <c r="L694" s="431"/>
      <c r="M694" s="431"/>
      <c r="N694" s="431"/>
      <c r="O694" s="431"/>
    </row>
    <row r="700" spans="1:15">
      <c r="A700" s="102" t="s">
        <v>924</v>
      </c>
      <c r="B700" s="102"/>
      <c r="C700" s="102"/>
      <c r="D700" s="102"/>
      <c r="E700" s="102"/>
      <c r="F700" s="102"/>
      <c r="G700" s="102"/>
      <c r="H700" s="102"/>
      <c r="I700" s="102"/>
      <c r="J700" s="102"/>
      <c r="K700" s="102"/>
    </row>
    <row r="701" spans="1:15">
      <c r="A701" s="102" t="s">
        <v>925</v>
      </c>
      <c r="B701" s="102"/>
      <c r="C701" s="102"/>
      <c r="D701" s="102"/>
      <c r="E701" s="102"/>
      <c r="F701" s="102"/>
      <c r="G701" s="102"/>
      <c r="H701" s="102"/>
      <c r="I701" s="102"/>
      <c r="J701" s="102"/>
      <c r="K701" s="102"/>
    </row>
    <row r="702" spans="1:15">
      <c r="A702" s="457" t="s">
        <v>926</v>
      </c>
      <c r="B702" s="457"/>
      <c r="C702" s="457"/>
      <c r="D702" s="457"/>
      <c r="E702" s="457"/>
      <c r="F702" s="457"/>
      <c r="G702" s="457"/>
      <c r="H702" s="457"/>
      <c r="I702" s="457"/>
      <c r="J702" s="457"/>
      <c r="K702" s="457"/>
    </row>
    <row r="703" spans="1:15">
      <c r="A703" s="458" t="s">
        <v>927</v>
      </c>
      <c r="B703" s="459" t="s">
        <v>117</v>
      </c>
      <c r="C703" s="458" t="s">
        <v>928</v>
      </c>
      <c r="D703" s="141" t="s">
        <v>119</v>
      </c>
      <c r="E703" s="460" t="s">
        <v>929</v>
      </c>
      <c r="F703" s="461"/>
      <c r="G703" s="461"/>
      <c r="H703" s="461"/>
      <c r="I703" s="462"/>
      <c r="J703" s="463" t="s">
        <v>930</v>
      </c>
      <c r="K703" s="463" t="s">
        <v>225</v>
      </c>
    </row>
    <row r="704" spans="1:15">
      <c r="A704" s="464"/>
      <c r="B704" s="465"/>
      <c r="C704" s="464"/>
      <c r="D704" s="466"/>
      <c r="E704" s="181" t="s">
        <v>121</v>
      </c>
      <c r="F704" s="141" t="s">
        <v>931</v>
      </c>
      <c r="G704" s="141" t="s">
        <v>1</v>
      </c>
      <c r="H704" s="141" t="s">
        <v>932</v>
      </c>
      <c r="I704" s="141" t="s">
        <v>0</v>
      </c>
      <c r="J704" s="467"/>
      <c r="K704" s="467"/>
    </row>
    <row r="705" spans="1:11">
      <c r="A705" s="468">
        <v>1</v>
      </c>
      <c r="B705" s="469" t="s">
        <v>933</v>
      </c>
      <c r="C705" s="470" t="s">
        <v>934</v>
      </c>
      <c r="D705" s="471" t="s">
        <v>648</v>
      </c>
      <c r="E705" s="472">
        <v>20</v>
      </c>
      <c r="F705" s="473"/>
      <c r="G705" s="473"/>
      <c r="H705" s="473"/>
      <c r="I705" s="473"/>
      <c r="J705" s="474">
        <v>73.16</v>
      </c>
      <c r="K705" s="475">
        <f>E705*J705</f>
        <v>1463.1999999999998</v>
      </c>
    </row>
    <row r="706" spans="1:11" ht="31.5">
      <c r="A706" s="476">
        <v>2</v>
      </c>
      <c r="B706" s="469" t="s">
        <v>935</v>
      </c>
      <c r="C706" s="30" t="s">
        <v>936</v>
      </c>
      <c r="D706" s="471" t="s">
        <v>206</v>
      </c>
      <c r="E706" s="477">
        <v>30</v>
      </c>
      <c r="F706" s="478"/>
      <c r="G706" s="478"/>
      <c r="H706" s="478"/>
      <c r="I706" s="478"/>
      <c r="J706" s="472">
        <v>1312.16</v>
      </c>
      <c r="K706" s="475">
        <f>E706*J706</f>
        <v>39364.800000000003</v>
      </c>
    </row>
    <row r="707" spans="1:11" ht="47.25">
      <c r="A707" s="479">
        <v>3</v>
      </c>
      <c r="B707" s="480" t="s">
        <v>937</v>
      </c>
      <c r="C707" s="481" t="s">
        <v>938</v>
      </c>
      <c r="D707" s="482" t="s">
        <v>206</v>
      </c>
      <c r="E707" s="483">
        <v>6</v>
      </c>
      <c r="F707" s="133"/>
      <c r="G707" s="133"/>
      <c r="H707" s="133"/>
      <c r="I707" s="133"/>
      <c r="J707" s="27">
        <v>5162.5200000000004</v>
      </c>
      <c r="K707" s="475">
        <f>E707*J707</f>
        <v>30975.120000000003</v>
      </c>
    </row>
    <row r="708" spans="1:11" ht="31.5">
      <c r="A708" s="479">
        <v>4</v>
      </c>
      <c r="B708" s="480" t="s">
        <v>939</v>
      </c>
      <c r="C708" s="484" t="s">
        <v>940</v>
      </c>
      <c r="D708" s="485" t="s">
        <v>40</v>
      </c>
      <c r="E708" s="483"/>
      <c r="F708" s="133"/>
      <c r="G708" s="133"/>
      <c r="H708" s="133"/>
      <c r="I708" s="133">
        <v>1</v>
      </c>
      <c r="J708" s="27">
        <v>1</v>
      </c>
      <c r="K708" s="475">
        <f t="shared" ref="K708:K720" si="59">I708*J708</f>
        <v>1</v>
      </c>
    </row>
    <row r="709" spans="1:11" ht="63">
      <c r="A709" s="479">
        <v>5</v>
      </c>
      <c r="B709" s="480" t="s">
        <v>937</v>
      </c>
      <c r="C709" s="486" t="s">
        <v>941</v>
      </c>
      <c r="D709" s="485" t="s">
        <v>40</v>
      </c>
      <c r="E709" s="483"/>
      <c r="F709" s="133"/>
      <c r="G709" s="133"/>
      <c r="H709" s="133"/>
      <c r="I709" s="133">
        <v>5</v>
      </c>
      <c r="J709" s="27">
        <v>10</v>
      </c>
      <c r="K709" s="475">
        <f t="shared" si="59"/>
        <v>50</v>
      </c>
    </row>
    <row r="710" spans="1:11" ht="47.25">
      <c r="A710" s="479">
        <v>6</v>
      </c>
      <c r="B710" s="480" t="s">
        <v>942</v>
      </c>
      <c r="C710" s="486" t="s">
        <v>943</v>
      </c>
      <c r="D710" s="485" t="s">
        <v>40</v>
      </c>
      <c r="E710" s="483"/>
      <c r="F710" s="133"/>
      <c r="G710" s="133"/>
      <c r="H710" s="133"/>
      <c r="I710" s="133">
        <v>3</v>
      </c>
      <c r="J710" s="27">
        <v>5</v>
      </c>
      <c r="K710" s="475">
        <f t="shared" si="59"/>
        <v>15</v>
      </c>
    </row>
    <row r="711" spans="1:11" ht="47.25">
      <c r="A711" s="479">
        <v>7</v>
      </c>
      <c r="B711" s="480" t="s">
        <v>942</v>
      </c>
      <c r="C711" s="486" t="s">
        <v>944</v>
      </c>
      <c r="D711" s="485" t="s">
        <v>40</v>
      </c>
      <c r="E711" s="483"/>
      <c r="F711" s="133"/>
      <c r="G711" s="133"/>
      <c r="H711" s="133"/>
      <c r="I711" s="133">
        <v>5</v>
      </c>
      <c r="J711" s="27">
        <v>10</v>
      </c>
      <c r="K711" s="475">
        <f t="shared" si="59"/>
        <v>50</v>
      </c>
    </row>
    <row r="712" spans="1:11" ht="78.75">
      <c r="A712" s="479">
        <v>8</v>
      </c>
      <c r="B712" s="480" t="s">
        <v>945</v>
      </c>
      <c r="C712" s="486" t="s">
        <v>946</v>
      </c>
      <c r="D712" s="485" t="s">
        <v>40</v>
      </c>
      <c r="E712" s="483"/>
      <c r="F712" s="133"/>
      <c r="G712" s="133"/>
      <c r="H712" s="133"/>
      <c r="I712" s="133">
        <v>7</v>
      </c>
      <c r="J712" s="27">
        <v>15</v>
      </c>
      <c r="K712" s="475">
        <f t="shared" si="59"/>
        <v>105</v>
      </c>
    </row>
    <row r="713" spans="1:11" ht="31.5">
      <c r="A713" s="479">
        <v>9</v>
      </c>
      <c r="B713" s="480" t="s">
        <v>947</v>
      </c>
      <c r="C713" s="486" t="s">
        <v>948</v>
      </c>
      <c r="D713" s="485" t="s">
        <v>40</v>
      </c>
      <c r="E713" s="483"/>
      <c r="F713" s="133"/>
      <c r="G713" s="133"/>
      <c r="H713" s="133"/>
      <c r="I713" s="133">
        <v>2</v>
      </c>
      <c r="J713" s="27">
        <v>5</v>
      </c>
      <c r="K713" s="475">
        <f t="shared" si="59"/>
        <v>10</v>
      </c>
    </row>
    <row r="714" spans="1:11" ht="47.25">
      <c r="A714" s="479">
        <v>10</v>
      </c>
      <c r="B714" s="480" t="s">
        <v>949</v>
      </c>
      <c r="C714" s="486" t="s">
        <v>950</v>
      </c>
      <c r="D714" s="485" t="s">
        <v>951</v>
      </c>
      <c r="E714" s="483"/>
      <c r="F714" s="133"/>
      <c r="G714" s="133"/>
      <c r="H714" s="133"/>
      <c r="I714" s="133">
        <v>1</v>
      </c>
      <c r="J714" s="27">
        <v>75</v>
      </c>
      <c r="K714" s="475">
        <f t="shared" si="59"/>
        <v>75</v>
      </c>
    </row>
    <row r="715" spans="1:11" ht="63">
      <c r="A715" s="479">
        <v>11</v>
      </c>
      <c r="B715" s="480" t="s">
        <v>952</v>
      </c>
      <c r="C715" s="486" t="s">
        <v>953</v>
      </c>
      <c r="D715" s="485" t="s">
        <v>40</v>
      </c>
      <c r="E715" s="483"/>
      <c r="F715" s="133"/>
      <c r="G715" s="133"/>
      <c r="H715" s="133"/>
      <c r="I715" s="133">
        <v>1</v>
      </c>
      <c r="J715" s="27">
        <v>1</v>
      </c>
      <c r="K715" s="475">
        <f t="shared" si="59"/>
        <v>1</v>
      </c>
    </row>
    <row r="716" spans="1:11" ht="31.5">
      <c r="A716" s="479">
        <v>12</v>
      </c>
      <c r="B716" s="480" t="s">
        <v>954</v>
      </c>
      <c r="C716" s="487" t="s">
        <v>955</v>
      </c>
      <c r="D716" s="485" t="s">
        <v>40</v>
      </c>
      <c r="E716" s="483"/>
      <c r="F716" s="133"/>
      <c r="G716" s="133"/>
      <c r="H716" s="133"/>
      <c r="I716" s="133">
        <v>2</v>
      </c>
      <c r="J716" s="27">
        <v>200</v>
      </c>
      <c r="K716" s="475">
        <f>I716*J716</f>
        <v>400</v>
      </c>
    </row>
    <row r="717" spans="1:11" ht="47.25">
      <c r="A717" s="479">
        <v>13</v>
      </c>
      <c r="B717" s="480" t="s">
        <v>954</v>
      </c>
      <c r="C717" s="487" t="s">
        <v>956</v>
      </c>
      <c r="D717" s="485" t="s">
        <v>40</v>
      </c>
      <c r="E717" s="483"/>
      <c r="F717" s="133"/>
      <c r="G717" s="133"/>
      <c r="H717" s="133"/>
      <c r="I717" s="133">
        <v>1</v>
      </c>
      <c r="J717" s="27">
        <v>50</v>
      </c>
      <c r="K717" s="475">
        <f t="shared" si="59"/>
        <v>50</v>
      </c>
    </row>
    <row r="718" spans="1:11" ht="31.5">
      <c r="A718" s="479">
        <v>14</v>
      </c>
      <c r="B718" s="480" t="s">
        <v>937</v>
      </c>
      <c r="C718" s="487" t="s">
        <v>957</v>
      </c>
      <c r="D718" s="485" t="s">
        <v>40</v>
      </c>
      <c r="E718" s="483"/>
      <c r="F718" s="133"/>
      <c r="G718" s="133"/>
      <c r="H718" s="133"/>
      <c r="I718" s="133">
        <v>21</v>
      </c>
      <c r="J718" s="27">
        <v>10</v>
      </c>
      <c r="K718" s="475">
        <f t="shared" si="59"/>
        <v>210</v>
      </c>
    </row>
    <row r="719" spans="1:11" ht="31.5">
      <c r="A719" s="479">
        <v>15</v>
      </c>
      <c r="B719" s="480" t="s">
        <v>958</v>
      </c>
      <c r="C719" s="487" t="s">
        <v>959</v>
      </c>
      <c r="D719" s="485" t="s">
        <v>40</v>
      </c>
      <c r="E719" s="483"/>
      <c r="F719" s="133"/>
      <c r="G719" s="133"/>
      <c r="H719" s="133"/>
      <c r="I719" s="133">
        <v>5</v>
      </c>
      <c r="J719" s="27">
        <v>10</v>
      </c>
      <c r="K719" s="475">
        <f t="shared" si="59"/>
        <v>50</v>
      </c>
    </row>
    <row r="720" spans="1:11" ht="47.25">
      <c r="A720" s="479">
        <v>16</v>
      </c>
      <c r="B720" s="480" t="s">
        <v>949</v>
      </c>
      <c r="C720" s="486" t="s">
        <v>960</v>
      </c>
      <c r="D720" s="485" t="s">
        <v>40</v>
      </c>
      <c r="E720" s="483"/>
      <c r="F720" s="133"/>
      <c r="G720" s="133"/>
      <c r="H720" s="133"/>
      <c r="I720" s="133">
        <v>1</v>
      </c>
      <c r="J720" s="27">
        <v>1</v>
      </c>
      <c r="K720" s="475">
        <f t="shared" si="59"/>
        <v>1</v>
      </c>
    </row>
    <row r="721" spans="1:11" ht="78.75">
      <c r="A721" s="479">
        <v>17</v>
      </c>
      <c r="B721" s="480" t="s">
        <v>949</v>
      </c>
      <c r="C721" s="486" t="s">
        <v>961</v>
      </c>
      <c r="D721" s="485" t="s">
        <v>40</v>
      </c>
      <c r="E721" s="483">
        <v>3</v>
      </c>
      <c r="F721" s="133"/>
      <c r="G721" s="133"/>
      <c r="H721" s="133"/>
      <c r="I721" s="133"/>
      <c r="J721" s="27">
        <v>632380</v>
      </c>
      <c r="K721" s="475">
        <f>J721*E721</f>
        <v>1897140</v>
      </c>
    </row>
    <row r="722" spans="1:11" ht="31.5">
      <c r="A722" s="479">
        <v>18</v>
      </c>
      <c r="B722" s="480" t="s">
        <v>962</v>
      </c>
      <c r="C722" s="488" t="s">
        <v>963</v>
      </c>
      <c r="D722" s="485" t="s">
        <v>40</v>
      </c>
      <c r="E722" s="483"/>
      <c r="F722" s="133"/>
      <c r="G722" s="133"/>
      <c r="H722" s="133"/>
      <c r="I722" s="133">
        <v>2</v>
      </c>
      <c r="J722" s="27">
        <v>80</v>
      </c>
      <c r="K722" s="475">
        <f>J722*I722</f>
        <v>160</v>
      </c>
    </row>
    <row r="723" spans="1:11" ht="47.25">
      <c r="A723" s="479">
        <v>19</v>
      </c>
      <c r="B723" s="480" t="s">
        <v>396</v>
      </c>
      <c r="C723" s="489" t="s">
        <v>964</v>
      </c>
      <c r="D723" s="485" t="s">
        <v>40</v>
      </c>
      <c r="E723" s="483"/>
      <c r="F723" s="133"/>
      <c r="G723" s="133"/>
      <c r="H723" s="133"/>
      <c r="I723" s="133">
        <v>7</v>
      </c>
      <c r="J723" s="27">
        <v>500</v>
      </c>
      <c r="K723" s="475">
        <f t="shared" ref="K723:K729" si="60">J723*I723</f>
        <v>3500</v>
      </c>
    </row>
    <row r="724" spans="1:11" ht="47.25">
      <c r="A724" s="479">
        <v>20</v>
      </c>
      <c r="B724" s="480" t="s">
        <v>669</v>
      </c>
      <c r="C724" s="489" t="s">
        <v>965</v>
      </c>
      <c r="D724" s="485" t="s">
        <v>40</v>
      </c>
      <c r="E724" s="483"/>
      <c r="F724" s="133"/>
      <c r="G724" s="133"/>
      <c r="H724" s="133"/>
      <c r="I724" s="133">
        <v>6</v>
      </c>
      <c r="J724" s="27">
        <v>5000</v>
      </c>
      <c r="K724" s="475">
        <f t="shared" si="60"/>
        <v>30000</v>
      </c>
    </row>
    <row r="725" spans="1:11" ht="47.25">
      <c r="A725" s="479">
        <v>21</v>
      </c>
      <c r="B725" s="480" t="s">
        <v>966</v>
      </c>
      <c r="C725" s="489" t="s">
        <v>967</v>
      </c>
      <c r="D725" s="485" t="s">
        <v>7</v>
      </c>
      <c r="E725" s="483"/>
      <c r="F725" s="133"/>
      <c r="G725" s="133"/>
      <c r="H725" s="133"/>
      <c r="I725" s="133">
        <v>500</v>
      </c>
      <c r="J725" s="27">
        <v>40</v>
      </c>
      <c r="K725" s="475">
        <f t="shared" si="60"/>
        <v>20000</v>
      </c>
    </row>
    <row r="726" spans="1:11" ht="31.5">
      <c r="A726" s="479">
        <v>22</v>
      </c>
      <c r="B726" s="480" t="s">
        <v>968</v>
      </c>
      <c r="C726" s="489" t="s">
        <v>969</v>
      </c>
      <c r="D726" s="485" t="s">
        <v>7</v>
      </c>
      <c r="E726" s="483"/>
      <c r="F726" s="133"/>
      <c r="G726" s="133"/>
      <c r="H726" s="133"/>
      <c r="I726" s="133">
        <v>500</v>
      </c>
      <c r="J726" s="27">
        <v>40</v>
      </c>
      <c r="K726" s="475">
        <f t="shared" si="60"/>
        <v>20000</v>
      </c>
    </row>
    <row r="727" spans="1:11" ht="31.5">
      <c r="A727" s="479">
        <v>23</v>
      </c>
      <c r="B727" s="480" t="s">
        <v>970</v>
      </c>
      <c r="C727" s="490" t="s">
        <v>971</v>
      </c>
      <c r="D727" s="491" t="s">
        <v>206</v>
      </c>
      <c r="E727" s="483"/>
      <c r="F727" s="133"/>
      <c r="G727" s="133"/>
      <c r="H727" s="133"/>
      <c r="I727" s="133">
        <v>1</v>
      </c>
      <c r="J727" s="27">
        <v>10</v>
      </c>
      <c r="K727" s="475">
        <f t="shared" si="60"/>
        <v>10</v>
      </c>
    </row>
    <row r="728" spans="1:11" ht="31.5">
      <c r="A728" s="479">
        <v>24</v>
      </c>
      <c r="B728" s="480" t="s">
        <v>970</v>
      </c>
      <c r="C728" s="490" t="s">
        <v>972</v>
      </c>
      <c r="D728" s="491" t="s">
        <v>206</v>
      </c>
      <c r="E728" s="483"/>
      <c r="F728" s="133"/>
      <c r="G728" s="133"/>
      <c r="H728" s="133"/>
      <c r="I728" s="133">
        <v>1</v>
      </c>
      <c r="J728" s="27">
        <v>10</v>
      </c>
      <c r="K728" s="475">
        <f t="shared" si="60"/>
        <v>10</v>
      </c>
    </row>
    <row r="729" spans="1:11" ht="31.5">
      <c r="A729" s="479">
        <v>25</v>
      </c>
      <c r="B729" s="480" t="s">
        <v>970</v>
      </c>
      <c r="C729" s="488" t="s">
        <v>973</v>
      </c>
      <c r="D729" s="491" t="s">
        <v>206</v>
      </c>
      <c r="E729" s="483"/>
      <c r="F729" s="133"/>
      <c r="G729" s="133"/>
      <c r="H729" s="133"/>
      <c r="I729" s="133">
        <v>1</v>
      </c>
      <c r="J729" s="27">
        <v>100</v>
      </c>
      <c r="K729" s="475">
        <f t="shared" si="60"/>
        <v>100</v>
      </c>
    </row>
    <row r="730" spans="1:11" ht="31.5">
      <c r="A730" s="479"/>
      <c r="B730" s="480"/>
      <c r="C730" s="492" t="s">
        <v>974</v>
      </c>
      <c r="D730" s="491" t="s">
        <v>206</v>
      </c>
      <c r="E730" s="483">
        <v>15</v>
      </c>
      <c r="F730" s="133"/>
      <c r="G730" s="133"/>
      <c r="H730" s="133"/>
      <c r="I730" s="133"/>
      <c r="J730" s="493">
        <v>1660.26</v>
      </c>
      <c r="K730" s="475">
        <f>J730*E730</f>
        <v>24903.9</v>
      </c>
    </row>
    <row r="731" spans="1:11" ht="31.5">
      <c r="A731" s="479"/>
      <c r="B731" s="480"/>
      <c r="C731" s="492" t="s">
        <v>975</v>
      </c>
      <c r="D731" s="491" t="s">
        <v>206</v>
      </c>
      <c r="E731" s="483">
        <v>10</v>
      </c>
      <c r="F731" s="133"/>
      <c r="G731" s="133"/>
      <c r="H731" s="133"/>
      <c r="I731" s="133"/>
      <c r="J731" s="493">
        <v>3056.2</v>
      </c>
      <c r="K731" s="475">
        <f t="shared" ref="K731:K736" si="61">J731*E731</f>
        <v>30562</v>
      </c>
    </row>
    <row r="732" spans="1:11" ht="47.25">
      <c r="A732" s="479"/>
      <c r="B732" s="480"/>
      <c r="C732" s="492" t="s">
        <v>976</v>
      </c>
      <c r="D732" s="491" t="s">
        <v>206</v>
      </c>
      <c r="E732" s="483">
        <v>15</v>
      </c>
      <c r="F732" s="133"/>
      <c r="G732" s="133"/>
      <c r="H732" s="133"/>
      <c r="I732" s="133"/>
      <c r="J732" s="493">
        <v>4295.2</v>
      </c>
      <c r="K732" s="475">
        <f t="shared" si="61"/>
        <v>64428</v>
      </c>
    </row>
    <row r="733" spans="1:11" ht="47.25">
      <c r="A733" s="479"/>
      <c r="B733" s="480"/>
      <c r="C733" s="492" t="s">
        <v>977</v>
      </c>
      <c r="D733" s="491" t="s">
        <v>206</v>
      </c>
      <c r="E733" s="483">
        <v>10</v>
      </c>
      <c r="F733" s="133"/>
      <c r="G733" s="133"/>
      <c r="H733" s="133"/>
      <c r="I733" s="133"/>
      <c r="J733" s="493">
        <v>4578.3999999999996</v>
      </c>
      <c r="K733" s="475">
        <f t="shared" si="61"/>
        <v>45784</v>
      </c>
    </row>
    <row r="734" spans="1:11" ht="47.25">
      <c r="A734" s="479"/>
      <c r="B734" s="480"/>
      <c r="C734" s="492" t="s">
        <v>978</v>
      </c>
      <c r="D734" s="491" t="s">
        <v>206</v>
      </c>
      <c r="E734" s="483">
        <v>10</v>
      </c>
      <c r="F734" s="133"/>
      <c r="G734" s="133"/>
      <c r="H734" s="133"/>
      <c r="I734" s="133"/>
      <c r="J734" s="493">
        <v>3770.1</v>
      </c>
      <c r="K734" s="475">
        <f t="shared" si="61"/>
        <v>37701</v>
      </c>
    </row>
    <row r="735" spans="1:11" ht="31.5">
      <c r="A735" s="479"/>
      <c r="B735" s="480"/>
      <c r="C735" s="492" t="s">
        <v>979</v>
      </c>
      <c r="D735" s="491" t="s">
        <v>206</v>
      </c>
      <c r="E735" s="483">
        <v>2</v>
      </c>
      <c r="F735" s="133"/>
      <c r="G735" s="133"/>
      <c r="H735" s="133"/>
      <c r="I735" s="133"/>
      <c r="J735" s="493">
        <v>33619.379999999997</v>
      </c>
      <c r="K735" s="475">
        <f t="shared" si="61"/>
        <v>67238.759999999995</v>
      </c>
    </row>
    <row r="736" spans="1:11" ht="31.5">
      <c r="A736" s="479">
        <v>25</v>
      </c>
      <c r="B736" s="480"/>
      <c r="C736" s="492" t="s">
        <v>980</v>
      </c>
      <c r="D736" s="491" t="s">
        <v>7</v>
      </c>
      <c r="E736" s="483">
        <v>50</v>
      </c>
      <c r="F736" s="133"/>
      <c r="G736" s="133"/>
      <c r="H736" s="133"/>
      <c r="I736" s="133"/>
      <c r="J736" s="493">
        <v>595.9</v>
      </c>
      <c r="K736" s="475">
        <f t="shared" si="61"/>
        <v>29795</v>
      </c>
    </row>
    <row r="737" spans="1:11">
      <c r="A737" s="494" t="s">
        <v>981</v>
      </c>
      <c r="B737" s="495"/>
      <c r="C737" s="495"/>
      <c r="D737" s="495"/>
      <c r="E737" s="495"/>
      <c r="F737" s="495"/>
      <c r="G737" s="495"/>
      <c r="H737" s="495"/>
      <c r="I737" s="495"/>
      <c r="J737" s="495"/>
      <c r="K737" s="496"/>
    </row>
    <row r="738" spans="1:11">
      <c r="A738" s="458" t="s">
        <v>927</v>
      </c>
      <c r="B738" s="459" t="s">
        <v>117</v>
      </c>
      <c r="C738" s="458" t="s">
        <v>928</v>
      </c>
      <c r="D738" s="141" t="s">
        <v>119</v>
      </c>
      <c r="E738" s="460" t="s">
        <v>929</v>
      </c>
      <c r="F738" s="461"/>
      <c r="G738" s="461"/>
      <c r="H738" s="461"/>
      <c r="I738" s="462"/>
      <c r="J738" s="463" t="s">
        <v>930</v>
      </c>
      <c r="K738" s="463" t="s">
        <v>225</v>
      </c>
    </row>
    <row r="739" spans="1:11">
      <c r="A739" s="464"/>
      <c r="B739" s="465"/>
      <c r="C739" s="464"/>
      <c r="D739" s="466"/>
      <c r="E739" s="141" t="s">
        <v>121</v>
      </c>
      <c r="F739" s="141" t="s">
        <v>931</v>
      </c>
      <c r="G739" s="141" t="s">
        <v>1</v>
      </c>
      <c r="H739" s="141" t="s">
        <v>932</v>
      </c>
      <c r="I739" s="141" t="s">
        <v>0</v>
      </c>
      <c r="J739" s="467"/>
      <c r="K739" s="467"/>
    </row>
    <row r="740" spans="1:11">
      <c r="A740" s="497">
        <v>1</v>
      </c>
      <c r="B740" s="498" t="s">
        <v>982</v>
      </c>
      <c r="C740" s="499" t="s">
        <v>983</v>
      </c>
      <c r="D740" s="472" t="s">
        <v>37</v>
      </c>
      <c r="E740" s="472">
        <v>1</v>
      </c>
      <c r="F740" s="500"/>
      <c r="G740" s="500"/>
      <c r="H740" s="500"/>
      <c r="I740" s="500"/>
      <c r="J740" s="501">
        <v>1475</v>
      </c>
      <c r="K740" s="502">
        <f t="shared" ref="K740:K794" si="62">J740*(I740+E740)</f>
        <v>1475</v>
      </c>
    </row>
    <row r="741" spans="1:11">
      <c r="A741" s="497">
        <v>2</v>
      </c>
      <c r="B741" s="498" t="s">
        <v>984</v>
      </c>
      <c r="C741" s="503" t="s">
        <v>985</v>
      </c>
      <c r="D741" s="504" t="s">
        <v>37</v>
      </c>
      <c r="E741" s="472">
        <v>1</v>
      </c>
      <c r="F741" s="500"/>
      <c r="G741" s="500"/>
      <c r="H741" s="500"/>
      <c r="I741" s="500"/>
      <c r="J741" s="501">
        <v>334420.63</v>
      </c>
      <c r="K741" s="502">
        <f t="shared" si="62"/>
        <v>334420.63</v>
      </c>
    </row>
    <row r="742" spans="1:11">
      <c r="A742" s="497">
        <v>3</v>
      </c>
      <c r="B742" s="498" t="s">
        <v>986</v>
      </c>
      <c r="C742" s="503" t="s">
        <v>987</v>
      </c>
      <c r="D742" s="504" t="s">
        <v>37</v>
      </c>
      <c r="E742" s="505">
        <v>1</v>
      </c>
      <c r="F742" s="500"/>
      <c r="G742" s="500"/>
      <c r="H742" s="500"/>
      <c r="I742" s="500"/>
      <c r="J742" s="506">
        <v>1114735.43</v>
      </c>
      <c r="K742" s="502">
        <f t="shared" si="62"/>
        <v>1114735.43</v>
      </c>
    </row>
    <row r="743" spans="1:11" ht="47.25">
      <c r="A743" s="497">
        <v>4</v>
      </c>
      <c r="B743" s="498" t="s">
        <v>988</v>
      </c>
      <c r="C743" s="503" t="s">
        <v>989</v>
      </c>
      <c r="D743" s="504" t="s">
        <v>37</v>
      </c>
      <c r="E743" s="505">
        <v>1</v>
      </c>
      <c r="F743" s="500"/>
      <c r="G743" s="500"/>
      <c r="H743" s="500"/>
      <c r="I743" s="500"/>
      <c r="J743" s="506">
        <v>2675365.02</v>
      </c>
      <c r="K743" s="502">
        <f t="shared" si="62"/>
        <v>2675365.02</v>
      </c>
    </row>
    <row r="744" spans="1:11">
      <c r="A744" s="497">
        <v>5</v>
      </c>
      <c r="B744" s="498" t="s">
        <v>990</v>
      </c>
      <c r="C744" s="503" t="s">
        <v>991</v>
      </c>
      <c r="D744" s="504" t="s">
        <v>62</v>
      </c>
      <c r="E744" s="505">
        <v>1</v>
      </c>
      <c r="F744" s="500"/>
      <c r="G744" s="500"/>
      <c r="H744" s="500"/>
      <c r="I744" s="500">
        <v>1</v>
      </c>
      <c r="J744" s="507">
        <v>7431.57</v>
      </c>
      <c r="K744" s="508">
        <f t="shared" si="62"/>
        <v>14863.14</v>
      </c>
    </row>
    <row r="745" spans="1:11" ht="31.5">
      <c r="A745" s="497">
        <v>6</v>
      </c>
      <c r="B745" s="498" t="s">
        <v>992</v>
      </c>
      <c r="C745" s="503" t="s">
        <v>993</v>
      </c>
      <c r="D745" s="504" t="s">
        <v>37</v>
      </c>
      <c r="E745" s="505">
        <v>2</v>
      </c>
      <c r="F745" s="500"/>
      <c r="G745" s="500"/>
      <c r="H745" s="500"/>
      <c r="I745" s="500"/>
      <c r="J745" s="506">
        <v>14863.14</v>
      </c>
      <c r="K745" s="502">
        <f t="shared" si="62"/>
        <v>29726.28</v>
      </c>
    </row>
    <row r="746" spans="1:11">
      <c r="A746" s="497">
        <v>7</v>
      </c>
      <c r="B746" s="498" t="s">
        <v>994</v>
      </c>
      <c r="C746" s="503" t="s">
        <v>995</v>
      </c>
      <c r="D746" s="504" t="s">
        <v>37</v>
      </c>
      <c r="E746" s="505">
        <v>1</v>
      </c>
      <c r="F746" s="500"/>
      <c r="G746" s="500"/>
      <c r="H746" s="500"/>
      <c r="I746" s="500"/>
      <c r="J746" s="506">
        <v>350977.5</v>
      </c>
      <c r="K746" s="502">
        <f t="shared" si="62"/>
        <v>350977.5</v>
      </c>
    </row>
    <row r="747" spans="1:11">
      <c r="A747" s="509">
        <v>8</v>
      </c>
      <c r="B747" s="510" t="s">
        <v>996</v>
      </c>
      <c r="C747" s="511" t="s">
        <v>997</v>
      </c>
      <c r="D747" s="512" t="s">
        <v>37</v>
      </c>
      <c r="E747" s="183">
        <v>1</v>
      </c>
      <c r="F747" s="141"/>
      <c r="G747" s="141"/>
      <c r="H747" s="141"/>
      <c r="I747" s="141"/>
      <c r="J747" s="513">
        <v>350977.5</v>
      </c>
      <c r="K747" s="502">
        <f t="shared" si="62"/>
        <v>350977.5</v>
      </c>
    </row>
    <row r="748" spans="1:11">
      <c r="A748" s="497">
        <v>9</v>
      </c>
      <c r="B748" s="498" t="s">
        <v>998</v>
      </c>
      <c r="C748" s="503" t="s">
        <v>999</v>
      </c>
      <c r="D748" s="504" t="s">
        <v>37</v>
      </c>
      <c r="E748" s="505">
        <v>1</v>
      </c>
      <c r="F748" s="500"/>
      <c r="G748" s="500"/>
      <c r="H748" s="500"/>
      <c r="I748" s="500"/>
      <c r="J748" s="506">
        <v>21058.65</v>
      </c>
      <c r="K748" s="502">
        <f t="shared" si="62"/>
        <v>21058.65</v>
      </c>
    </row>
    <row r="749" spans="1:11" ht="31.5">
      <c r="A749" s="497">
        <v>10</v>
      </c>
      <c r="B749" s="498" t="s">
        <v>1000</v>
      </c>
      <c r="C749" s="503" t="s">
        <v>1001</v>
      </c>
      <c r="D749" s="504" t="s">
        <v>37</v>
      </c>
      <c r="E749" s="505">
        <v>2</v>
      </c>
      <c r="F749" s="500"/>
      <c r="G749" s="500"/>
      <c r="H749" s="500"/>
      <c r="I749" s="500"/>
      <c r="J749" s="506">
        <v>2105.87</v>
      </c>
      <c r="K749" s="502">
        <f t="shared" si="62"/>
        <v>4211.74</v>
      </c>
    </row>
    <row r="750" spans="1:11" ht="31.5">
      <c r="A750" s="497">
        <v>11</v>
      </c>
      <c r="B750" s="498" t="s">
        <v>1002</v>
      </c>
      <c r="C750" s="503" t="s">
        <v>1003</v>
      </c>
      <c r="D750" s="504" t="s">
        <v>37</v>
      </c>
      <c r="E750" s="505">
        <v>2</v>
      </c>
      <c r="F750" s="500"/>
      <c r="G750" s="500"/>
      <c r="H750" s="500"/>
      <c r="I750" s="500"/>
      <c r="J750" s="506">
        <v>1403.91</v>
      </c>
      <c r="K750" s="502">
        <f t="shared" si="62"/>
        <v>2807.82</v>
      </c>
    </row>
    <row r="751" spans="1:11">
      <c r="A751" s="497">
        <v>12</v>
      </c>
      <c r="B751" s="498" t="s">
        <v>1004</v>
      </c>
      <c r="C751" s="503" t="s">
        <v>1005</v>
      </c>
      <c r="D751" s="504" t="s">
        <v>37</v>
      </c>
      <c r="E751" s="505">
        <v>2</v>
      </c>
      <c r="F751" s="500"/>
      <c r="G751" s="500"/>
      <c r="H751" s="500"/>
      <c r="I751" s="500"/>
      <c r="J751" s="506">
        <v>1403.91</v>
      </c>
      <c r="K751" s="502">
        <f t="shared" si="62"/>
        <v>2807.82</v>
      </c>
    </row>
    <row r="752" spans="1:11">
      <c r="A752" s="497">
        <v>13</v>
      </c>
      <c r="B752" s="498" t="s">
        <v>1006</v>
      </c>
      <c r="C752" s="503" t="s">
        <v>1007</v>
      </c>
      <c r="D752" s="504" t="s">
        <v>277</v>
      </c>
      <c r="E752" s="505">
        <v>5</v>
      </c>
      <c r="F752" s="500"/>
      <c r="G752" s="500"/>
      <c r="H752" s="500"/>
      <c r="I752" s="500"/>
      <c r="J752" s="506">
        <v>561.55999999999995</v>
      </c>
      <c r="K752" s="502">
        <f t="shared" si="62"/>
        <v>2807.7999999999997</v>
      </c>
    </row>
    <row r="753" spans="1:11">
      <c r="A753" s="497">
        <v>14</v>
      </c>
      <c r="B753" s="498" t="s">
        <v>727</v>
      </c>
      <c r="C753" s="503" t="s">
        <v>1008</v>
      </c>
      <c r="D753" s="504" t="s">
        <v>277</v>
      </c>
      <c r="E753" s="505">
        <v>5</v>
      </c>
      <c r="F753" s="500"/>
      <c r="G753" s="500"/>
      <c r="H753" s="500"/>
      <c r="I753" s="500"/>
      <c r="J753" s="506">
        <v>561.55999999999995</v>
      </c>
      <c r="K753" s="502">
        <f t="shared" si="62"/>
        <v>2807.7999999999997</v>
      </c>
    </row>
    <row r="754" spans="1:11" ht="31.5">
      <c r="A754" s="497">
        <v>15</v>
      </c>
      <c r="B754" s="498" t="s">
        <v>1009</v>
      </c>
      <c r="C754" s="503" t="s">
        <v>1010</v>
      </c>
      <c r="D754" s="504" t="s">
        <v>277</v>
      </c>
      <c r="E754" s="505">
        <v>1</v>
      </c>
      <c r="F754" s="500"/>
      <c r="G754" s="500"/>
      <c r="H754" s="500"/>
      <c r="I754" s="500"/>
      <c r="J754" s="506">
        <v>21058.65</v>
      </c>
      <c r="K754" s="502">
        <f t="shared" si="62"/>
        <v>21058.65</v>
      </c>
    </row>
    <row r="755" spans="1:11" ht="31.5">
      <c r="A755" s="497">
        <v>16</v>
      </c>
      <c r="B755" s="498" t="s">
        <v>1011</v>
      </c>
      <c r="C755" s="503" t="s">
        <v>1012</v>
      </c>
      <c r="D755" s="504" t="s">
        <v>277</v>
      </c>
      <c r="E755" s="505">
        <v>1</v>
      </c>
      <c r="F755" s="500"/>
      <c r="G755" s="500"/>
      <c r="H755" s="500"/>
      <c r="I755" s="500"/>
      <c r="J755" s="506">
        <v>28078.2</v>
      </c>
      <c r="K755" s="502">
        <f t="shared" si="62"/>
        <v>28078.2</v>
      </c>
    </row>
    <row r="756" spans="1:11" ht="31.5">
      <c r="A756" s="509">
        <v>17</v>
      </c>
      <c r="B756" s="498" t="s">
        <v>1011</v>
      </c>
      <c r="C756" s="511" t="s">
        <v>1013</v>
      </c>
      <c r="D756" s="512" t="s">
        <v>277</v>
      </c>
      <c r="E756" s="27">
        <v>2</v>
      </c>
      <c r="F756" s="141"/>
      <c r="G756" s="141"/>
      <c r="H756" s="141"/>
      <c r="I756" s="141"/>
      <c r="J756" s="493">
        <v>49136.85</v>
      </c>
      <c r="K756" s="502">
        <f t="shared" si="62"/>
        <v>98273.7</v>
      </c>
    </row>
    <row r="757" spans="1:11" ht="47.25">
      <c r="A757" s="497">
        <v>18</v>
      </c>
      <c r="B757" s="498" t="s">
        <v>1014</v>
      </c>
      <c r="C757" s="503" t="s">
        <v>1015</v>
      </c>
      <c r="D757" s="504" t="s">
        <v>1016</v>
      </c>
      <c r="E757" s="505"/>
      <c r="F757" s="500"/>
      <c r="G757" s="500"/>
      <c r="H757" s="500"/>
      <c r="I757" s="500">
        <v>100</v>
      </c>
      <c r="J757" s="506">
        <v>561.55999999999995</v>
      </c>
      <c r="K757" s="502">
        <f t="shared" si="62"/>
        <v>56155.999999999993</v>
      </c>
    </row>
    <row r="758" spans="1:11" ht="31.5">
      <c r="A758" s="497">
        <v>19</v>
      </c>
      <c r="B758" s="498" t="s">
        <v>1017</v>
      </c>
      <c r="C758" s="503" t="s">
        <v>1018</v>
      </c>
      <c r="D758" s="504" t="s">
        <v>37</v>
      </c>
      <c r="E758" s="505">
        <v>1</v>
      </c>
      <c r="F758" s="500"/>
      <c r="G758" s="500"/>
      <c r="H758" s="500"/>
      <c r="I758" s="500"/>
      <c r="J758" s="506">
        <v>491368.5</v>
      </c>
      <c r="K758" s="502">
        <f t="shared" si="62"/>
        <v>491368.5</v>
      </c>
    </row>
    <row r="759" spans="1:11">
      <c r="A759" s="497">
        <v>20</v>
      </c>
      <c r="B759" s="498" t="s">
        <v>1019</v>
      </c>
      <c r="C759" s="503" t="s">
        <v>1020</v>
      </c>
      <c r="D759" s="504" t="s">
        <v>37</v>
      </c>
      <c r="E759" s="505">
        <v>1</v>
      </c>
      <c r="F759" s="500"/>
      <c r="G759" s="500"/>
      <c r="H759" s="500"/>
      <c r="I759" s="500"/>
      <c r="J759" s="506">
        <v>222947.09</v>
      </c>
      <c r="K759" s="502">
        <f t="shared" si="62"/>
        <v>222947.09</v>
      </c>
    </row>
    <row r="760" spans="1:11" ht="31.5">
      <c r="A760" s="497">
        <v>21</v>
      </c>
      <c r="B760" s="498" t="s">
        <v>1021</v>
      </c>
      <c r="C760" s="503" t="s">
        <v>1022</v>
      </c>
      <c r="D760" s="504" t="s">
        <v>277</v>
      </c>
      <c r="E760" s="505">
        <v>1</v>
      </c>
      <c r="F760" s="500"/>
      <c r="G760" s="500"/>
      <c r="H760" s="500"/>
      <c r="I760" s="500"/>
      <c r="J760" s="506">
        <v>3715784.75</v>
      </c>
      <c r="K760" s="502">
        <f t="shared" si="62"/>
        <v>3715784.75</v>
      </c>
    </row>
    <row r="761" spans="1:11">
      <c r="A761" s="497">
        <v>22</v>
      </c>
      <c r="B761" s="498" t="s">
        <v>1023</v>
      </c>
      <c r="C761" s="503" t="s">
        <v>1024</v>
      </c>
      <c r="D761" s="504" t="s">
        <v>62</v>
      </c>
      <c r="E761" s="505">
        <v>2</v>
      </c>
      <c r="F761" s="500"/>
      <c r="G761" s="500"/>
      <c r="H761" s="500"/>
      <c r="I761" s="500"/>
      <c r="J761" s="506">
        <v>222947.09</v>
      </c>
      <c r="K761" s="502">
        <f t="shared" si="62"/>
        <v>445894.18</v>
      </c>
    </row>
    <row r="762" spans="1:11" ht="31.5">
      <c r="A762" s="497">
        <v>23</v>
      </c>
      <c r="B762" s="498" t="s">
        <v>1025</v>
      </c>
      <c r="C762" s="503" t="s">
        <v>1026</v>
      </c>
      <c r="D762" s="504" t="s">
        <v>62</v>
      </c>
      <c r="E762" s="505">
        <v>1</v>
      </c>
      <c r="F762" s="500"/>
      <c r="G762" s="500"/>
      <c r="H762" s="500"/>
      <c r="I762" s="500"/>
      <c r="J762" s="506">
        <v>1754887.5</v>
      </c>
      <c r="K762" s="502">
        <f t="shared" si="62"/>
        <v>1754887.5</v>
      </c>
    </row>
    <row r="763" spans="1:11" ht="47.25">
      <c r="A763" s="497">
        <v>24</v>
      </c>
      <c r="B763" s="498" t="s">
        <v>1027</v>
      </c>
      <c r="C763" s="503" t="s">
        <v>1028</v>
      </c>
      <c r="D763" s="504" t="s">
        <v>37</v>
      </c>
      <c r="E763" s="505">
        <v>1</v>
      </c>
      <c r="F763" s="500"/>
      <c r="G763" s="500"/>
      <c r="H763" s="500"/>
      <c r="I763" s="500"/>
      <c r="J763" s="506">
        <v>2229470.85</v>
      </c>
      <c r="K763" s="502">
        <f t="shared" si="62"/>
        <v>2229470.85</v>
      </c>
    </row>
    <row r="764" spans="1:11">
      <c r="A764" s="497">
        <v>25</v>
      </c>
      <c r="B764" s="498" t="s">
        <v>1029</v>
      </c>
      <c r="C764" s="503" t="s">
        <v>1030</v>
      </c>
      <c r="D764" s="504" t="s">
        <v>37</v>
      </c>
      <c r="E764" s="505">
        <v>1</v>
      </c>
      <c r="F764" s="500"/>
      <c r="G764" s="500"/>
      <c r="H764" s="500"/>
      <c r="I764" s="500"/>
      <c r="J764" s="506">
        <v>445894.17</v>
      </c>
      <c r="K764" s="502">
        <f t="shared" si="62"/>
        <v>445894.17</v>
      </c>
    </row>
    <row r="765" spans="1:11">
      <c r="A765" s="509">
        <v>26</v>
      </c>
      <c r="B765" s="510" t="s">
        <v>1031</v>
      </c>
      <c r="C765" s="511" t="s">
        <v>1032</v>
      </c>
      <c r="D765" s="512" t="s">
        <v>37</v>
      </c>
      <c r="E765" s="183">
        <v>1</v>
      </c>
      <c r="F765" s="141"/>
      <c r="G765" s="141"/>
      <c r="H765" s="141"/>
      <c r="I765" s="141"/>
      <c r="J765" s="513">
        <v>1403.91</v>
      </c>
      <c r="K765" s="502">
        <f t="shared" si="62"/>
        <v>1403.91</v>
      </c>
    </row>
    <row r="766" spans="1:11" ht="31.5">
      <c r="A766" s="497">
        <v>27</v>
      </c>
      <c r="B766" s="498" t="s">
        <v>1033</v>
      </c>
      <c r="C766" s="503" t="s">
        <v>1034</v>
      </c>
      <c r="D766" s="504" t="s">
        <v>37</v>
      </c>
      <c r="E766" s="505">
        <v>1</v>
      </c>
      <c r="F766" s="500"/>
      <c r="G766" s="500"/>
      <c r="H766" s="500"/>
      <c r="I766" s="500"/>
      <c r="J766" s="506">
        <v>371578.48</v>
      </c>
      <c r="K766" s="502">
        <f t="shared" si="62"/>
        <v>371578.48</v>
      </c>
    </row>
    <row r="767" spans="1:11">
      <c r="A767" s="497">
        <v>28</v>
      </c>
      <c r="B767" s="498" t="s">
        <v>1035</v>
      </c>
      <c r="C767" s="36" t="s">
        <v>1036</v>
      </c>
      <c r="D767" s="504" t="s">
        <v>37</v>
      </c>
      <c r="E767" s="505">
        <v>1</v>
      </c>
      <c r="F767" s="500"/>
      <c r="G767" s="500"/>
      <c r="H767" s="500"/>
      <c r="I767" s="500"/>
      <c r="J767" s="506">
        <v>22607.266000000003</v>
      </c>
      <c r="K767" s="502">
        <f t="shared" si="62"/>
        <v>22607.266000000003</v>
      </c>
    </row>
    <row r="768" spans="1:11">
      <c r="A768" s="497">
        <v>29</v>
      </c>
      <c r="B768" s="498" t="s">
        <v>745</v>
      </c>
      <c r="C768" s="514" t="s">
        <v>1037</v>
      </c>
      <c r="D768" s="504" t="s">
        <v>37</v>
      </c>
      <c r="E768" s="505">
        <v>3</v>
      </c>
      <c r="F768" s="500"/>
      <c r="G768" s="500"/>
      <c r="H768" s="500"/>
      <c r="I768" s="500"/>
      <c r="J768" s="506">
        <v>13288.923999999999</v>
      </c>
      <c r="K768" s="502">
        <f t="shared" si="62"/>
        <v>39866.771999999997</v>
      </c>
    </row>
    <row r="769" spans="1:11" ht="31.5">
      <c r="A769" s="497">
        <v>30</v>
      </c>
      <c r="B769" s="498" t="s">
        <v>1038</v>
      </c>
      <c r="C769" s="36" t="s">
        <v>1039</v>
      </c>
      <c r="D769" s="504" t="s">
        <v>37</v>
      </c>
      <c r="E769" s="505">
        <v>6</v>
      </c>
      <c r="F769" s="500"/>
      <c r="G769" s="500"/>
      <c r="H769" s="500"/>
      <c r="I769" s="500"/>
      <c r="J769" s="506">
        <v>9474.101999999999</v>
      </c>
      <c r="K769" s="502">
        <f t="shared" si="62"/>
        <v>56844.611999999994</v>
      </c>
    </row>
    <row r="770" spans="1:11">
      <c r="A770" s="497">
        <v>31</v>
      </c>
      <c r="B770" s="498" t="s">
        <v>1040</v>
      </c>
      <c r="C770" s="36" t="s">
        <v>1041</v>
      </c>
      <c r="D770" s="504" t="s">
        <v>37</v>
      </c>
      <c r="E770" s="505">
        <v>12</v>
      </c>
      <c r="F770" s="500"/>
      <c r="G770" s="500"/>
      <c r="H770" s="500"/>
      <c r="I770" s="500"/>
      <c r="J770" s="506">
        <v>7174.0459999999994</v>
      </c>
      <c r="K770" s="502">
        <f t="shared" si="62"/>
        <v>86088.551999999996</v>
      </c>
    </row>
    <row r="771" spans="1:11">
      <c r="A771" s="497">
        <v>32</v>
      </c>
      <c r="B771" s="498" t="s">
        <v>1038</v>
      </c>
      <c r="C771" s="36" t="s">
        <v>1042</v>
      </c>
      <c r="D771" s="504" t="s">
        <v>37</v>
      </c>
      <c r="E771" s="505">
        <v>3</v>
      </c>
      <c r="F771" s="500"/>
      <c r="G771" s="500"/>
      <c r="H771" s="500"/>
      <c r="I771" s="500"/>
      <c r="J771" s="506">
        <v>6522.45</v>
      </c>
      <c r="K771" s="502">
        <f t="shared" si="62"/>
        <v>19567.349999999999</v>
      </c>
    </row>
    <row r="772" spans="1:11" ht="31.5">
      <c r="A772" s="497">
        <v>33</v>
      </c>
      <c r="B772" s="498" t="s">
        <v>1043</v>
      </c>
      <c r="C772" s="36" t="s">
        <v>1044</v>
      </c>
      <c r="D772" s="504" t="s">
        <v>37</v>
      </c>
      <c r="E772" s="505">
        <v>3</v>
      </c>
      <c r="F772" s="500"/>
      <c r="G772" s="500"/>
      <c r="H772" s="500"/>
      <c r="I772" s="500"/>
      <c r="J772" s="506">
        <v>18203.152000000002</v>
      </c>
      <c r="K772" s="502">
        <f t="shared" si="62"/>
        <v>54609.456000000006</v>
      </c>
    </row>
    <row r="773" spans="1:11" ht="31.5">
      <c r="A773" s="497">
        <v>34</v>
      </c>
      <c r="B773" s="498" t="s">
        <v>1045</v>
      </c>
      <c r="C773" s="36" t="s">
        <v>1046</v>
      </c>
      <c r="D773" s="504" t="s">
        <v>37</v>
      </c>
      <c r="E773" s="505">
        <v>2</v>
      </c>
      <c r="F773" s="500"/>
      <c r="G773" s="500"/>
      <c r="H773" s="500"/>
      <c r="I773" s="500"/>
      <c r="J773" s="506">
        <v>23336.742000000002</v>
      </c>
      <c r="K773" s="502">
        <f t="shared" si="62"/>
        <v>46673.484000000004</v>
      </c>
    </row>
    <row r="774" spans="1:11">
      <c r="A774" s="497">
        <v>35</v>
      </c>
      <c r="B774" s="498" t="s">
        <v>1047</v>
      </c>
      <c r="C774" s="36" t="s">
        <v>1048</v>
      </c>
      <c r="D774" s="504" t="s">
        <v>37</v>
      </c>
      <c r="E774" s="505">
        <v>4</v>
      </c>
      <c r="F774" s="500"/>
      <c r="G774" s="500"/>
      <c r="H774" s="500"/>
      <c r="I774" s="500"/>
      <c r="J774" s="506">
        <v>30491.317999999999</v>
      </c>
      <c r="K774" s="502">
        <f t="shared" si="62"/>
        <v>121965.272</v>
      </c>
    </row>
    <row r="775" spans="1:11">
      <c r="A775" s="497">
        <v>36</v>
      </c>
      <c r="B775" s="498" t="s">
        <v>1043</v>
      </c>
      <c r="C775" s="36" t="s">
        <v>1049</v>
      </c>
      <c r="D775" s="504" t="s">
        <v>37</v>
      </c>
      <c r="E775" s="505">
        <v>2</v>
      </c>
      <c r="F775" s="500"/>
      <c r="G775" s="500"/>
      <c r="H775" s="500"/>
      <c r="I775" s="500"/>
      <c r="J775" s="506">
        <v>18203.152000000002</v>
      </c>
      <c r="K775" s="502">
        <f t="shared" si="62"/>
        <v>36406.304000000004</v>
      </c>
    </row>
    <row r="776" spans="1:11">
      <c r="A776" s="497">
        <v>37</v>
      </c>
      <c r="B776" s="498" t="s">
        <v>1050</v>
      </c>
      <c r="C776" s="36" t="s">
        <v>1051</v>
      </c>
      <c r="D776" s="504" t="s">
        <v>37</v>
      </c>
      <c r="E776" s="505">
        <v>2</v>
      </c>
      <c r="F776" s="500"/>
      <c r="G776" s="500"/>
      <c r="H776" s="500"/>
      <c r="I776" s="500"/>
      <c r="J776" s="506">
        <v>14319.536</v>
      </c>
      <c r="K776" s="502">
        <f t="shared" si="62"/>
        <v>28639.072</v>
      </c>
    </row>
    <row r="777" spans="1:11" ht="31.5">
      <c r="A777" s="497">
        <v>38</v>
      </c>
      <c r="B777" s="498" t="s">
        <v>1052</v>
      </c>
      <c r="C777" s="36" t="s">
        <v>1053</v>
      </c>
      <c r="D777" s="504" t="s">
        <v>37</v>
      </c>
      <c r="E777" s="505">
        <v>1</v>
      </c>
      <c r="F777" s="500"/>
      <c r="G777" s="500"/>
      <c r="H777" s="500"/>
      <c r="I777" s="500"/>
      <c r="J777" s="506">
        <v>23800.127999999997</v>
      </c>
      <c r="K777" s="502">
        <f t="shared" si="62"/>
        <v>23800.127999999997</v>
      </c>
    </row>
    <row r="778" spans="1:11">
      <c r="A778" s="509">
        <v>39</v>
      </c>
      <c r="B778" s="510" t="s">
        <v>1054</v>
      </c>
      <c r="C778" s="23" t="s">
        <v>1055</v>
      </c>
      <c r="D778" s="512" t="s">
        <v>37</v>
      </c>
      <c r="E778" s="183">
        <v>3</v>
      </c>
      <c r="F778" s="141"/>
      <c r="G778" s="141"/>
      <c r="H778" s="141"/>
      <c r="I778" s="141"/>
      <c r="J778" s="513">
        <v>1103.3</v>
      </c>
      <c r="K778" s="502">
        <f t="shared" si="62"/>
        <v>3309.8999999999996</v>
      </c>
    </row>
    <row r="779" spans="1:11" ht="31.5">
      <c r="A779" s="497">
        <v>40</v>
      </c>
      <c r="B779" s="498" t="s">
        <v>1056</v>
      </c>
      <c r="C779" s="36" t="s">
        <v>1057</v>
      </c>
      <c r="D779" s="504" t="s">
        <v>37</v>
      </c>
      <c r="E779" s="505">
        <v>1</v>
      </c>
      <c r="F779" s="500"/>
      <c r="G779" s="500"/>
      <c r="H779" s="500"/>
      <c r="I779" s="500"/>
      <c r="J779" s="506">
        <v>91075.468000000008</v>
      </c>
      <c r="K779" s="502">
        <f t="shared" si="62"/>
        <v>91075.468000000008</v>
      </c>
    </row>
    <row r="780" spans="1:11" ht="31.5">
      <c r="A780" s="497">
        <v>41</v>
      </c>
      <c r="B780" s="498" t="s">
        <v>752</v>
      </c>
      <c r="C780" s="36" t="s">
        <v>1058</v>
      </c>
      <c r="D780" s="504" t="s">
        <v>37</v>
      </c>
      <c r="E780" s="505">
        <v>10</v>
      </c>
      <c r="F780" s="500"/>
      <c r="G780" s="500"/>
      <c r="H780" s="500"/>
      <c r="I780" s="500"/>
      <c r="J780" s="506">
        <v>13216.236000000001</v>
      </c>
      <c r="K780" s="502">
        <f t="shared" si="62"/>
        <v>132162.36000000002</v>
      </c>
    </row>
    <row r="781" spans="1:11">
      <c r="A781" s="497">
        <v>42</v>
      </c>
      <c r="B781" s="498" t="s">
        <v>1059</v>
      </c>
      <c r="C781" s="36" t="s">
        <v>1060</v>
      </c>
      <c r="D781" s="504" t="s">
        <v>37</v>
      </c>
      <c r="E781" s="505">
        <v>2</v>
      </c>
      <c r="F781" s="500"/>
      <c r="G781" s="500"/>
      <c r="H781" s="500"/>
      <c r="I781" s="500"/>
      <c r="J781" s="506">
        <v>12290.761999999999</v>
      </c>
      <c r="K781" s="502">
        <f t="shared" si="62"/>
        <v>24581.523999999998</v>
      </c>
    </row>
    <row r="782" spans="1:11">
      <c r="A782" s="497">
        <v>43</v>
      </c>
      <c r="B782" s="498" t="s">
        <v>1061</v>
      </c>
      <c r="C782" s="36" t="s">
        <v>1062</v>
      </c>
      <c r="D782" s="504" t="s">
        <v>37</v>
      </c>
      <c r="E782" s="505">
        <v>2</v>
      </c>
      <c r="F782" s="500"/>
      <c r="G782" s="500"/>
      <c r="H782" s="500"/>
      <c r="I782" s="500"/>
      <c r="J782" s="506">
        <v>19386.928</v>
      </c>
      <c r="K782" s="502">
        <f t="shared" si="62"/>
        <v>38773.856</v>
      </c>
    </row>
    <row r="783" spans="1:11" ht="31.5">
      <c r="A783" s="497">
        <v>44</v>
      </c>
      <c r="B783" s="498" t="s">
        <v>1063</v>
      </c>
      <c r="C783" s="36" t="s">
        <v>1064</v>
      </c>
      <c r="D783" s="504" t="s">
        <v>37</v>
      </c>
      <c r="E783" s="505">
        <v>2</v>
      </c>
      <c r="F783" s="500"/>
      <c r="G783" s="500"/>
      <c r="H783" s="500"/>
      <c r="I783" s="500"/>
      <c r="J783" s="506">
        <v>18515.97</v>
      </c>
      <c r="K783" s="502">
        <f t="shared" si="62"/>
        <v>37031.94</v>
      </c>
    </row>
    <row r="784" spans="1:11">
      <c r="A784" s="497">
        <v>45</v>
      </c>
      <c r="B784" s="498" t="s">
        <v>1065</v>
      </c>
      <c r="C784" s="36" t="s">
        <v>1066</v>
      </c>
      <c r="D784" s="504" t="s">
        <v>37</v>
      </c>
      <c r="E784" s="505">
        <v>2</v>
      </c>
      <c r="F784" s="500"/>
      <c r="G784" s="500"/>
      <c r="H784" s="500"/>
      <c r="I784" s="500"/>
      <c r="J784" s="506">
        <v>53390.634000000005</v>
      </c>
      <c r="K784" s="502">
        <f t="shared" si="62"/>
        <v>106781.26800000001</v>
      </c>
    </row>
    <row r="785" spans="1:11" ht="31.5">
      <c r="A785" s="497">
        <v>46</v>
      </c>
      <c r="B785" s="498" t="s">
        <v>1067</v>
      </c>
      <c r="C785" s="36" t="s">
        <v>1068</v>
      </c>
      <c r="D785" s="504" t="s">
        <v>37</v>
      </c>
      <c r="E785" s="505">
        <v>2</v>
      </c>
      <c r="F785" s="500"/>
      <c r="G785" s="500"/>
      <c r="H785" s="500"/>
      <c r="I785" s="500"/>
      <c r="J785" s="506">
        <v>15784.977999999999</v>
      </c>
      <c r="K785" s="502">
        <f t="shared" si="62"/>
        <v>31569.955999999998</v>
      </c>
    </row>
    <row r="786" spans="1:11" ht="31.5">
      <c r="A786" s="497">
        <v>47</v>
      </c>
      <c r="B786" s="498" t="s">
        <v>1069</v>
      </c>
      <c r="C786" s="36" t="s">
        <v>1070</v>
      </c>
      <c r="D786" s="504" t="s">
        <v>37</v>
      </c>
      <c r="E786" s="505">
        <v>4</v>
      </c>
      <c r="F786" s="500"/>
      <c r="G786" s="500"/>
      <c r="H786" s="500"/>
      <c r="I786" s="500"/>
      <c r="J786" s="506">
        <v>1579.6659999999999</v>
      </c>
      <c r="K786" s="502">
        <f t="shared" si="62"/>
        <v>6318.6639999999998</v>
      </c>
    </row>
    <row r="787" spans="1:11">
      <c r="A787" s="497">
        <v>48</v>
      </c>
      <c r="B787" s="498" t="s">
        <v>1071</v>
      </c>
      <c r="C787" s="36" t="s">
        <v>1072</v>
      </c>
      <c r="D787" s="504" t="s">
        <v>37</v>
      </c>
      <c r="E787" s="505">
        <v>4</v>
      </c>
      <c r="F787" s="500"/>
      <c r="G787" s="500"/>
      <c r="H787" s="500"/>
      <c r="I787" s="500"/>
      <c r="J787" s="506">
        <v>2599.8000000000002</v>
      </c>
      <c r="K787" s="502">
        <f t="shared" si="62"/>
        <v>10399.200000000001</v>
      </c>
    </row>
    <row r="788" spans="1:11">
      <c r="A788" s="497">
        <v>49</v>
      </c>
      <c r="B788" s="498" t="s">
        <v>1073</v>
      </c>
      <c r="C788" s="36" t="s">
        <v>1074</v>
      </c>
      <c r="D788" s="504" t="s">
        <v>37</v>
      </c>
      <c r="E788" s="505">
        <v>4</v>
      </c>
      <c r="F788" s="500"/>
      <c r="G788" s="500"/>
      <c r="H788" s="500"/>
      <c r="I788" s="500"/>
      <c r="J788" s="506">
        <v>1284.8</v>
      </c>
      <c r="K788" s="502">
        <f t="shared" si="62"/>
        <v>5139.2</v>
      </c>
    </row>
    <row r="789" spans="1:11">
      <c r="A789" s="497">
        <v>50</v>
      </c>
      <c r="B789" s="498" t="s">
        <v>1075</v>
      </c>
      <c r="C789" s="36" t="s">
        <v>741</v>
      </c>
      <c r="D789" s="504" t="s">
        <v>37</v>
      </c>
      <c r="E789" s="505">
        <v>2</v>
      </c>
      <c r="F789" s="500"/>
      <c r="G789" s="500"/>
      <c r="H789" s="500"/>
      <c r="I789" s="500"/>
      <c r="J789" s="506">
        <v>14537.6</v>
      </c>
      <c r="K789" s="502">
        <f t="shared" si="62"/>
        <v>29075.200000000001</v>
      </c>
    </row>
    <row r="790" spans="1:11" ht="31.5">
      <c r="A790" s="497">
        <v>51</v>
      </c>
      <c r="B790" s="498" t="s">
        <v>1076</v>
      </c>
      <c r="C790" s="36" t="s">
        <v>1077</v>
      </c>
      <c r="D790" s="504" t="s">
        <v>37</v>
      </c>
      <c r="E790" s="505">
        <v>3</v>
      </c>
      <c r="F790" s="500"/>
      <c r="G790" s="500"/>
      <c r="H790" s="500"/>
      <c r="I790" s="500"/>
      <c r="J790" s="506">
        <v>3335.86</v>
      </c>
      <c r="K790" s="502">
        <f t="shared" si="62"/>
        <v>10007.58</v>
      </c>
    </row>
    <row r="791" spans="1:11">
      <c r="A791" s="497">
        <v>52</v>
      </c>
      <c r="B791" s="498" t="s">
        <v>1078</v>
      </c>
      <c r="C791" s="36" t="s">
        <v>1079</v>
      </c>
      <c r="D791" s="504" t="s">
        <v>37</v>
      </c>
      <c r="E791" s="505">
        <v>2</v>
      </c>
      <c r="F791" s="500"/>
      <c r="G791" s="500"/>
      <c r="H791" s="500"/>
      <c r="I791" s="500"/>
      <c r="J791" s="506">
        <v>23035.606</v>
      </c>
      <c r="K791" s="502">
        <f t="shared" si="62"/>
        <v>46071.212</v>
      </c>
    </row>
    <row r="792" spans="1:11" ht="47.25">
      <c r="A792" s="497">
        <v>53</v>
      </c>
      <c r="B792" s="498" t="s">
        <v>1080</v>
      </c>
      <c r="C792" s="36" t="s">
        <v>1081</v>
      </c>
      <c r="D792" s="504" t="s">
        <v>37</v>
      </c>
      <c r="E792" s="505">
        <v>1</v>
      </c>
      <c r="F792" s="500"/>
      <c r="G792" s="500"/>
      <c r="H792" s="500"/>
      <c r="I792" s="500"/>
      <c r="J792" s="506">
        <v>20861.455999999998</v>
      </c>
      <c r="K792" s="502">
        <f t="shared" si="62"/>
        <v>20861.455999999998</v>
      </c>
    </row>
    <row r="793" spans="1:11">
      <c r="A793" s="509">
        <v>54</v>
      </c>
      <c r="B793" s="510" t="s">
        <v>1031</v>
      </c>
      <c r="C793" s="515" t="s">
        <v>1082</v>
      </c>
      <c r="D793" s="516" t="s">
        <v>62</v>
      </c>
      <c r="E793" s="183">
        <v>1</v>
      </c>
      <c r="F793" s="141"/>
      <c r="G793" s="141"/>
      <c r="H793" s="141"/>
      <c r="I793" s="141"/>
      <c r="J793" s="513">
        <v>210586.5</v>
      </c>
      <c r="K793" s="502">
        <f t="shared" si="62"/>
        <v>210586.5</v>
      </c>
    </row>
    <row r="794" spans="1:11" ht="63">
      <c r="A794" s="509">
        <v>55</v>
      </c>
      <c r="B794" s="510" t="s">
        <v>1031</v>
      </c>
      <c r="C794" s="515" t="s">
        <v>1083</v>
      </c>
      <c r="D794" s="516" t="s">
        <v>62</v>
      </c>
      <c r="E794" s="183">
        <v>2</v>
      </c>
      <c r="F794" s="141"/>
      <c r="G794" s="141"/>
      <c r="H794" s="141"/>
      <c r="I794" s="141"/>
      <c r="J794" s="513">
        <v>280782</v>
      </c>
      <c r="K794" s="502">
        <f t="shared" si="62"/>
        <v>561564</v>
      </c>
    </row>
    <row r="795" spans="1:11">
      <c r="A795" s="517" t="s">
        <v>1084</v>
      </c>
      <c r="B795" s="517"/>
      <c r="C795" s="517"/>
      <c r="D795" s="517"/>
      <c r="E795" s="517"/>
      <c r="F795" s="517"/>
      <c r="G795" s="517"/>
      <c r="H795" s="517"/>
      <c r="I795" s="517"/>
      <c r="J795" s="517"/>
      <c r="K795" s="517"/>
    </row>
    <row r="796" spans="1:11">
      <c r="A796" s="458" t="s">
        <v>927</v>
      </c>
      <c r="B796" s="459" t="s">
        <v>117</v>
      </c>
      <c r="C796" s="458" t="s">
        <v>928</v>
      </c>
      <c r="D796" s="141" t="s">
        <v>119</v>
      </c>
      <c r="E796" s="460" t="s">
        <v>929</v>
      </c>
      <c r="F796" s="461"/>
      <c r="G796" s="461"/>
      <c r="H796" s="461"/>
      <c r="I796" s="462"/>
      <c r="J796" s="463" t="s">
        <v>930</v>
      </c>
      <c r="K796" s="463" t="s">
        <v>225</v>
      </c>
    </row>
    <row r="797" spans="1:11">
      <c r="A797" s="464"/>
      <c r="B797" s="465"/>
      <c r="C797" s="464"/>
      <c r="D797" s="466"/>
      <c r="E797" s="141" t="s">
        <v>121</v>
      </c>
      <c r="F797" s="141" t="s">
        <v>931</v>
      </c>
      <c r="G797" s="141" t="s">
        <v>1</v>
      </c>
      <c r="H797" s="141" t="s">
        <v>932</v>
      </c>
      <c r="I797" s="141" t="s">
        <v>0</v>
      </c>
      <c r="J797" s="467"/>
      <c r="K797" s="467"/>
    </row>
    <row r="798" spans="1:11" ht="31.5">
      <c r="A798" s="518">
        <v>1</v>
      </c>
      <c r="B798" s="519" t="s">
        <v>324</v>
      </c>
      <c r="C798" s="520" t="s">
        <v>325</v>
      </c>
      <c r="D798" s="521" t="s">
        <v>1085</v>
      </c>
      <c r="E798" s="522">
        <v>0.54800000000000004</v>
      </c>
      <c r="F798" s="133"/>
      <c r="G798" s="133"/>
      <c r="H798" s="522"/>
      <c r="I798" s="133"/>
      <c r="J798" s="523">
        <v>118000</v>
      </c>
      <c r="K798" s="391">
        <f>J798*(E798+I798)</f>
        <v>64664.000000000007</v>
      </c>
    </row>
    <row r="799" spans="1:11" ht="47.25">
      <c r="A799" s="518">
        <v>2</v>
      </c>
      <c r="B799" s="524" t="s">
        <v>453</v>
      </c>
      <c r="C799" s="520" t="s">
        <v>1086</v>
      </c>
      <c r="D799" s="521" t="s">
        <v>62</v>
      </c>
      <c r="E799" s="522">
        <v>4</v>
      </c>
      <c r="F799" s="133"/>
      <c r="G799" s="133"/>
      <c r="H799" s="133"/>
      <c r="I799" s="133"/>
      <c r="J799" s="523">
        <v>1191.8</v>
      </c>
      <c r="K799" s="391">
        <f t="shared" ref="K799:K814" si="63">J799*(E799+I799)</f>
        <v>4767.2</v>
      </c>
    </row>
    <row r="800" spans="1:11">
      <c r="A800" s="518">
        <v>3</v>
      </c>
      <c r="B800" s="525" t="s">
        <v>495</v>
      </c>
      <c r="C800" s="526" t="s">
        <v>1087</v>
      </c>
      <c r="D800" s="527" t="s">
        <v>37</v>
      </c>
      <c r="E800" s="133">
        <v>5</v>
      </c>
      <c r="F800" s="133"/>
      <c r="G800" s="133"/>
      <c r="H800" s="133"/>
      <c r="I800" s="133"/>
      <c r="J800" s="513">
        <v>250</v>
      </c>
      <c r="K800" s="391">
        <f t="shared" si="63"/>
        <v>1250</v>
      </c>
    </row>
    <row r="801" spans="1:11" ht="47.25">
      <c r="A801" s="518">
        <v>4</v>
      </c>
      <c r="B801" s="519" t="s">
        <v>248</v>
      </c>
      <c r="C801" s="5" t="s">
        <v>1088</v>
      </c>
      <c r="D801" s="527" t="s">
        <v>37</v>
      </c>
      <c r="E801" s="133">
        <v>2</v>
      </c>
      <c r="F801" s="133"/>
      <c r="G801" s="133"/>
      <c r="H801" s="133"/>
      <c r="I801" s="133"/>
      <c r="J801" s="391">
        <v>9555.64</v>
      </c>
      <c r="K801" s="391">
        <f t="shared" si="63"/>
        <v>19111.28</v>
      </c>
    </row>
    <row r="802" spans="1:11" ht="31.5">
      <c r="A802" s="518">
        <v>5</v>
      </c>
      <c r="B802" s="525" t="s">
        <v>246</v>
      </c>
      <c r="C802" s="5" t="s">
        <v>1089</v>
      </c>
      <c r="D802" s="527" t="s">
        <v>37</v>
      </c>
      <c r="E802" s="133">
        <v>4</v>
      </c>
      <c r="F802" s="133"/>
      <c r="G802" s="133"/>
      <c r="H802" s="133"/>
      <c r="I802" s="133"/>
      <c r="J802" s="391">
        <v>80</v>
      </c>
      <c r="K802" s="391">
        <f t="shared" si="63"/>
        <v>320</v>
      </c>
    </row>
    <row r="803" spans="1:11" ht="31.5">
      <c r="A803" s="518">
        <v>6</v>
      </c>
      <c r="B803" s="525" t="s">
        <v>244</v>
      </c>
      <c r="C803" s="5" t="s">
        <v>1090</v>
      </c>
      <c r="D803" s="527" t="s">
        <v>37</v>
      </c>
      <c r="E803" s="133">
        <v>2</v>
      </c>
      <c r="F803" s="133"/>
      <c r="G803" s="133"/>
      <c r="H803" s="133"/>
      <c r="I803" s="133"/>
      <c r="J803" s="391">
        <v>40</v>
      </c>
      <c r="K803" s="391">
        <f t="shared" si="63"/>
        <v>80</v>
      </c>
    </row>
    <row r="804" spans="1:11" ht="31.5">
      <c r="A804" s="518">
        <v>7</v>
      </c>
      <c r="B804" s="525" t="s">
        <v>253</v>
      </c>
      <c r="C804" s="5" t="s">
        <v>1091</v>
      </c>
      <c r="D804" s="527" t="s">
        <v>37</v>
      </c>
      <c r="E804" s="133">
        <v>3</v>
      </c>
      <c r="F804" s="133"/>
      <c r="G804" s="133"/>
      <c r="H804" s="133"/>
      <c r="I804" s="133"/>
      <c r="J804" s="391">
        <v>30</v>
      </c>
      <c r="K804" s="391">
        <f t="shared" si="63"/>
        <v>90</v>
      </c>
    </row>
    <row r="805" spans="1:11" ht="47.25">
      <c r="A805" s="518">
        <v>9</v>
      </c>
      <c r="B805" s="133" t="s">
        <v>229</v>
      </c>
      <c r="C805" s="5" t="s">
        <v>1092</v>
      </c>
      <c r="D805" s="527" t="s">
        <v>1093</v>
      </c>
      <c r="E805" s="133"/>
      <c r="F805" s="133"/>
      <c r="G805" s="133"/>
      <c r="H805" s="133"/>
      <c r="I805" s="133">
        <v>50</v>
      </c>
      <c r="J805" s="391">
        <v>15</v>
      </c>
      <c r="K805" s="391">
        <f t="shared" si="63"/>
        <v>750</v>
      </c>
    </row>
    <row r="806" spans="1:11" ht="31.5">
      <c r="A806" s="518">
        <v>10</v>
      </c>
      <c r="B806" s="528" t="s">
        <v>275</v>
      </c>
      <c r="C806" s="529" t="s">
        <v>1094</v>
      </c>
      <c r="D806" s="527" t="s">
        <v>951</v>
      </c>
      <c r="E806" s="133">
        <v>5</v>
      </c>
      <c r="F806" s="133"/>
      <c r="G806" s="133"/>
      <c r="H806" s="133"/>
      <c r="I806" s="133"/>
      <c r="J806" s="391">
        <v>10679</v>
      </c>
      <c r="K806" s="391">
        <f t="shared" si="63"/>
        <v>53395</v>
      </c>
    </row>
    <row r="807" spans="1:11" ht="31.5">
      <c r="A807" s="518">
        <v>11</v>
      </c>
      <c r="B807" s="528" t="s">
        <v>248</v>
      </c>
      <c r="C807" s="530" t="s">
        <v>1095</v>
      </c>
      <c r="D807" s="224" t="s">
        <v>206</v>
      </c>
      <c r="E807" s="133">
        <v>9</v>
      </c>
      <c r="F807" s="133"/>
      <c r="G807" s="133"/>
      <c r="H807" s="133"/>
      <c r="I807" s="133"/>
      <c r="J807" s="391">
        <v>6380.26</v>
      </c>
      <c r="K807" s="391">
        <f t="shared" si="63"/>
        <v>57422.340000000004</v>
      </c>
    </row>
    <row r="808" spans="1:11" ht="31.5">
      <c r="A808" s="518">
        <v>12</v>
      </c>
      <c r="B808" s="525" t="s">
        <v>255</v>
      </c>
      <c r="C808" s="217" t="s">
        <v>1096</v>
      </c>
      <c r="D808" s="527" t="s">
        <v>951</v>
      </c>
      <c r="E808" s="133">
        <v>2</v>
      </c>
      <c r="F808" s="133"/>
      <c r="G808" s="133"/>
      <c r="H808" s="133"/>
      <c r="I808" s="133"/>
      <c r="J808" s="391">
        <v>1180</v>
      </c>
      <c r="K808" s="391">
        <f t="shared" si="63"/>
        <v>2360</v>
      </c>
    </row>
    <row r="809" spans="1:11">
      <c r="A809" s="518">
        <v>13</v>
      </c>
      <c r="B809" s="525" t="s">
        <v>495</v>
      </c>
      <c r="C809" s="217" t="s">
        <v>1087</v>
      </c>
      <c r="D809" s="527" t="s">
        <v>37</v>
      </c>
      <c r="E809" s="133">
        <v>5</v>
      </c>
      <c r="F809" s="133"/>
      <c r="G809" s="133"/>
      <c r="H809" s="133"/>
      <c r="I809" s="133"/>
      <c r="J809" s="391">
        <v>464</v>
      </c>
      <c r="K809" s="391">
        <f t="shared" si="63"/>
        <v>2320</v>
      </c>
    </row>
    <row r="810" spans="1:11" ht="31.5">
      <c r="A810" s="518">
        <v>14</v>
      </c>
      <c r="B810" s="519" t="s">
        <v>324</v>
      </c>
      <c r="C810" s="29" t="s">
        <v>1097</v>
      </c>
      <c r="D810" s="27" t="s">
        <v>1016</v>
      </c>
      <c r="E810" s="390"/>
      <c r="F810" s="133"/>
      <c r="G810" s="133"/>
      <c r="H810" s="133"/>
      <c r="I810" s="133">
        <v>426</v>
      </c>
      <c r="J810" s="390">
        <v>50</v>
      </c>
      <c r="K810" s="391">
        <f t="shared" si="63"/>
        <v>21300</v>
      </c>
    </row>
    <row r="811" spans="1:11" ht="31.5">
      <c r="A811" s="518">
        <v>15</v>
      </c>
      <c r="B811" s="525" t="s">
        <v>229</v>
      </c>
      <c r="C811" s="531" t="s">
        <v>1098</v>
      </c>
      <c r="D811" s="27" t="s">
        <v>1093</v>
      </c>
      <c r="E811" s="532"/>
      <c r="F811" s="133"/>
      <c r="G811" s="133"/>
      <c r="H811" s="133"/>
      <c r="I811" s="133">
        <v>6500</v>
      </c>
      <c r="J811" s="390">
        <v>20</v>
      </c>
      <c r="K811" s="391">
        <f t="shared" si="63"/>
        <v>130000</v>
      </c>
    </row>
    <row r="812" spans="1:11">
      <c r="A812" s="518">
        <v>16</v>
      </c>
      <c r="B812" s="525" t="s">
        <v>495</v>
      </c>
      <c r="C812" s="29" t="s">
        <v>1099</v>
      </c>
      <c r="D812" s="27" t="s">
        <v>40</v>
      </c>
      <c r="E812" s="532">
        <v>60</v>
      </c>
      <c r="F812" s="133"/>
      <c r="G812" s="133"/>
      <c r="H812" s="133"/>
      <c r="I812" s="133"/>
      <c r="J812" s="390">
        <v>20</v>
      </c>
      <c r="K812" s="391">
        <f t="shared" si="63"/>
        <v>1200</v>
      </c>
    </row>
    <row r="813" spans="1:11" ht="31.5">
      <c r="A813" s="518">
        <v>17</v>
      </c>
      <c r="B813" s="525" t="s">
        <v>1100</v>
      </c>
      <c r="C813" s="29" t="s">
        <v>1101</v>
      </c>
      <c r="D813" s="27" t="s">
        <v>1093</v>
      </c>
      <c r="E813" s="532"/>
      <c r="F813" s="133"/>
      <c r="G813" s="133"/>
      <c r="H813" s="133"/>
      <c r="I813" s="133">
        <v>1000</v>
      </c>
      <c r="J813" s="390">
        <v>30</v>
      </c>
      <c r="K813" s="391">
        <f t="shared" si="63"/>
        <v>30000</v>
      </c>
    </row>
    <row r="814" spans="1:11" ht="31.5">
      <c r="A814" s="518">
        <v>18</v>
      </c>
      <c r="B814" s="525" t="s">
        <v>1102</v>
      </c>
      <c r="C814" s="29" t="s">
        <v>1103</v>
      </c>
      <c r="D814" s="27" t="s">
        <v>1093</v>
      </c>
      <c r="E814" s="532">
        <v>1000</v>
      </c>
      <c r="F814" s="133"/>
      <c r="G814" s="133"/>
      <c r="H814" s="133"/>
      <c r="I814" s="133"/>
      <c r="J814" s="390">
        <v>50</v>
      </c>
      <c r="K814" s="391">
        <f t="shared" si="63"/>
        <v>50000</v>
      </c>
    </row>
    <row r="815" spans="1:11">
      <c r="A815" s="494" t="s">
        <v>1104</v>
      </c>
      <c r="B815" s="495"/>
      <c r="C815" s="495"/>
      <c r="D815" s="495"/>
      <c r="E815" s="495"/>
      <c r="F815" s="495"/>
      <c r="G815" s="495"/>
      <c r="H815" s="495"/>
      <c r="I815" s="495"/>
      <c r="J815" s="495"/>
      <c r="K815" s="496"/>
    </row>
    <row r="816" spans="1:11">
      <c r="A816" s="458" t="s">
        <v>927</v>
      </c>
      <c r="B816" s="459" t="s">
        <v>117</v>
      </c>
      <c r="C816" s="458" t="s">
        <v>928</v>
      </c>
      <c r="D816" s="141" t="s">
        <v>119</v>
      </c>
      <c r="E816" s="460" t="s">
        <v>929</v>
      </c>
      <c r="F816" s="461"/>
      <c r="G816" s="461"/>
      <c r="H816" s="461"/>
      <c r="I816" s="462"/>
      <c r="J816" s="463" t="s">
        <v>930</v>
      </c>
      <c r="K816" s="463" t="s">
        <v>225</v>
      </c>
    </row>
    <row r="817" spans="1:11">
      <c r="A817" s="464"/>
      <c r="B817" s="465"/>
      <c r="C817" s="464"/>
      <c r="D817" s="466"/>
      <c r="E817" s="141" t="s">
        <v>121</v>
      </c>
      <c r="F817" s="141" t="s">
        <v>931</v>
      </c>
      <c r="G817" s="141" t="s">
        <v>1</v>
      </c>
      <c r="H817" s="141" t="s">
        <v>932</v>
      </c>
      <c r="I817" s="141" t="s">
        <v>0</v>
      </c>
      <c r="J817" s="467"/>
      <c r="K817" s="467"/>
    </row>
    <row r="818" spans="1:11" ht="47.25">
      <c r="A818" s="533">
        <v>1</v>
      </c>
      <c r="B818" s="510" t="s">
        <v>1105</v>
      </c>
      <c r="C818" s="511" t="s">
        <v>1106</v>
      </c>
      <c r="D818" s="512" t="s">
        <v>1016</v>
      </c>
      <c r="E818" s="306">
        <v>100</v>
      </c>
      <c r="F818" s="141"/>
      <c r="G818" s="141"/>
      <c r="H818" s="141"/>
      <c r="I818" s="141"/>
      <c r="J818" s="534">
        <v>210.59</v>
      </c>
      <c r="K818" s="271">
        <f t="shared" ref="K818:K832" si="64">J818*(I818+E818)</f>
        <v>21059</v>
      </c>
    </row>
    <row r="819" spans="1:11" ht="47.25">
      <c r="A819" s="533">
        <v>2</v>
      </c>
      <c r="B819" s="510" t="s">
        <v>312</v>
      </c>
      <c r="C819" s="511" t="s">
        <v>1107</v>
      </c>
      <c r="D819" s="512" t="s">
        <v>1016</v>
      </c>
      <c r="E819" s="147">
        <v>100</v>
      </c>
      <c r="F819" s="141"/>
      <c r="G819" s="141"/>
      <c r="H819" s="141"/>
      <c r="I819" s="141"/>
      <c r="J819" s="513">
        <v>280.77999999999997</v>
      </c>
      <c r="K819" s="271">
        <f t="shared" si="64"/>
        <v>28077.999999999996</v>
      </c>
    </row>
    <row r="820" spans="1:11" ht="47.25">
      <c r="A820" s="533">
        <v>3</v>
      </c>
      <c r="B820" s="510" t="s">
        <v>300</v>
      </c>
      <c r="C820" s="220" t="s">
        <v>1108</v>
      </c>
      <c r="D820" s="535" t="s">
        <v>40</v>
      </c>
      <c r="E820" s="536">
        <v>2</v>
      </c>
      <c r="F820" s="141"/>
      <c r="G820" s="141"/>
      <c r="H820" s="141"/>
      <c r="I820" s="141"/>
      <c r="J820" s="537">
        <v>6619.8</v>
      </c>
      <c r="K820" s="271">
        <f t="shared" si="64"/>
        <v>13239.6</v>
      </c>
    </row>
    <row r="821" spans="1:11" ht="47.25">
      <c r="A821" s="533">
        <v>4</v>
      </c>
      <c r="B821" s="510" t="s">
        <v>302</v>
      </c>
      <c r="C821" s="221" t="s">
        <v>1109</v>
      </c>
      <c r="D821" s="222" t="s">
        <v>40</v>
      </c>
      <c r="E821" s="147">
        <v>1</v>
      </c>
      <c r="F821" s="141"/>
      <c r="G821" s="141"/>
      <c r="H821" s="141"/>
      <c r="I821" s="141"/>
      <c r="J821" s="513">
        <v>4590.2</v>
      </c>
      <c r="K821" s="271">
        <f t="shared" si="64"/>
        <v>4590.2</v>
      </c>
    </row>
    <row r="822" spans="1:11" ht="47.25">
      <c r="A822" s="533">
        <v>5</v>
      </c>
      <c r="B822" s="510" t="s">
        <v>1110</v>
      </c>
      <c r="C822" s="162" t="s">
        <v>1111</v>
      </c>
      <c r="D822" s="222" t="s">
        <v>40</v>
      </c>
      <c r="E822" s="147">
        <v>2</v>
      </c>
      <c r="F822" s="141"/>
      <c r="G822" s="141"/>
      <c r="H822" s="141"/>
      <c r="I822" s="141"/>
      <c r="J822" s="513">
        <v>3964.8</v>
      </c>
      <c r="K822" s="271">
        <f t="shared" si="64"/>
        <v>7929.6</v>
      </c>
    </row>
    <row r="823" spans="1:11" ht="47.25">
      <c r="A823" s="533">
        <v>6</v>
      </c>
      <c r="B823" s="510" t="s">
        <v>1112</v>
      </c>
      <c r="C823" s="162" t="s">
        <v>1113</v>
      </c>
      <c r="D823" s="222" t="s">
        <v>40</v>
      </c>
      <c r="E823" s="147">
        <v>2</v>
      </c>
      <c r="F823" s="141"/>
      <c r="G823" s="141"/>
      <c r="H823" s="141"/>
      <c r="I823" s="141"/>
      <c r="J823" s="513">
        <v>6324.8</v>
      </c>
      <c r="K823" s="271">
        <f t="shared" si="64"/>
        <v>12649.6</v>
      </c>
    </row>
    <row r="824" spans="1:11">
      <c r="A824" s="533">
        <v>7</v>
      </c>
      <c r="B824" s="510" t="s">
        <v>265</v>
      </c>
      <c r="C824" s="162" t="s">
        <v>1114</v>
      </c>
      <c r="D824" s="222" t="s">
        <v>387</v>
      </c>
      <c r="E824" s="147">
        <v>200</v>
      </c>
      <c r="F824" s="141"/>
      <c r="G824" s="141"/>
      <c r="H824" s="141"/>
      <c r="I824" s="141"/>
      <c r="J824" s="513">
        <v>138.06</v>
      </c>
      <c r="K824" s="271">
        <f t="shared" si="64"/>
        <v>27612</v>
      </c>
    </row>
    <row r="825" spans="1:11">
      <c r="A825" s="533">
        <v>8</v>
      </c>
      <c r="B825" s="510" t="s">
        <v>308</v>
      </c>
      <c r="C825" s="162" t="s">
        <v>1115</v>
      </c>
      <c r="D825" s="222" t="s">
        <v>40</v>
      </c>
      <c r="E825" s="147">
        <v>12</v>
      </c>
      <c r="F825" s="141"/>
      <c r="G825" s="141"/>
      <c r="H825" s="141"/>
      <c r="I825" s="141"/>
      <c r="J825" s="144">
        <v>221.84</v>
      </c>
      <c r="K825" s="271">
        <f t="shared" si="64"/>
        <v>2662.08</v>
      </c>
    </row>
    <row r="826" spans="1:11">
      <c r="A826" s="533">
        <v>9</v>
      </c>
      <c r="B826" s="510" t="s">
        <v>308</v>
      </c>
      <c r="C826" s="162" t="s">
        <v>1116</v>
      </c>
      <c r="D826" s="224" t="s">
        <v>40</v>
      </c>
      <c r="E826" s="147">
        <v>8</v>
      </c>
      <c r="F826" s="538"/>
      <c r="G826" s="538"/>
      <c r="H826" s="538"/>
      <c r="I826" s="538"/>
      <c r="J826" s="144">
        <v>460.2</v>
      </c>
      <c r="K826" s="271">
        <f t="shared" si="64"/>
        <v>3681.6</v>
      </c>
    </row>
    <row r="827" spans="1:11">
      <c r="A827" s="533">
        <v>10</v>
      </c>
      <c r="B827" s="510" t="s">
        <v>727</v>
      </c>
      <c r="C827" s="162" t="s">
        <v>1117</v>
      </c>
      <c r="D827" s="224" t="s">
        <v>40</v>
      </c>
      <c r="E827" s="147">
        <v>4</v>
      </c>
      <c r="F827" s="538"/>
      <c r="G827" s="538"/>
      <c r="H827" s="538"/>
      <c r="I827" s="538"/>
      <c r="J827" s="144">
        <v>342.2</v>
      </c>
      <c r="K827" s="271">
        <f t="shared" si="64"/>
        <v>1368.8</v>
      </c>
    </row>
    <row r="828" spans="1:11" ht="31.5">
      <c r="A828" s="533">
        <v>11</v>
      </c>
      <c r="B828" s="510" t="s">
        <v>310</v>
      </c>
      <c r="C828" s="162" t="s">
        <v>1118</v>
      </c>
      <c r="D828" s="224" t="s">
        <v>40</v>
      </c>
      <c r="E828" s="147">
        <v>4</v>
      </c>
      <c r="F828" s="538"/>
      <c r="G828" s="538"/>
      <c r="H828" s="538"/>
      <c r="I828" s="538"/>
      <c r="J828" s="144">
        <v>2808.4</v>
      </c>
      <c r="K828" s="271">
        <f t="shared" si="64"/>
        <v>11233.6</v>
      </c>
    </row>
    <row r="829" spans="1:11" ht="31.5">
      <c r="A829" s="533">
        <v>12</v>
      </c>
      <c r="B829" s="510" t="s">
        <v>1119</v>
      </c>
      <c r="C829" s="162" t="s">
        <v>1120</v>
      </c>
      <c r="D829" s="224" t="s">
        <v>1121</v>
      </c>
      <c r="E829" s="147">
        <v>2</v>
      </c>
      <c r="F829" s="538"/>
      <c r="G829" s="538"/>
      <c r="H829" s="538"/>
      <c r="I829" s="538"/>
      <c r="J829" s="144">
        <v>24438.400000000001</v>
      </c>
      <c r="K829" s="271">
        <f t="shared" si="64"/>
        <v>48876.800000000003</v>
      </c>
    </row>
    <row r="830" spans="1:11" ht="31.5">
      <c r="A830" s="533">
        <v>13</v>
      </c>
      <c r="B830" s="510" t="s">
        <v>1122</v>
      </c>
      <c r="C830" s="162" t="s">
        <v>1123</v>
      </c>
      <c r="D830" s="224" t="s">
        <v>1121</v>
      </c>
      <c r="E830" s="147">
        <v>1</v>
      </c>
      <c r="F830" s="538"/>
      <c r="G830" s="538"/>
      <c r="H830" s="538"/>
      <c r="I830" s="538"/>
      <c r="J830" s="144">
        <v>22276.799999999999</v>
      </c>
      <c r="K830" s="271">
        <f t="shared" si="64"/>
        <v>22276.799999999999</v>
      </c>
    </row>
    <row r="831" spans="1:11" ht="47.25">
      <c r="A831" s="533">
        <v>14</v>
      </c>
      <c r="B831" s="510" t="s">
        <v>1124</v>
      </c>
      <c r="C831" s="162" t="s">
        <v>1125</v>
      </c>
      <c r="D831" s="224" t="s">
        <v>40</v>
      </c>
      <c r="E831" s="147">
        <v>1</v>
      </c>
      <c r="F831" s="538"/>
      <c r="G831" s="538"/>
      <c r="H831" s="538"/>
      <c r="I831" s="538"/>
      <c r="J831" s="144">
        <v>3410.2</v>
      </c>
      <c r="K831" s="271">
        <f t="shared" si="64"/>
        <v>3410.2</v>
      </c>
    </row>
    <row r="832" spans="1:11" ht="47.25">
      <c r="A832" s="533">
        <v>15</v>
      </c>
      <c r="B832" s="510" t="s">
        <v>1126</v>
      </c>
      <c r="C832" s="162" t="s">
        <v>1127</v>
      </c>
      <c r="D832" s="224" t="s">
        <v>40</v>
      </c>
      <c r="E832" s="147">
        <v>1</v>
      </c>
      <c r="F832" s="538"/>
      <c r="G832" s="538"/>
      <c r="H832" s="538"/>
      <c r="I832" s="538"/>
      <c r="J832" s="144">
        <v>6442.8</v>
      </c>
      <c r="K832" s="271">
        <f t="shared" si="64"/>
        <v>6442.8</v>
      </c>
    </row>
    <row r="833" spans="1:12">
      <c r="A833" s="286"/>
      <c r="B833" s="286"/>
      <c r="C833" s="286"/>
      <c r="D833" s="286"/>
      <c r="E833" s="286"/>
      <c r="F833" s="286"/>
      <c r="G833" s="286"/>
      <c r="H833" s="286"/>
      <c r="I833" s="286"/>
      <c r="J833" s="286"/>
      <c r="K833" s="286"/>
    </row>
    <row r="834" spans="1:12">
      <c r="A834" s="286"/>
      <c r="B834" s="286"/>
      <c r="C834" s="286"/>
      <c r="D834" s="286"/>
      <c r="E834" s="286"/>
      <c r="F834" s="286"/>
      <c r="G834" s="286"/>
      <c r="H834" s="286"/>
      <c r="I834" s="286"/>
      <c r="J834" s="286"/>
      <c r="K834" s="286"/>
    </row>
    <row r="835" spans="1:12">
      <c r="A835" s="286"/>
      <c r="B835" s="286"/>
      <c r="C835" s="286"/>
      <c r="D835" s="286"/>
      <c r="E835" s="286"/>
      <c r="F835" s="286"/>
      <c r="G835" s="286"/>
      <c r="H835" s="286"/>
      <c r="I835" s="286"/>
      <c r="J835" s="286"/>
      <c r="K835" s="286"/>
    </row>
    <row r="838" spans="1:12">
      <c r="A838" s="539" t="s">
        <v>1128</v>
      </c>
      <c r="B838" s="539"/>
      <c r="C838" s="539"/>
      <c r="D838" s="539"/>
      <c r="E838" s="539"/>
      <c r="F838" s="539"/>
      <c r="G838" s="539"/>
      <c r="H838" s="539"/>
      <c r="I838" s="539"/>
      <c r="J838" s="539"/>
      <c r="K838" s="539"/>
      <c r="L838" s="539"/>
    </row>
    <row r="839" spans="1:12">
      <c r="A839" s="539" t="s">
        <v>1129</v>
      </c>
      <c r="B839" s="539"/>
      <c r="C839" s="539"/>
      <c r="D839" s="539"/>
      <c r="E839" s="539"/>
      <c r="F839" s="539"/>
      <c r="G839" s="539"/>
      <c r="H839" s="539"/>
      <c r="I839" s="539"/>
      <c r="J839" s="539"/>
      <c r="K839" s="539"/>
      <c r="L839" s="539"/>
    </row>
    <row r="840" spans="1:12">
      <c r="A840" s="540" t="s">
        <v>1130</v>
      </c>
      <c r="B840" s="540"/>
      <c r="C840" s="540"/>
      <c r="D840" s="540"/>
      <c r="E840" s="540"/>
      <c r="F840" s="540"/>
      <c r="G840" s="540"/>
      <c r="H840" s="540"/>
      <c r="I840" s="540"/>
      <c r="J840" s="540"/>
      <c r="K840" s="540"/>
      <c r="L840" s="540"/>
    </row>
    <row r="841" spans="1:12">
      <c r="A841" s="541" t="s">
        <v>1131</v>
      </c>
      <c r="B841" s="542" t="s">
        <v>117</v>
      </c>
      <c r="C841" s="543"/>
      <c r="D841" s="544" t="s">
        <v>928</v>
      </c>
      <c r="E841" s="544" t="s">
        <v>119</v>
      </c>
      <c r="F841" s="545" t="s">
        <v>929</v>
      </c>
      <c r="G841" s="546"/>
      <c r="H841" s="546"/>
      <c r="I841" s="546"/>
      <c r="J841" s="547"/>
      <c r="K841" s="544" t="s">
        <v>930</v>
      </c>
      <c r="L841" s="544" t="s">
        <v>225</v>
      </c>
    </row>
    <row r="842" spans="1:12" ht="47.25">
      <c r="A842" s="548"/>
      <c r="B842" s="549"/>
      <c r="C842" s="550"/>
      <c r="D842" s="551"/>
      <c r="E842" s="551"/>
      <c r="F842" s="552" t="s">
        <v>121</v>
      </c>
      <c r="G842" s="553" t="s">
        <v>1132</v>
      </c>
      <c r="H842" s="552" t="s">
        <v>1</v>
      </c>
      <c r="I842" s="553" t="s">
        <v>1133</v>
      </c>
      <c r="J842" s="552" t="s">
        <v>0</v>
      </c>
      <c r="K842" s="551"/>
      <c r="L842" s="551"/>
    </row>
    <row r="843" spans="1:12" ht="45">
      <c r="A843" s="554">
        <v>1</v>
      </c>
      <c r="B843" s="555" t="s">
        <v>1134</v>
      </c>
      <c r="C843" s="556" t="s">
        <v>1135</v>
      </c>
      <c r="D843" s="557" t="s">
        <v>387</v>
      </c>
      <c r="E843" s="6">
        <v>302</v>
      </c>
      <c r="F843" s="558"/>
      <c r="G843" s="559"/>
      <c r="H843" s="559"/>
      <c r="I843" s="560"/>
      <c r="J843" s="559">
        <v>302</v>
      </c>
      <c r="K843" s="11">
        <v>30</v>
      </c>
      <c r="L843" s="561">
        <f t="shared" ref="L843:L865" si="65">+K843*E843</f>
        <v>9060</v>
      </c>
    </row>
    <row r="844" spans="1:12" ht="30">
      <c r="A844" s="562">
        <v>2</v>
      </c>
      <c r="B844" s="563"/>
      <c r="C844" s="556" t="s">
        <v>1136</v>
      </c>
      <c r="D844" s="557" t="s">
        <v>387</v>
      </c>
      <c r="E844" s="6">
        <v>850</v>
      </c>
      <c r="F844" s="558"/>
      <c r="G844" s="559"/>
      <c r="H844" s="559"/>
      <c r="I844" s="560"/>
      <c r="J844" s="559">
        <v>850</v>
      </c>
      <c r="K844" s="11">
        <v>30</v>
      </c>
      <c r="L844" s="561">
        <f t="shared" si="65"/>
        <v>25500</v>
      </c>
    </row>
    <row r="845" spans="1:12" ht="30">
      <c r="A845" s="554">
        <v>3</v>
      </c>
      <c r="B845" s="564"/>
      <c r="C845" s="556" t="s">
        <v>1137</v>
      </c>
      <c r="D845" s="557" t="s">
        <v>387</v>
      </c>
      <c r="E845" s="559">
        <v>1180</v>
      </c>
      <c r="F845" s="559"/>
      <c r="G845" s="559"/>
      <c r="H845" s="559"/>
      <c r="I845" s="560"/>
      <c r="J845" s="559">
        <v>1180</v>
      </c>
      <c r="K845" s="11">
        <v>30</v>
      </c>
      <c r="L845" s="561">
        <f t="shared" si="65"/>
        <v>35400</v>
      </c>
    </row>
    <row r="846" spans="1:12" ht="30">
      <c r="A846" s="554">
        <v>4</v>
      </c>
      <c r="B846" s="565"/>
      <c r="C846" s="556" t="s">
        <v>1138</v>
      </c>
      <c r="D846" s="559" t="s">
        <v>37</v>
      </c>
      <c r="E846" s="559">
        <v>300</v>
      </c>
      <c r="F846" s="559"/>
      <c r="G846" s="559"/>
      <c r="H846" s="559"/>
      <c r="I846" s="559"/>
      <c r="J846" s="11">
        <v>300</v>
      </c>
      <c r="K846" s="566">
        <v>30</v>
      </c>
      <c r="L846" s="561">
        <f t="shared" si="65"/>
        <v>9000</v>
      </c>
    </row>
    <row r="847" spans="1:12" ht="45">
      <c r="A847" s="554">
        <v>5</v>
      </c>
      <c r="B847" s="563"/>
      <c r="C847" s="556" t="s">
        <v>1139</v>
      </c>
      <c r="D847" s="557" t="s">
        <v>37</v>
      </c>
      <c r="E847" s="6">
        <v>50</v>
      </c>
      <c r="F847" s="558"/>
      <c r="G847" s="559"/>
      <c r="H847" s="559"/>
      <c r="I847" s="560"/>
      <c r="J847" s="559">
        <v>50</v>
      </c>
      <c r="K847" s="11">
        <v>300</v>
      </c>
      <c r="L847" s="561">
        <f t="shared" si="65"/>
        <v>15000</v>
      </c>
    </row>
    <row r="848" spans="1:12" ht="45">
      <c r="A848" s="562">
        <v>6</v>
      </c>
      <c r="B848" s="563"/>
      <c r="C848" s="556" t="s">
        <v>1140</v>
      </c>
      <c r="D848" s="557" t="s">
        <v>37</v>
      </c>
      <c r="E848" s="6">
        <v>20</v>
      </c>
      <c r="F848" s="558"/>
      <c r="G848" s="559"/>
      <c r="H848" s="559"/>
      <c r="I848" s="560"/>
      <c r="J848" s="559">
        <v>20</v>
      </c>
      <c r="K848" s="11">
        <v>300</v>
      </c>
      <c r="L848" s="561">
        <f t="shared" si="65"/>
        <v>6000</v>
      </c>
    </row>
    <row r="849" spans="1:12">
      <c r="A849" s="554">
        <v>7</v>
      </c>
      <c r="B849" s="564"/>
      <c r="C849" s="567" t="s">
        <v>1141</v>
      </c>
      <c r="D849" s="559" t="s">
        <v>37</v>
      </c>
      <c r="E849" s="559">
        <v>1</v>
      </c>
      <c r="F849" s="559">
        <v>1</v>
      </c>
      <c r="G849" s="559"/>
      <c r="H849" s="559"/>
      <c r="I849" s="560"/>
      <c r="J849" s="559"/>
      <c r="K849" s="11">
        <v>3000</v>
      </c>
      <c r="L849" s="561">
        <f t="shared" si="65"/>
        <v>3000</v>
      </c>
    </row>
    <row r="850" spans="1:12" ht="30">
      <c r="A850" s="554">
        <v>8</v>
      </c>
      <c r="B850" s="565"/>
      <c r="C850" s="568" t="s">
        <v>1142</v>
      </c>
      <c r="D850" s="569" t="s">
        <v>37</v>
      </c>
      <c r="E850" s="11">
        <v>6</v>
      </c>
      <c r="F850" s="570">
        <v>6</v>
      </c>
      <c r="G850" s="570"/>
      <c r="H850" s="571"/>
      <c r="I850" s="560"/>
      <c r="J850" s="570"/>
      <c r="K850" s="11">
        <v>600</v>
      </c>
      <c r="L850" s="561">
        <f t="shared" si="65"/>
        <v>3600</v>
      </c>
    </row>
    <row r="851" spans="1:12" ht="30">
      <c r="A851" s="554">
        <v>9</v>
      </c>
      <c r="B851" s="565"/>
      <c r="C851" s="568" t="s">
        <v>1143</v>
      </c>
      <c r="D851" s="569" t="s">
        <v>37</v>
      </c>
      <c r="E851" s="11">
        <v>1</v>
      </c>
      <c r="F851" s="570">
        <v>1</v>
      </c>
      <c r="G851" s="570"/>
      <c r="H851" s="571"/>
      <c r="I851" s="560"/>
      <c r="J851" s="570"/>
      <c r="K851" s="11">
        <v>1000</v>
      </c>
      <c r="L851" s="561">
        <f t="shared" si="65"/>
        <v>1000</v>
      </c>
    </row>
    <row r="852" spans="1:12" ht="30">
      <c r="A852" s="562">
        <v>10</v>
      </c>
      <c r="B852" s="565"/>
      <c r="C852" s="568" t="s">
        <v>1144</v>
      </c>
      <c r="D852" s="569" t="s">
        <v>37</v>
      </c>
      <c r="E852" s="11">
        <v>1</v>
      </c>
      <c r="F852" s="570">
        <v>1</v>
      </c>
      <c r="G852" s="570"/>
      <c r="H852" s="571"/>
      <c r="I852" s="560"/>
      <c r="J852" s="570"/>
      <c r="K852" s="11">
        <v>50000</v>
      </c>
      <c r="L852" s="561">
        <f t="shared" si="65"/>
        <v>50000</v>
      </c>
    </row>
    <row r="853" spans="1:12" ht="45">
      <c r="A853" s="554">
        <v>11</v>
      </c>
      <c r="B853" s="572"/>
      <c r="C853" s="568" t="s">
        <v>1145</v>
      </c>
      <c r="D853" s="569" t="s">
        <v>37</v>
      </c>
      <c r="E853" s="11">
        <v>1</v>
      </c>
      <c r="F853" s="570"/>
      <c r="G853" s="570"/>
      <c r="H853" s="571"/>
      <c r="I853" s="560"/>
      <c r="J853" s="570">
        <v>1</v>
      </c>
      <c r="K853" s="11">
        <v>15000</v>
      </c>
      <c r="L853" s="561">
        <f t="shared" si="65"/>
        <v>15000</v>
      </c>
    </row>
    <row r="854" spans="1:12" ht="30">
      <c r="A854" s="554">
        <v>12</v>
      </c>
      <c r="B854" s="565"/>
      <c r="C854" s="568" t="s">
        <v>1146</v>
      </c>
      <c r="D854" s="569" t="s">
        <v>37</v>
      </c>
      <c r="E854" s="11">
        <v>1</v>
      </c>
      <c r="F854" s="570">
        <v>1</v>
      </c>
      <c r="G854" s="570"/>
      <c r="H854" s="571"/>
      <c r="I854" s="560"/>
      <c r="J854" s="570"/>
      <c r="K854" s="11">
        <v>600</v>
      </c>
      <c r="L854" s="561">
        <f t="shared" si="65"/>
        <v>600</v>
      </c>
    </row>
    <row r="855" spans="1:12" ht="30">
      <c r="A855" s="554">
        <v>13</v>
      </c>
      <c r="B855" s="555" t="s">
        <v>1147</v>
      </c>
      <c r="C855" s="556" t="s">
        <v>1148</v>
      </c>
      <c r="D855" s="11" t="s">
        <v>387</v>
      </c>
      <c r="E855" s="11">
        <v>175</v>
      </c>
      <c r="F855" s="11">
        <v>175</v>
      </c>
      <c r="G855" s="559"/>
      <c r="H855" s="559"/>
      <c r="I855" s="560"/>
      <c r="J855" s="559"/>
      <c r="K855" s="11">
        <v>200</v>
      </c>
      <c r="L855" s="561">
        <f t="shared" si="65"/>
        <v>35000</v>
      </c>
    </row>
    <row r="856" spans="1:12" ht="60">
      <c r="A856" s="562">
        <v>14</v>
      </c>
      <c r="B856" s="573" t="s">
        <v>1149</v>
      </c>
      <c r="C856" s="556" t="s">
        <v>1150</v>
      </c>
      <c r="D856" s="557" t="s">
        <v>37</v>
      </c>
      <c r="E856" s="11">
        <v>55</v>
      </c>
      <c r="F856" s="557">
        <v>55</v>
      </c>
      <c r="G856" s="559"/>
      <c r="H856" s="559"/>
      <c r="I856" s="560"/>
      <c r="J856" s="559"/>
      <c r="K856" s="11">
        <v>600</v>
      </c>
      <c r="L856" s="561">
        <f t="shared" si="65"/>
        <v>33000</v>
      </c>
    </row>
    <row r="857" spans="1:12" ht="30">
      <c r="A857" s="554">
        <v>15</v>
      </c>
      <c r="B857" s="573" t="s">
        <v>1151</v>
      </c>
      <c r="C857" s="556" t="s">
        <v>1152</v>
      </c>
      <c r="D857" s="557" t="s">
        <v>37</v>
      </c>
      <c r="E857" s="11">
        <v>61</v>
      </c>
      <c r="F857" s="557">
        <v>61</v>
      </c>
      <c r="G857" s="559"/>
      <c r="H857" s="559"/>
      <c r="I857" s="560"/>
      <c r="J857" s="559"/>
      <c r="K857" s="11">
        <v>300</v>
      </c>
      <c r="L857" s="561">
        <f t="shared" si="65"/>
        <v>18300</v>
      </c>
    </row>
    <row r="858" spans="1:12" ht="45">
      <c r="A858" s="554">
        <v>16</v>
      </c>
      <c r="B858" s="555" t="s">
        <v>1153</v>
      </c>
      <c r="C858" s="556" t="s">
        <v>1154</v>
      </c>
      <c r="D858" s="570" t="s">
        <v>37</v>
      </c>
      <c r="E858" s="11">
        <v>10</v>
      </c>
      <c r="F858" s="570">
        <v>10</v>
      </c>
      <c r="G858" s="559"/>
      <c r="H858" s="559"/>
      <c r="I858" s="560"/>
      <c r="J858" s="559">
        <v>10</v>
      </c>
      <c r="K858" s="11">
        <v>1000</v>
      </c>
      <c r="L858" s="561">
        <f t="shared" si="65"/>
        <v>10000</v>
      </c>
    </row>
    <row r="859" spans="1:12" ht="45">
      <c r="A859" s="554">
        <v>17</v>
      </c>
      <c r="B859" s="555" t="s">
        <v>396</v>
      </c>
      <c r="C859" s="556" t="s">
        <v>1155</v>
      </c>
      <c r="D859" s="6" t="s">
        <v>37</v>
      </c>
      <c r="E859" s="11">
        <v>10</v>
      </c>
      <c r="F859" s="570">
        <v>10</v>
      </c>
      <c r="G859" s="559"/>
      <c r="H859" s="559"/>
      <c r="I859" s="560"/>
      <c r="J859" s="559">
        <v>10</v>
      </c>
      <c r="K859" s="11">
        <v>300</v>
      </c>
      <c r="L859" s="561">
        <f t="shared" si="65"/>
        <v>3000</v>
      </c>
    </row>
    <row r="860" spans="1:12" ht="30">
      <c r="A860" s="562">
        <v>18</v>
      </c>
      <c r="B860" s="555" t="s">
        <v>1153</v>
      </c>
      <c r="C860" s="556" t="s">
        <v>1156</v>
      </c>
      <c r="D860" s="570" t="s">
        <v>37</v>
      </c>
      <c r="E860" s="11">
        <v>2</v>
      </c>
      <c r="F860" s="570">
        <v>2</v>
      </c>
      <c r="G860" s="559"/>
      <c r="H860" s="559"/>
      <c r="I860" s="560"/>
      <c r="J860" s="559"/>
      <c r="K860" s="11">
        <v>94278.6</v>
      </c>
      <c r="L860" s="561">
        <f t="shared" si="65"/>
        <v>188557.2</v>
      </c>
    </row>
    <row r="861" spans="1:12" ht="30">
      <c r="A861" s="554">
        <v>19</v>
      </c>
      <c r="B861" s="574" t="s">
        <v>1157</v>
      </c>
      <c r="C861" s="575" t="s">
        <v>1158</v>
      </c>
      <c r="D861" s="11" t="s">
        <v>1159</v>
      </c>
      <c r="E861" s="11">
        <v>17</v>
      </c>
      <c r="F861" s="11">
        <v>17</v>
      </c>
      <c r="G861" s="559"/>
      <c r="H861" s="559"/>
      <c r="I861" s="567"/>
      <c r="J861" s="559"/>
      <c r="K861" s="11">
        <v>700</v>
      </c>
      <c r="L861" s="561">
        <f t="shared" si="65"/>
        <v>11900</v>
      </c>
    </row>
    <row r="862" spans="1:12">
      <c r="A862" s="554">
        <v>20</v>
      </c>
      <c r="B862" s="563" t="s">
        <v>1160</v>
      </c>
      <c r="C862" s="556" t="s">
        <v>1161</v>
      </c>
      <c r="D862" s="576" t="s">
        <v>37</v>
      </c>
      <c r="E862" s="576">
        <v>94</v>
      </c>
      <c r="F862" s="576">
        <v>94</v>
      </c>
      <c r="G862" s="559"/>
      <c r="H862" s="559"/>
      <c r="I862" s="560"/>
      <c r="J862" s="559"/>
      <c r="K862" s="11">
        <v>300</v>
      </c>
      <c r="L862" s="561">
        <f t="shared" si="65"/>
        <v>28200</v>
      </c>
    </row>
    <row r="863" spans="1:12" ht="30">
      <c r="A863" s="554">
        <v>21</v>
      </c>
      <c r="B863" s="577" t="s">
        <v>1162</v>
      </c>
      <c r="C863" s="556" t="s">
        <v>1163</v>
      </c>
      <c r="D863" s="11" t="s">
        <v>37</v>
      </c>
      <c r="E863" s="11">
        <v>14</v>
      </c>
      <c r="F863" s="11">
        <v>14</v>
      </c>
      <c r="G863" s="559"/>
      <c r="H863" s="559"/>
      <c r="I863" s="560"/>
      <c r="J863" s="559"/>
      <c r="K863" s="11">
        <v>1200</v>
      </c>
      <c r="L863" s="561">
        <f t="shared" si="65"/>
        <v>16800</v>
      </c>
    </row>
    <row r="864" spans="1:12" ht="30">
      <c r="A864" s="562">
        <v>22</v>
      </c>
      <c r="B864" s="577" t="s">
        <v>1164</v>
      </c>
      <c r="C864" s="556" t="s">
        <v>1165</v>
      </c>
      <c r="D864" s="11" t="s">
        <v>37</v>
      </c>
      <c r="E864" s="11">
        <v>9</v>
      </c>
      <c r="F864" s="11">
        <v>9</v>
      </c>
      <c r="G864" s="559"/>
      <c r="H864" s="559"/>
      <c r="I864" s="560"/>
      <c r="J864" s="559"/>
      <c r="K864" s="11">
        <v>1000</v>
      </c>
      <c r="L864" s="561">
        <f t="shared" si="65"/>
        <v>9000</v>
      </c>
    </row>
    <row r="865" spans="1:12" ht="30">
      <c r="A865" s="554">
        <v>23</v>
      </c>
      <c r="B865" s="577" t="s">
        <v>1162</v>
      </c>
      <c r="C865" s="556" t="s">
        <v>1166</v>
      </c>
      <c r="D865" s="11" t="s">
        <v>37</v>
      </c>
      <c r="E865" s="11">
        <v>18</v>
      </c>
      <c r="F865" s="11">
        <v>18</v>
      </c>
      <c r="G865" s="559"/>
      <c r="H865" s="559"/>
      <c r="I865" s="560"/>
      <c r="J865" s="559"/>
      <c r="K865" s="11">
        <v>1000</v>
      </c>
      <c r="L865" s="561">
        <f t="shared" si="65"/>
        <v>18000</v>
      </c>
    </row>
    <row r="866" spans="1:12">
      <c r="A866" s="554">
        <v>24</v>
      </c>
      <c r="B866" s="578" t="s">
        <v>1167</v>
      </c>
      <c r="C866" s="578" t="s">
        <v>1262</v>
      </c>
      <c r="D866" s="579" t="s">
        <v>1093</v>
      </c>
      <c r="E866" s="576">
        <v>750</v>
      </c>
      <c r="F866" s="576">
        <v>750</v>
      </c>
      <c r="G866" s="559"/>
      <c r="H866" s="559"/>
      <c r="I866" s="560"/>
      <c r="J866" s="559"/>
      <c r="K866" s="11">
        <v>40</v>
      </c>
      <c r="L866" s="561">
        <f>+K866*E866</f>
        <v>30000</v>
      </c>
    </row>
    <row r="867" spans="1:12">
      <c r="A867" s="554">
        <v>25</v>
      </c>
      <c r="B867" s="578" t="s">
        <v>1168</v>
      </c>
      <c r="C867" s="578" t="s">
        <v>1169</v>
      </c>
      <c r="D867" s="579" t="s">
        <v>37</v>
      </c>
      <c r="E867" s="576">
        <v>256</v>
      </c>
      <c r="F867" s="579">
        <v>256</v>
      </c>
      <c r="G867" s="559"/>
      <c r="H867" s="559"/>
      <c r="I867" s="560"/>
      <c r="J867" s="559"/>
      <c r="K867" s="11">
        <v>10</v>
      </c>
      <c r="L867" s="561">
        <f t="shared" ref="L867:L919" si="66">+K867*E867</f>
        <v>2560</v>
      </c>
    </row>
    <row r="868" spans="1:12">
      <c r="A868" s="562">
        <v>26</v>
      </c>
      <c r="B868" s="578" t="s">
        <v>1170</v>
      </c>
      <c r="C868" s="578" t="s">
        <v>1171</v>
      </c>
      <c r="D868" s="579" t="s">
        <v>37</v>
      </c>
      <c r="E868" s="576">
        <v>1022</v>
      </c>
      <c r="F868" s="579">
        <v>1022</v>
      </c>
      <c r="G868" s="559"/>
      <c r="H868" s="559"/>
      <c r="I868" s="560"/>
      <c r="J868" s="559"/>
      <c r="K868" s="11">
        <v>10</v>
      </c>
      <c r="L868" s="561">
        <f t="shared" si="66"/>
        <v>10220</v>
      </c>
    </row>
    <row r="869" spans="1:12" ht="30.75">
      <c r="A869" s="554">
        <v>27</v>
      </c>
      <c r="B869" s="580" t="s">
        <v>1172</v>
      </c>
      <c r="C869" s="581" t="s">
        <v>1173</v>
      </c>
      <c r="D869" s="570" t="s">
        <v>37</v>
      </c>
      <c r="E869" s="11">
        <v>1</v>
      </c>
      <c r="F869" s="570">
        <v>1</v>
      </c>
      <c r="G869" s="559"/>
      <c r="H869" s="559"/>
      <c r="I869" s="560"/>
      <c r="J869" s="559"/>
      <c r="K869" s="11">
        <v>50000</v>
      </c>
      <c r="L869" s="561">
        <f t="shared" si="66"/>
        <v>50000</v>
      </c>
    </row>
    <row r="870" spans="1:12" ht="30.75">
      <c r="A870" s="554">
        <v>28</v>
      </c>
      <c r="B870" s="580" t="s">
        <v>1174</v>
      </c>
      <c r="C870" s="581" t="s">
        <v>1175</v>
      </c>
      <c r="D870" s="570" t="s">
        <v>37</v>
      </c>
      <c r="E870" s="11">
        <v>1</v>
      </c>
      <c r="F870" s="570">
        <v>1</v>
      </c>
      <c r="G870" s="559"/>
      <c r="H870" s="559"/>
      <c r="I870" s="560"/>
      <c r="J870" s="559"/>
      <c r="K870" s="11">
        <v>50000</v>
      </c>
      <c r="L870" s="561">
        <f t="shared" si="66"/>
        <v>50000</v>
      </c>
    </row>
    <row r="871" spans="1:12" ht="30.75">
      <c r="A871" s="554">
        <v>29</v>
      </c>
      <c r="B871" s="580" t="s">
        <v>1172</v>
      </c>
      <c r="C871" s="581" t="s">
        <v>1176</v>
      </c>
      <c r="D871" s="570" t="s">
        <v>37</v>
      </c>
      <c r="E871" s="11">
        <v>1</v>
      </c>
      <c r="F871" s="570">
        <v>1</v>
      </c>
      <c r="G871" s="559"/>
      <c r="H871" s="559"/>
      <c r="I871" s="560"/>
      <c r="J871" s="559"/>
      <c r="K871" s="11">
        <v>50000</v>
      </c>
      <c r="L871" s="561">
        <f t="shared" si="66"/>
        <v>50000</v>
      </c>
    </row>
    <row r="872" spans="1:12">
      <c r="A872" s="562">
        <v>30</v>
      </c>
      <c r="B872" s="564"/>
      <c r="C872" s="582" t="s">
        <v>1177</v>
      </c>
      <c r="D872" s="559" t="s">
        <v>494</v>
      </c>
      <c r="E872" s="559">
        <v>194</v>
      </c>
      <c r="F872" s="559">
        <v>194</v>
      </c>
      <c r="G872" s="559"/>
      <c r="H872" s="559"/>
      <c r="I872" s="560"/>
      <c r="J872" s="559"/>
      <c r="K872" s="11">
        <v>40</v>
      </c>
      <c r="L872" s="561">
        <f t="shared" si="66"/>
        <v>7760</v>
      </c>
    </row>
    <row r="873" spans="1:12">
      <c r="A873" s="554">
        <v>31</v>
      </c>
      <c r="B873" s="578" t="s">
        <v>1178</v>
      </c>
      <c r="C873" s="578" t="s">
        <v>1179</v>
      </c>
      <c r="D873" s="559" t="s">
        <v>208</v>
      </c>
      <c r="E873" s="583">
        <v>500</v>
      </c>
      <c r="F873" s="583">
        <v>500</v>
      </c>
      <c r="G873" s="559"/>
      <c r="H873" s="559"/>
      <c r="I873" s="560"/>
      <c r="J873" s="559"/>
      <c r="K873" s="11">
        <v>60</v>
      </c>
      <c r="L873" s="561">
        <f t="shared" si="66"/>
        <v>30000</v>
      </c>
    </row>
    <row r="874" spans="1:12" ht="30">
      <c r="A874" s="554">
        <v>32</v>
      </c>
      <c r="B874" s="565"/>
      <c r="C874" s="568" t="s">
        <v>1180</v>
      </c>
      <c r="D874" s="569" t="s">
        <v>37</v>
      </c>
      <c r="E874" s="11">
        <v>11</v>
      </c>
      <c r="F874" s="570">
        <v>11</v>
      </c>
      <c r="G874" s="570"/>
      <c r="H874" s="571"/>
      <c r="I874" s="560"/>
      <c r="J874" s="570"/>
      <c r="K874" s="11">
        <v>300</v>
      </c>
      <c r="L874" s="561">
        <f t="shared" si="66"/>
        <v>3300</v>
      </c>
    </row>
    <row r="875" spans="1:12">
      <c r="A875" s="554">
        <v>33</v>
      </c>
      <c r="B875" s="565"/>
      <c r="C875" s="568" t="s">
        <v>1181</v>
      </c>
      <c r="D875" s="569" t="s">
        <v>37</v>
      </c>
      <c r="E875" s="11">
        <v>34</v>
      </c>
      <c r="F875" s="570">
        <v>34</v>
      </c>
      <c r="G875" s="570"/>
      <c r="H875" s="571"/>
      <c r="I875" s="560"/>
      <c r="J875" s="570"/>
      <c r="K875" s="11">
        <v>250</v>
      </c>
      <c r="L875" s="561">
        <f t="shared" si="66"/>
        <v>8500</v>
      </c>
    </row>
    <row r="876" spans="1:12">
      <c r="A876" s="562">
        <v>34</v>
      </c>
      <c r="B876" s="578" t="s">
        <v>1182</v>
      </c>
      <c r="C876" s="578" t="s">
        <v>1183</v>
      </c>
      <c r="D876" s="579" t="s">
        <v>208</v>
      </c>
      <c r="E876" s="576">
        <v>127.4</v>
      </c>
      <c r="F876" s="579">
        <v>127.4</v>
      </c>
      <c r="G876" s="559"/>
      <c r="H876" s="559"/>
      <c r="I876" s="560"/>
      <c r="J876" s="559"/>
      <c r="K876" s="11">
        <v>50</v>
      </c>
      <c r="L876" s="561">
        <f t="shared" si="66"/>
        <v>6370</v>
      </c>
    </row>
    <row r="877" spans="1:12">
      <c r="A877" s="554">
        <v>35</v>
      </c>
      <c r="B877" s="565"/>
      <c r="C877" s="568" t="s">
        <v>1184</v>
      </c>
      <c r="D877" s="569" t="s">
        <v>37</v>
      </c>
      <c r="E877" s="11">
        <v>17</v>
      </c>
      <c r="F877" s="570">
        <v>17</v>
      </c>
      <c r="G877" s="570"/>
      <c r="H877" s="571"/>
      <c r="I877" s="560"/>
      <c r="J877" s="570"/>
      <c r="K877" s="11">
        <v>700</v>
      </c>
      <c r="L877" s="561">
        <f t="shared" si="66"/>
        <v>11900</v>
      </c>
    </row>
    <row r="878" spans="1:12" ht="45">
      <c r="A878" s="554">
        <v>36</v>
      </c>
      <c r="B878" s="555" t="s">
        <v>1185</v>
      </c>
      <c r="C878" s="556" t="s">
        <v>1186</v>
      </c>
      <c r="D878" s="6" t="s">
        <v>277</v>
      </c>
      <c r="E878" s="6">
        <v>2</v>
      </c>
      <c r="F878" s="6"/>
      <c r="G878" s="559"/>
      <c r="H878" s="559"/>
      <c r="I878" s="560"/>
      <c r="J878" s="559">
        <v>2</v>
      </c>
      <c r="K878" s="11">
        <v>5000</v>
      </c>
      <c r="L878" s="561">
        <f t="shared" si="66"/>
        <v>10000</v>
      </c>
    </row>
    <row r="879" spans="1:12" ht="60">
      <c r="A879" s="554">
        <v>37</v>
      </c>
      <c r="B879" s="563" t="s">
        <v>1187</v>
      </c>
      <c r="C879" s="584" t="s">
        <v>1188</v>
      </c>
      <c r="D879" s="576" t="s">
        <v>1189</v>
      </c>
      <c r="E879" s="576">
        <v>1</v>
      </c>
      <c r="F879" s="579"/>
      <c r="G879" s="578"/>
      <c r="H879" s="576"/>
      <c r="I879" s="560"/>
      <c r="J879" s="559">
        <v>1</v>
      </c>
      <c r="K879" s="11">
        <v>7500</v>
      </c>
      <c r="L879" s="561">
        <f t="shared" si="66"/>
        <v>7500</v>
      </c>
    </row>
    <row r="880" spans="1:12">
      <c r="A880" s="562">
        <v>38</v>
      </c>
      <c r="B880" s="585" t="s">
        <v>1190</v>
      </c>
      <c r="C880" s="573" t="s">
        <v>1191</v>
      </c>
      <c r="D880" s="569" t="s">
        <v>37</v>
      </c>
      <c r="E880" s="569">
        <v>6</v>
      </c>
      <c r="F880" s="569">
        <v>6</v>
      </c>
      <c r="G880" s="576"/>
      <c r="H880" s="576"/>
      <c r="I880" s="578"/>
      <c r="J880" s="576"/>
      <c r="K880" s="576">
        <v>500</v>
      </c>
      <c r="L880" s="561">
        <f t="shared" si="66"/>
        <v>3000</v>
      </c>
    </row>
    <row r="881" spans="1:12" ht="30">
      <c r="A881" s="554">
        <v>39</v>
      </c>
      <c r="B881" s="572"/>
      <c r="C881" s="568" t="s">
        <v>1192</v>
      </c>
      <c r="D881" s="569" t="s">
        <v>37</v>
      </c>
      <c r="E881" s="576">
        <v>1</v>
      </c>
      <c r="F881" s="576"/>
      <c r="G881" s="576"/>
      <c r="H881" s="576"/>
      <c r="I881" s="576"/>
      <c r="J881" s="576">
        <v>1</v>
      </c>
      <c r="K881" s="586">
        <v>5000</v>
      </c>
      <c r="L881" s="561">
        <f t="shared" si="66"/>
        <v>5000</v>
      </c>
    </row>
    <row r="882" spans="1:12">
      <c r="A882" s="554">
        <v>40</v>
      </c>
      <c r="B882" s="565"/>
      <c r="C882" s="568" t="s">
        <v>1193</v>
      </c>
      <c r="D882" s="576" t="s">
        <v>37</v>
      </c>
      <c r="E882" s="576">
        <v>1</v>
      </c>
      <c r="F882" s="576"/>
      <c r="G882" s="587"/>
      <c r="H882" s="576"/>
      <c r="I882" s="576"/>
      <c r="J882" s="576">
        <v>1</v>
      </c>
      <c r="K882" s="586">
        <v>5000</v>
      </c>
      <c r="L882" s="561">
        <f t="shared" si="66"/>
        <v>5000</v>
      </c>
    </row>
    <row r="883" spans="1:12">
      <c r="A883" s="554">
        <v>41</v>
      </c>
      <c r="B883" s="565"/>
      <c r="C883" s="568" t="s">
        <v>1194</v>
      </c>
      <c r="D883" s="576" t="s">
        <v>37</v>
      </c>
      <c r="E883" s="576">
        <v>2</v>
      </c>
      <c r="F883" s="576"/>
      <c r="G883" s="587"/>
      <c r="H883" s="576"/>
      <c r="I883" s="576"/>
      <c r="J883" s="576">
        <v>2</v>
      </c>
      <c r="K883" s="586">
        <v>5000</v>
      </c>
      <c r="L883" s="561">
        <f t="shared" si="66"/>
        <v>10000</v>
      </c>
    </row>
    <row r="884" spans="1:12">
      <c r="A884" s="562">
        <v>42</v>
      </c>
      <c r="B884" s="565"/>
      <c r="C884" s="568" t="s">
        <v>1195</v>
      </c>
      <c r="D884" s="576" t="s">
        <v>37</v>
      </c>
      <c r="E884" s="576">
        <v>183</v>
      </c>
      <c r="F884" s="576">
        <v>183</v>
      </c>
      <c r="G884" s="576"/>
      <c r="H884" s="576"/>
      <c r="I884" s="576"/>
      <c r="J884" s="576"/>
      <c r="K884" s="586">
        <v>1109.2</v>
      </c>
      <c r="L884" s="561">
        <f t="shared" si="66"/>
        <v>202983.6</v>
      </c>
    </row>
    <row r="885" spans="1:12" ht="30">
      <c r="A885" s="554">
        <v>43</v>
      </c>
      <c r="B885" s="565"/>
      <c r="C885" s="568" t="s">
        <v>1196</v>
      </c>
      <c r="D885" s="576" t="s">
        <v>37</v>
      </c>
      <c r="E885" s="576">
        <v>15</v>
      </c>
      <c r="F885" s="576"/>
      <c r="G885" s="588"/>
      <c r="H885" s="576"/>
      <c r="I885" s="576"/>
      <c r="J885" s="576">
        <v>15</v>
      </c>
      <c r="K885" s="586">
        <v>200</v>
      </c>
      <c r="L885" s="561">
        <f t="shared" si="66"/>
        <v>3000</v>
      </c>
    </row>
    <row r="886" spans="1:12" ht="45">
      <c r="A886" s="554">
        <v>44</v>
      </c>
      <c r="B886" s="565"/>
      <c r="C886" s="568" t="s">
        <v>1197</v>
      </c>
      <c r="D886" s="576" t="s">
        <v>277</v>
      </c>
      <c r="E886" s="576">
        <v>1</v>
      </c>
      <c r="F886" s="576"/>
      <c r="G886" s="588"/>
      <c r="H886" s="576"/>
      <c r="I886" s="576"/>
      <c r="J886" s="576">
        <v>1</v>
      </c>
      <c r="K886" s="586">
        <v>7000</v>
      </c>
      <c r="L886" s="561">
        <f t="shared" si="66"/>
        <v>7000</v>
      </c>
    </row>
    <row r="887" spans="1:12" ht="30">
      <c r="A887" s="554">
        <v>45</v>
      </c>
      <c r="B887" s="565"/>
      <c r="C887" s="568" t="s">
        <v>1198</v>
      </c>
      <c r="D887" s="576" t="s">
        <v>892</v>
      </c>
      <c r="E887" s="576">
        <v>8833</v>
      </c>
      <c r="F887" s="576">
        <v>8833</v>
      </c>
      <c r="G887" s="576"/>
      <c r="H887" s="576"/>
      <c r="I887" s="576"/>
      <c r="J887" s="576"/>
      <c r="K887" s="586">
        <v>50</v>
      </c>
      <c r="L887" s="561">
        <f t="shared" si="66"/>
        <v>441650</v>
      </c>
    </row>
    <row r="888" spans="1:12" ht="30">
      <c r="A888" s="562">
        <v>46</v>
      </c>
      <c r="B888" s="565"/>
      <c r="C888" s="568" t="s">
        <v>1199</v>
      </c>
      <c r="D888" s="576" t="s">
        <v>37</v>
      </c>
      <c r="E888" s="576">
        <v>102</v>
      </c>
      <c r="F888" s="576"/>
      <c r="G888" s="576">
        <v>102</v>
      </c>
      <c r="H888" s="576"/>
      <c r="I888" s="576"/>
      <c r="J888" s="576"/>
      <c r="K888" s="586">
        <v>250</v>
      </c>
      <c r="L888" s="561">
        <f t="shared" si="66"/>
        <v>25500</v>
      </c>
    </row>
    <row r="889" spans="1:12" ht="60">
      <c r="A889" s="554">
        <v>47</v>
      </c>
      <c r="B889" s="565"/>
      <c r="C889" s="556" t="s">
        <v>1200</v>
      </c>
      <c r="D889" s="576" t="s">
        <v>387</v>
      </c>
      <c r="E889" s="576">
        <v>810</v>
      </c>
      <c r="F889" s="576">
        <v>810</v>
      </c>
      <c r="G889" s="576"/>
      <c r="H889" s="576"/>
      <c r="I889" s="576"/>
      <c r="J889" s="576"/>
      <c r="K889" s="576">
        <v>50</v>
      </c>
      <c r="L889" s="561">
        <f t="shared" si="66"/>
        <v>40500</v>
      </c>
    </row>
    <row r="890" spans="1:12" ht="45">
      <c r="A890" s="554">
        <v>48</v>
      </c>
      <c r="B890" s="565"/>
      <c r="C890" s="556" t="s">
        <v>1201</v>
      </c>
      <c r="D890" s="576" t="s">
        <v>1202</v>
      </c>
      <c r="E890" s="589">
        <v>1</v>
      </c>
      <c r="F890" s="587"/>
      <c r="G890" s="576"/>
      <c r="H890" s="576"/>
      <c r="I890" s="576"/>
      <c r="J890" s="589">
        <v>1</v>
      </c>
      <c r="K890" s="576">
        <v>15000</v>
      </c>
      <c r="L890" s="561">
        <f t="shared" si="66"/>
        <v>15000</v>
      </c>
    </row>
    <row r="891" spans="1:12">
      <c r="A891" s="554">
        <v>49</v>
      </c>
      <c r="B891" s="565"/>
      <c r="C891" s="588" t="s">
        <v>1203</v>
      </c>
      <c r="D891" s="576" t="s">
        <v>1202</v>
      </c>
      <c r="E891" s="589">
        <v>1</v>
      </c>
      <c r="F891" s="587"/>
      <c r="G891" s="576"/>
      <c r="H891" s="576"/>
      <c r="I891" s="576"/>
      <c r="J891" s="589">
        <v>1</v>
      </c>
      <c r="K891" s="576">
        <v>15000</v>
      </c>
      <c r="L891" s="561">
        <f t="shared" si="66"/>
        <v>15000</v>
      </c>
    </row>
    <row r="892" spans="1:12" ht="45">
      <c r="A892" s="562">
        <v>50</v>
      </c>
      <c r="B892" s="565"/>
      <c r="C892" s="556" t="s">
        <v>1204</v>
      </c>
      <c r="D892" s="576" t="s">
        <v>40</v>
      </c>
      <c r="E892" s="589">
        <v>1</v>
      </c>
      <c r="F892" s="587"/>
      <c r="G892" s="576"/>
      <c r="H892" s="576"/>
      <c r="I892" s="576"/>
      <c r="J892" s="589">
        <v>1</v>
      </c>
      <c r="K892" s="576">
        <v>10000</v>
      </c>
      <c r="L892" s="561">
        <f t="shared" si="66"/>
        <v>10000</v>
      </c>
    </row>
    <row r="893" spans="1:12" ht="45">
      <c r="A893" s="554">
        <v>51</v>
      </c>
      <c r="B893" s="565"/>
      <c r="C893" s="556" t="s">
        <v>1205</v>
      </c>
      <c r="D893" s="576" t="s">
        <v>40</v>
      </c>
      <c r="E893" s="589">
        <v>1</v>
      </c>
      <c r="F893" s="587"/>
      <c r="G893" s="576"/>
      <c r="H893" s="576"/>
      <c r="I893" s="576"/>
      <c r="J893" s="589">
        <v>1</v>
      </c>
      <c r="K893" s="576">
        <v>10000</v>
      </c>
      <c r="L893" s="561">
        <f t="shared" si="66"/>
        <v>10000</v>
      </c>
    </row>
    <row r="894" spans="1:12" ht="30">
      <c r="A894" s="554">
        <v>52</v>
      </c>
      <c r="B894" s="565"/>
      <c r="C894" s="556" t="s">
        <v>1206</v>
      </c>
      <c r="D894" s="576" t="s">
        <v>1202</v>
      </c>
      <c r="E894" s="589">
        <v>1</v>
      </c>
      <c r="F894" s="587"/>
      <c r="G894" s="576"/>
      <c r="H894" s="576"/>
      <c r="I894" s="576"/>
      <c r="J894" s="589">
        <v>1</v>
      </c>
      <c r="K894" s="576">
        <v>15000</v>
      </c>
      <c r="L894" s="561">
        <f t="shared" si="66"/>
        <v>15000</v>
      </c>
    </row>
    <row r="895" spans="1:12">
      <c r="A895" s="554">
        <v>53</v>
      </c>
      <c r="B895" s="565"/>
      <c r="C895" s="556" t="s">
        <v>1207</v>
      </c>
      <c r="D895" s="576" t="s">
        <v>1202</v>
      </c>
      <c r="E895" s="589">
        <v>5</v>
      </c>
      <c r="F895" s="587"/>
      <c r="G895" s="576"/>
      <c r="H895" s="576"/>
      <c r="I895" s="576"/>
      <c r="J895" s="589">
        <v>5</v>
      </c>
      <c r="K895" s="576">
        <v>30</v>
      </c>
      <c r="L895" s="561">
        <f t="shared" si="66"/>
        <v>150</v>
      </c>
    </row>
    <row r="896" spans="1:12">
      <c r="A896" s="562">
        <v>54</v>
      </c>
      <c r="B896" s="565"/>
      <c r="C896" s="556" t="s">
        <v>1208</v>
      </c>
      <c r="D896" s="576" t="s">
        <v>1209</v>
      </c>
      <c r="E896" s="589">
        <v>300</v>
      </c>
      <c r="F896" s="587"/>
      <c r="G896" s="576"/>
      <c r="H896" s="576"/>
      <c r="I896" s="576"/>
      <c r="J896" s="589">
        <v>300</v>
      </c>
      <c r="K896" s="576">
        <v>40</v>
      </c>
      <c r="L896" s="561">
        <f t="shared" si="66"/>
        <v>12000</v>
      </c>
    </row>
    <row r="897" spans="1:12" ht="30">
      <c r="A897" s="554">
        <v>55</v>
      </c>
      <c r="B897" s="565"/>
      <c r="C897" s="556" t="s">
        <v>1210</v>
      </c>
      <c r="D897" s="576" t="s">
        <v>40</v>
      </c>
      <c r="E897" s="589">
        <v>13</v>
      </c>
      <c r="F897" s="587"/>
      <c r="G897" s="576"/>
      <c r="H897" s="576"/>
      <c r="I897" s="576"/>
      <c r="J897" s="589">
        <v>13</v>
      </c>
      <c r="K897" s="576">
        <v>200</v>
      </c>
      <c r="L897" s="561">
        <f t="shared" si="66"/>
        <v>2600</v>
      </c>
    </row>
    <row r="898" spans="1:12" ht="45">
      <c r="A898" s="554">
        <v>56</v>
      </c>
      <c r="B898" s="565"/>
      <c r="C898" s="556" t="s">
        <v>1211</v>
      </c>
      <c r="D898" s="576" t="s">
        <v>40</v>
      </c>
      <c r="E898" s="589">
        <v>6</v>
      </c>
      <c r="F898" s="587"/>
      <c r="G898" s="576"/>
      <c r="H898" s="576"/>
      <c r="I898" s="576"/>
      <c r="J898" s="589">
        <v>6</v>
      </c>
      <c r="K898" s="576">
        <v>300</v>
      </c>
      <c r="L898" s="561">
        <f t="shared" si="66"/>
        <v>1800</v>
      </c>
    </row>
    <row r="899" spans="1:12" ht="30">
      <c r="A899" s="554">
        <v>57</v>
      </c>
      <c r="B899" s="565"/>
      <c r="C899" s="556" t="s">
        <v>1212</v>
      </c>
      <c r="D899" s="576" t="s">
        <v>1213</v>
      </c>
      <c r="E899" s="589">
        <v>4</v>
      </c>
      <c r="F899" s="587"/>
      <c r="G899" s="576"/>
      <c r="H899" s="576"/>
      <c r="I899" s="576"/>
      <c r="J899" s="589">
        <v>4</v>
      </c>
      <c r="K899" s="576">
        <v>50</v>
      </c>
      <c r="L899" s="561">
        <f t="shared" si="66"/>
        <v>200</v>
      </c>
    </row>
    <row r="900" spans="1:12" ht="30">
      <c r="A900" s="562">
        <v>58</v>
      </c>
      <c r="B900" s="565"/>
      <c r="C900" s="556" t="s">
        <v>1214</v>
      </c>
      <c r="D900" s="576" t="s">
        <v>1209</v>
      </c>
      <c r="E900" s="589">
        <v>5</v>
      </c>
      <c r="F900" s="587"/>
      <c r="G900" s="576"/>
      <c r="H900" s="576"/>
      <c r="I900" s="576"/>
      <c r="J900" s="589">
        <v>5</v>
      </c>
      <c r="K900" s="576">
        <v>50</v>
      </c>
      <c r="L900" s="561">
        <f t="shared" si="66"/>
        <v>250</v>
      </c>
    </row>
    <row r="901" spans="1:12">
      <c r="A901" s="554">
        <v>59</v>
      </c>
      <c r="B901" s="565"/>
      <c r="C901" s="556" t="s">
        <v>1215</v>
      </c>
      <c r="D901" s="576" t="s">
        <v>37</v>
      </c>
      <c r="E901" s="589">
        <v>2</v>
      </c>
      <c r="F901" s="587"/>
      <c r="G901" s="576"/>
      <c r="H901" s="576"/>
      <c r="I901" s="576"/>
      <c r="J901" s="589">
        <v>2</v>
      </c>
      <c r="K901" s="576">
        <v>20</v>
      </c>
      <c r="L901" s="561">
        <f t="shared" si="66"/>
        <v>40</v>
      </c>
    </row>
    <row r="902" spans="1:12">
      <c r="A902" s="554">
        <v>60</v>
      </c>
      <c r="B902" s="565"/>
      <c r="C902" s="556" t="s">
        <v>1216</v>
      </c>
      <c r="D902" s="576" t="s">
        <v>37</v>
      </c>
      <c r="E902" s="589">
        <v>3</v>
      </c>
      <c r="F902" s="587"/>
      <c r="G902" s="576"/>
      <c r="H902" s="576"/>
      <c r="I902" s="576"/>
      <c r="J902" s="589">
        <v>3</v>
      </c>
      <c r="K902" s="576">
        <v>20</v>
      </c>
      <c r="L902" s="561">
        <f t="shared" si="66"/>
        <v>60</v>
      </c>
    </row>
    <row r="903" spans="1:12">
      <c r="A903" s="554">
        <v>61</v>
      </c>
      <c r="B903" s="565"/>
      <c r="C903" s="556" t="s">
        <v>1217</v>
      </c>
      <c r="D903" s="576" t="s">
        <v>1213</v>
      </c>
      <c r="E903" s="589">
        <v>4</v>
      </c>
      <c r="F903" s="587"/>
      <c r="G903" s="576"/>
      <c r="H903" s="576"/>
      <c r="I903" s="576"/>
      <c r="J903" s="589">
        <v>4</v>
      </c>
      <c r="K903" s="576">
        <v>20</v>
      </c>
      <c r="L903" s="561">
        <f t="shared" si="66"/>
        <v>80</v>
      </c>
    </row>
    <row r="904" spans="1:12">
      <c r="A904" s="562">
        <v>62</v>
      </c>
      <c r="B904" s="565"/>
      <c r="C904" s="556" t="s">
        <v>1218</v>
      </c>
      <c r="D904" s="576" t="s">
        <v>1213</v>
      </c>
      <c r="E904" s="589">
        <v>20</v>
      </c>
      <c r="F904" s="587"/>
      <c r="G904" s="576"/>
      <c r="H904" s="576"/>
      <c r="I904" s="576"/>
      <c r="J904" s="589">
        <v>20</v>
      </c>
      <c r="K904" s="576">
        <v>20</v>
      </c>
      <c r="L904" s="561">
        <f t="shared" si="66"/>
        <v>400</v>
      </c>
    </row>
    <row r="905" spans="1:12" ht="30">
      <c r="A905" s="554">
        <v>63</v>
      </c>
      <c r="B905" s="565"/>
      <c r="C905" s="556" t="s">
        <v>1219</v>
      </c>
      <c r="D905" s="576" t="s">
        <v>1202</v>
      </c>
      <c r="E905" s="589">
        <v>6</v>
      </c>
      <c r="F905" s="587"/>
      <c r="G905" s="576"/>
      <c r="H905" s="576"/>
      <c r="I905" s="576"/>
      <c r="J905" s="589">
        <v>6</v>
      </c>
      <c r="K905" s="576">
        <v>10</v>
      </c>
      <c r="L905" s="561">
        <f t="shared" si="66"/>
        <v>60</v>
      </c>
    </row>
    <row r="906" spans="1:12">
      <c r="A906" s="554">
        <v>64</v>
      </c>
      <c r="B906" s="565"/>
      <c r="C906" s="556" t="s">
        <v>1220</v>
      </c>
      <c r="D906" s="576" t="s">
        <v>1213</v>
      </c>
      <c r="E906" s="589">
        <v>2</v>
      </c>
      <c r="F906" s="587"/>
      <c r="G906" s="576"/>
      <c r="H906" s="576"/>
      <c r="I906" s="576"/>
      <c r="J906" s="589">
        <v>2</v>
      </c>
      <c r="K906" s="576">
        <v>10</v>
      </c>
      <c r="L906" s="561">
        <f t="shared" si="66"/>
        <v>20</v>
      </c>
    </row>
    <row r="907" spans="1:12" ht="30">
      <c r="A907" s="554">
        <v>65</v>
      </c>
      <c r="B907" s="565"/>
      <c r="C907" s="556" t="s">
        <v>1221</v>
      </c>
      <c r="D907" s="576" t="s">
        <v>1213</v>
      </c>
      <c r="E907" s="589">
        <v>2</v>
      </c>
      <c r="F907" s="587"/>
      <c r="G907" s="576"/>
      <c r="H907" s="576"/>
      <c r="I907" s="576"/>
      <c r="J907" s="589">
        <v>2</v>
      </c>
      <c r="K907" s="576">
        <v>5</v>
      </c>
      <c r="L907" s="561">
        <f t="shared" si="66"/>
        <v>10</v>
      </c>
    </row>
    <row r="908" spans="1:12">
      <c r="A908" s="562">
        <v>66</v>
      </c>
      <c r="B908" s="565"/>
      <c r="C908" s="556" t="s">
        <v>1222</v>
      </c>
      <c r="D908" s="576" t="s">
        <v>37</v>
      </c>
      <c r="E908" s="589">
        <v>40</v>
      </c>
      <c r="F908" s="587"/>
      <c r="G908" s="576"/>
      <c r="H908" s="576"/>
      <c r="I908" s="576"/>
      <c r="J908" s="589">
        <v>40</v>
      </c>
      <c r="K908" s="576">
        <v>50</v>
      </c>
      <c r="L908" s="561">
        <f t="shared" si="66"/>
        <v>2000</v>
      </c>
    </row>
    <row r="909" spans="1:12" ht="30">
      <c r="A909" s="554">
        <v>67</v>
      </c>
      <c r="B909" s="565"/>
      <c r="C909" s="556" t="s">
        <v>1223</v>
      </c>
      <c r="D909" s="576" t="s">
        <v>1213</v>
      </c>
      <c r="E909" s="589">
        <v>1</v>
      </c>
      <c r="F909" s="587"/>
      <c r="G909" s="576"/>
      <c r="H909" s="576"/>
      <c r="I909" s="576"/>
      <c r="J909" s="589">
        <v>1</v>
      </c>
      <c r="K909" s="576">
        <v>150</v>
      </c>
      <c r="L909" s="561">
        <f t="shared" si="66"/>
        <v>150</v>
      </c>
    </row>
    <row r="910" spans="1:12">
      <c r="A910" s="554">
        <v>68</v>
      </c>
      <c r="B910" s="565"/>
      <c r="C910" s="556" t="s">
        <v>1224</v>
      </c>
      <c r="D910" s="576" t="s">
        <v>37</v>
      </c>
      <c r="E910" s="589">
        <v>25</v>
      </c>
      <c r="F910" s="587"/>
      <c r="G910" s="576"/>
      <c r="H910" s="576"/>
      <c r="I910" s="576"/>
      <c r="J910" s="589">
        <v>25</v>
      </c>
      <c r="K910" s="576">
        <v>5</v>
      </c>
      <c r="L910" s="561">
        <f t="shared" si="66"/>
        <v>125</v>
      </c>
    </row>
    <row r="911" spans="1:12" ht="30">
      <c r="A911" s="554">
        <v>69</v>
      </c>
      <c r="B911" s="565"/>
      <c r="C911" s="556" t="s">
        <v>1225</v>
      </c>
      <c r="D911" s="576" t="s">
        <v>1213</v>
      </c>
      <c r="E911" s="589">
        <v>16</v>
      </c>
      <c r="F911" s="587"/>
      <c r="G911" s="576"/>
      <c r="H911" s="576"/>
      <c r="I911" s="576"/>
      <c r="J911" s="589">
        <v>16</v>
      </c>
      <c r="K911" s="576">
        <v>30</v>
      </c>
      <c r="L911" s="561">
        <f t="shared" si="66"/>
        <v>480</v>
      </c>
    </row>
    <row r="912" spans="1:12" ht="45">
      <c r="A912" s="562">
        <v>70</v>
      </c>
      <c r="B912" s="565"/>
      <c r="C912" s="556" t="s">
        <v>1226</v>
      </c>
      <c r="D912" s="576" t="s">
        <v>387</v>
      </c>
      <c r="E912" s="589">
        <v>640</v>
      </c>
      <c r="F912" s="587"/>
      <c r="G912" s="576"/>
      <c r="H912" s="576"/>
      <c r="I912" s="576"/>
      <c r="J912" s="589">
        <v>640</v>
      </c>
      <c r="K912" s="576">
        <v>50</v>
      </c>
      <c r="L912" s="561">
        <f t="shared" si="66"/>
        <v>32000</v>
      </c>
    </row>
    <row r="913" spans="1:12" ht="30">
      <c r="A913" s="554">
        <v>71</v>
      </c>
      <c r="B913" s="565"/>
      <c r="C913" s="556" t="s">
        <v>1227</v>
      </c>
      <c r="D913" s="576" t="s">
        <v>1213</v>
      </c>
      <c r="E913" s="589">
        <v>5</v>
      </c>
      <c r="F913" s="587"/>
      <c r="G913" s="576"/>
      <c r="H913" s="576"/>
      <c r="I913" s="576"/>
      <c r="J913" s="589">
        <v>5</v>
      </c>
      <c r="K913" s="576">
        <v>50</v>
      </c>
      <c r="L913" s="561">
        <f t="shared" si="66"/>
        <v>250</v>
      </c>
    </row>
    <row r="914" spans="1:12" ht="30">
      <c r="A914" s="554">
        <v>72</v>
      </c>
      <c r="B914" s="565"/>
      <c r="C914" s="556" t="s">
        <v>1228</v>
      </c>
      <c r="D914" s="576" t="s">
        <v>1213</v>
      </c>
      <c r="E914" s="589">
        <v>6</v>
      </c>
      <c r="F914" s="587"/>
      <c r="G914" s="576"/>
      <c r="H914" s="576"/>
      <c r="I914" s="576"/>
      <c r="J914" s="589">
        <v>6</v>
      </c>
      <c r="K914" s="576">
        <v>50</v>
      </c>
      <c r="L914" s="561">
        <f t="shared" si="66"/>
        <v>300</v>
      </c>
    </row>
    <row r="915" spans="1:12" ht="30">
      <c r="A915" s="554">
        <v>73</v>
      </c>
      <c r="B915" s="565"/>
      <c r="C915" s="556" t="s">
        <v>1229</v>
      </c>
      <c r="D915" s="576" t="s">
        <v>1093</v>
      </c>
      <c r="E915" s="589">
        <v>30</v>
      </c>
      <c r="F915" s="587"/>
      <c r="G915" s="576"/>
      <c r="H915" s="576"/>
      <c r="I915" s="576"/>
      <c r="J915" s="589">
        <v>30</v>
      </c>
      <c r="K915" s="576">
        <v>50</v>
      </c>
      <c r="L915" s="561">
        <f t="shared" si="66"/>
        <v>1500</v>
      </c>
    </row>
    <row r="916" spans="1:12" ht="30">
      <c r="A916" s="562">
        <v>74</v>
      </c>
      <c r="B916" s="565"/>
      <c r="C916" s="556" t="s">
        <v>1230</v>
      </c>
      <c r="D916" s="576" t="s">
        <v>206</v>
      </c>
      <c r="E916" s="589">
        <v>14</v>
      </c>
      <c r="F916" s="589">
        <v>14</v>
      </c>
      <c r="G916" s="576"/>
      <c r="H916" s="576"/>
      <c r="I916" s="576"/>
      <c r="J916" s="576"/>
      <c r="K916" s="576">
        <v>1982.4</v>
      </c>
      <c r="L916" s="561">
        <f t="shared" si="66"/>
        <v>27753.600000000002</v>
      </c>
    </row>
    <row r="917" spans="1:12">
      <c r="A917" s="554">
        <v>75</v>
      </c>
      <c r="B917" s="565"/>
      <c r="C917" s="556" t="s">
        <v>1231</v>
      </c>
      <c r="D917" s="576" t="s">
        <v>206</v>
      </c>
      <c r="E917" s="589">
        <v>14</v>
      </c>
      <c r="F917" s="589">
        <v>14</v>
      </c>
      <c r="G917" s="576"/>
      <c r="H917" s="576"/>
      <c r="I917" s="576"/>
      <c r="J917" s="576"/>
      <c r="K917" s="576">
        <v>1982.4</v>
      </c>
      <c r="L917" s="561">
        <f t="shared" si="66"/>
        <v>27753.600000000002</v>
      </c>
    </row>
    <row r="918" spans="1:12" ht="30">
      <c r="A918" s="554">
        <v>76</v>
      </c>
      <c r="B918" s="565"/>
      <c r="C918" s="556" t="s">
        <v>1232</v>
      </c>
      <c r="D918" s="576" t="s">
        <v>206</v>
      </c>
      <c r="E918" s="589">
        <v>14</v>
      </c>
      <c r="F918" s="589">
        <v>14</v>
      </c>
      <c r="G918" s="576"/>
      <c r="H918" s="576"/>
      <c r="I918" s="576"/>
      <c r="J918" s="576"/>
      <c r="K918" s="576">
        <v>1987.12</v>
      </c>
      <c r="L918" s="561">
        <f t="shared" si="66"/>
        <v>27819.68</v>
      </c>
    </row>
    <row r="919" spans="1:12">
      <c r="A919" s="554">
        <v>77</v>
      </c>
      <c r="B919" s="565"/>
      <c r="C919" s="556" t="s">
        <v>1233</v>
      </c>
      <c r="D919" s="576" t="s">
        <v>206</v>
      </c>
      <c r="E919" s="589">
        <v>4</v>
      </c>
      <c r="F919" s="589">
        <v>4</v>
      </c>
      <c r="G919" s="576"/>
      <c r="H919" s="576"/>
      <c r="I919" s="576"/>
      <c r="J919" s="576"/>
      <c r="K919" s="576">
        <v>944</v>
      </c>
      <c r="L919" s="561">
        <f t="shared" si="66"/>
        <v>3776</v>
      </c>
    </row>
    <row r="920" spans="1:12">
      <c r="A920" s="590" t="s">
        <v>1234</v>
      </c>
      <c r="B920" s="590"/>
      <c r="C920" s="590"/>
      <c r="D920" s="590"/>
      <c r="E920" s="590"/>
      <c r="F920" s="590"/>
      <c r="G920" s="590"/>
      <c r="H920" s="590"/>
      <c r="I920" s="590"/>
      <c r="J920" s="590"/>
      <c r="K920" s="590"/>
      <c r="L920" s="591">
        <f>SUM(L843:L919)</f>
        <v>1773238.6800000002</v>
      </c>
    </row>
    <row r="921" spans="1:12">
      <c r="A921" s="592"/>
      <c r="B921" s="593"/>
      <c r="C921" s="592"/>
      <c r="D921" s="592"/>
      <c r="E921" s="594"/>
      <c r="F921" s="592"/>
      <c r="G921" s="592"/>
      <c r="H921" s="592"/>
      <c r="I921" s="592"/>
      <c r="J921" s="592"/>
      <c r="K921" s="592"/>
      <c r="L921" s="595"/>
    </row>
    <row r="922" spans="1:12">
      <c r="A922" s="592"/>
      <c r="B922" s="593"/>
      <c r="C922" s="592"/>
      <c r="D922" s="592"/>
      <c r="E922" s="594"/>
      <c r="F922" s="592"/>
      <c r="G922" s="592"/>
      <c r="H922" s="592"/>
      <c r="I922" s="592"/>
      <c r="J922" s="592"/>
      <c r="K922" s="592"/>
      <c r="L922" s="595"/>
    </row>
    <row r="923" spans="1:12">
      <c r="A923" s="592"/>
      <c r="B923" s="593"/>
      <c r="C923" s="592"/>
      <c r="D923" s="592"/>
      <c r="E923" s="594"/>
      <c r="F923" s="592"/>
      <c r="G923" s="592"/>
      <c r="H923" s="592"/>
      <c r="I923" s="592"/>
      <c r="J923" s="592"/>
      <c r="K923" s="592"/>
      <c r="L923" s="595"/>
    </row>
    <row r="924" spans="1:12">
      <c r="A924" s="592"/>
      <c r="B924" s="593"/>
      <c r="C924" s="592"/>
      <c r="D924" s="592"/>
      <c r="E924" s="594"/>
      <c r="F924" s="592"/>
      <c r="G924" s="592"/>
      <c r="H924" s="592"/>
      <c r="I924" s="592"/>
      <c r="J924" s="592"/>
      <c r="K924" s="592"/>
      <c r="L924" s="595"/>
    </row>
    <row r="925" spans="1:12">
      <c r="A925" s="596" t="s">
        <v>1235</v>
      </c>
      <c r="B925" s="597"/>
      <c r="C925" s="597"/>
      <c r="D925" s="597"/>
      <c r="E925" s="597"/>
      <c r="F925" s="597"/>
      <c r="G925" s="597"/>
      <c r="H925" s="597"/>
      <c r="I925" s="597"/>
      <c r="J925" s="597"/>
      <c r="K925" s="597"/>
      <c r="L925" s="597"/>
    </row>
    <row r="926" spans="1:12" ht="45">
      <c r="A926" s="554">
        <v>1</v>
      </c>
      <c r="B926" s="555" t="s">
        <v>1236</v>
      </c>
      <c r="C926" s="598" t="s">
        <v>1237</v>
      </c>
      <c r="D926" s="579" t="s">
        <v>37</v>
      </c>
      <c r="E926" s="576">
        <v>6</v>
      </c>
      <c r="F926" s="579"/>
      <c r="G926" s="559"/>
      <c r="H926" s="559"/>
      <c r="I926" s="560"/>
      <c r="J926" s="559">
        <v>6</v>
      </c>
      <c r="K926" s="11">
        <v>10000</v>
      </c>
      <c r="L926" s="561">
        <f t="shared" ref="L926:L940" si="67">+K926*E926</f>
        <v>60000</v>
      </c>
    </row>
    <row r="927" spans="1:12" ht="45">
      <c r="A927" s="562">
        <v>2</v>
      </c>
      <c r="B927" s="555" t="s">
        <v>1238</v>
      </c>
      <c r="C927" s="598" t="s">
        <v>1239</v>
      </c>
      <c r="D927" s="576" t="s">
        <v>37</v>
      </c>
      <c r="E927" s="576">
        <v>5</v>
      </c>
      <c r="F927" s="579">
        <v>5</v>
      </c>
      <c r="G927" s="559"/>
      <c r="H927" s="559"/>
      <c r="I927" s="560"/>
      <c r="J927" s="559"/>
      <c r="K927" s="11">
        <v>15000</v>
      </c>
      <c r="L927" s="561">
        <f t="shared" si="67"/>
        <v>75000</v>
      </c>
    </row>
    <row r="928" spans="1:12" ht="30">
      <c r="A928" s="554">
        <v>3</v>
      </c>
      <c r="B928" s="573" t="s">
        <v>1240</v>
      </c>
      <c r="C928" s="598" t="s">
        <v>1241</v>
      </c>
      <c r="D928" s="11" t="s">
        <v>37</v>
      </c>
      <c r="E928" s="11">
        <v>11</v>
      </c>
      <c r="F928" s="11">
        <v>11</v>
      </c>
      <c r="G928" s="559"/>
      <c r="H928" s="559"/>
      <c r="I928" s="560"/>
      <c r="J928" s="559"/>
      <c r="K928" s="11">
        <v>10000</v>
      </c>
      <c r="L928" s="561">
        <f t="shared" si="67"/>
        <v>110000</v>
      </c>
    </row>
    <row r="929" spans="1:12" ht="45.75">
      <c r="A929" s="554">
        <v>4</v>
      </c>
      <c r="B929" s="580" t="s">
        <v>1242</v>
      </c>
      <c r="C929" s="599" t="s">
        <v>1243</v>
      </c>
      <c r="D929" s="11" t="s">
        <v>37</v>
      </c>
      <c r="E929" s="11">
        <v>18</v>
      </c>
      <c r="F929" s="11">
        <v>18</v>
      </c>
      <c r="G929" s="559"/>
      <c r="H929" s="559"/>
      <c r="I929" s="560"/>
      <c r="J929" s="559"/>
      <c r="K929" s="11">
        <v>100000</v>
      </c>
      <c r="L929" s="561">
        <f t="shared" si="67"/>
        <v>1800000</v>
      </c>
    </row>
    <row r="930" spans="1:12" ht="45.75">
      <c r="A930" s="562">
        <v>5</v>
      </c>
      <c r="B930" s="580" t="s">
        <v>1244</v>
      </c>
      <c r="C930" s="599" t="s">
        <v>1245</v>
      </c>
      <c r="D930" s="570" t="s">
        <v>37</v>
      </c>
      <c r="E930" s="11">
        <v>9</v>
      </c>
      <c r="F930" s="570">
        <v>9</v>
      </c>
      <c r="G930" s="559"/>
      <c r="H930" s="559"/>
      <c r="I930" s="560"/>
      <c r="J930" s="559"/>
      <c r="K930" s="11">
        <v>100000</v>
      </c>
      <c r="L930" s="561">
        <f t="shared" si="67"/>
        <v>900000</v>
      </c>
    </row>
    <row r="931" spans="1:12" ht="30">
      <c r="A931" s="554">
        <v>6</v>
      </c>
      <c r="B931" s="573" t="s">
        <v>1246</v>
      </c>
      <c r="C931" s="598" t="s">
        <v>1247</v>
      </c>
      <c r="D931" s="11" t="s">
        <v>37</v>
      </c>
      <c r="E931" s="11">
        <v>6</v>
      </c>
      <c r="F931" s="11">
        <v>6</v>
      </c>
      <c r="G931" s="559"/>
      <c r="H931" s="559"/>
      <c r="I931" s="560"/>
      <c r="J931" s="559"/>
      <c r="K931" s="11">
        <v>10000</v>
      </c>
      <c r="L931" s="561">
        <f t="shared" si="67"/>
        <v>60000</v>
      </c>
    </row>
    <row r="932" spans="1:12" ht="30">
      <c r="A932" s="554">
        <v>7</v>
      </c>
      <c r="B932" s="565"/>
      <c r="C932" s="568" t="s">
        <v>1248</v>
      </c>
      <c r="D932" s="559" t="s">
        <v>37</v>
      </c>
      <c r="E932" s="559">
        <v>2</v>
      </c>
      <c r="F932" s="559"/>
      <c r="G932" s="559"/>
      <c r="H932" s="559"/>
      <c r="I932" s="559"/>
      <c r="J932" s="11">
        <v>2</v>
      </c>
      <c r="K932" s="561">
        <v>2000</v>
      </c>
      <c r="L932" s="561">
        <f t="shared" si="67"/>
        <v>4000</v>
      </c>
    </row>
    <row r="933" spans="1:12" ht="45">
      <c r="A933" s="562">
        <v>8</v>
      </c>
      <c r="B933" s="564"/>
      <c r="C933" s="582" t="s">
        <v>1249</v>
      </c>
      <c r="D933" s="559" t="s">
        <v>208</v>
      </c>
      <c r="E933" s="559">
        <v>21980</v>
      </c>
      <c r="F933" s="559">
        <v>21980</v>
      </c>
      <c r="G933" s="559"/>
      <c r="H933" s="559"/>
      <c r="I933" s="560"/>
      <c r="J933" s="559"/>
      <c r="K933" s="11">
        <v>20</v>
      </c>
      <c r="L933" s="561">
        <f t="shared" si="67"/>
        <v>439600</v>
      </c>
    </row>
    <row r="934" spans="1:12">
      <c r="A934" s="554">
        <v>9</v>
      </c>
      <c r="B934" s="565"/>
      <c r="C934" s="568" t="s">
        <v>1250</v>
      </c>
      <c r="D934" s="576" t="s">
        <v>37</v>
      </c>
      <c r="E934" s="576">
        <v>1</v>
      </c>
      <c r="F934" s="576"/>
      <c r="G934" s="576">
        <v>1</v>
      </c>
      <c r="H934" s="576"/>
      <c r="I934" s="576"/>
      <c r="J934" s="576"/>
      <c r="K934" s="586">
        <v>354000</v>
      </c>
      <c r="L934" s="561">
        <f t="shared" si="67"/>
        <v>354000</v>
      </c>
    </row>
    <row r="935" spans="1:12" ht="30">
      <c r="A935" s="554">
        <v>10</v>
      </c>
      <c r="B935" s="565"/>
      <c r="C935" s="568" t="s">
        <v>1251</v>
      </c>
      <c r="D935" s="576" t="s">
        <v>37</v>
      </c>
      <c r="E935" s="576">
        <v>1</v>
      </c>
      <c r="F935" s="576"/>
      <c r="G935" s="576">
        <v>1</v>
      </c>
      <c r="H935" s="576"/>
      <c r="I935" s="576"/>
      <c r="J935" s="576"/>
      <c r="K935" s="586">
        <v>224200</v>
      </c>
      <c r="L935" s="561">
        <f t="shared" si="67"/>
        <v>224200</v>
      </c>
    </row>
    <row r="936" spans="1:12" ht="30">
      <c r="A936" s="562">
        <v>11</v>
      </c>
      <c r="B936" s="565"/>
      <c r="C936" s="568" t="s">
        <v>1252</v>
      </c>
      <c r="D936" s="576" t="s">
        <v>37</v>
      </c>
      <c r="E936" s="576">
        <v>2</v>
      </c>
      <c r="F936" s="576"/>
      <c r="G936" s="576">
        <v>2</v>
      </c>
      <c r="H936" s="576"/>
      <c r="I936" s="576"/>
      <c r="J936" s="576"/>
      <c r="K936" s="586">
        <v>212400</v>
      </c>
      <c r="L936" s="561">
        <f t="shared" si="67"/>
        <v>424800</v>
      </c>
    </row>
    <row r="937" spans="1:12" ht="30">
      <c r="A937" s="554">
        <v>12</v>
      </c>
      <c r="B937" s="565"/>
      <c r="C937" s="568" t="s">
        <v>1253</v>
      </c>
      <c r="D937" s="576" t="s">
        <v>37</v>
      </c>
      <c r="E937" s="576">
        <v>1</v>
      </c>
      <c r="F937" s="576"/>
      <c r="G937" s="576">
        <v>1</v>
      </c>
      <c r="H937" s="576"/>
      <c r="I937" s="576"/>
      <c r="J937" s="576"/>
      <c r="K937" s="586">
        <v>212400</v>
      </c>
      <c r="L937" s="561">
        <f t="shared" si="67"/>
        <v>212400</v>
      </c>
    </row>
    <row r="938" spans="1:12" ht="30">
      <c r="A938" s="554">
        <v>13</v>
      </c>
      <c r="B938" s="565"/>
      <c r="C938" s="568" t="s">
        <v>1254</v>
      </c>
      <c r="D938" s="576" t="s">
        <v>37</v>
      </c>
      <c r="E938" s="576">
        <v>1</v>
      </c>
      <c r="F938" s="576">
        <v>1</v>
      </c>
      <c r="G938" s="576"/>
      <c r="H938" s="576"/>
      <c r="I938" s="576"/>
      <c r="J938" s="576"/>
      <c r="K938" s="586">
        <v>212400</v>
      </c>
      <c r="L938" s="561">
        <f t="shared" si="67"/>
        <v>212400</v>
      </c>
    </row>
    <row r="939" spans="1:12" ht="30">
      <c r="A939" s="562">
        <v>14</v>
      </c>
      <c r="B939" s="565"/>
      <c r="C939" s="556" t="s">
        <v>1255</v>
      </c>
      <c r="D939" s="576" t="s">
        <v>1256</v>
      </c>
      <c r="E939" s="589">
        <v>1</v>
      </c>
      <c r="F939" s="589">
        <v>1</v>
      </c>
      <c r="G939" s="576"/>
      <c r="H939" s="576"/>
      <c r="I939" s="576"/>
      <c r="J939" s="576"/>
      <c r="K939" s="576">
        <v>200000</v>
      </c>
      <c r="L939" s="561">
        <f t="shared" si="67"/>
        <v>200000</v>
      </c>
    </row>
    <row r="940" spans="1:12" ht="30">
      <c r="A940" s="554">
        <v>15</v>
      </c>
      <c r="B940" s="565"/>
      <c r="C940" s="556" t="s">
        <v>1257</v>
      </c>
      <c r="D940" s="576" t="s">
        <v>1202</v>
      </c>
      <c r="E940" s="589">
        <v>1</v>
      </c>
      <c r="F940" s="589">
        <v>1</v>
      </c>
      <c r="G940" s="576"/>
      <c r="H940" s="576"/>
      <c r="I940" s="576"/>
      <c r="J940" s="576"/>
      <c r="K940" s="576">
        <v>200000</v>
      </c>
      <c r="L940" s="561">
        <f t="shared" si="67"/>
        <v>200000</v>
      </c>
    </row>
    <row r="941" spans="1:12">
      <c r="A941" s="600" t="s">
        <v>1258</v>
      </c>
      <c r="B941" s="601"/>
      <c r="C941" s="601"/>
      <c r="D941" s="601"/>
      <c r="E941" s="602"/>
      <c r="F941" s="591">
        <f>SUM(F926:F940)</f>
        <v>22032</v>
      </c>
      <c r="G941" s="603"/>
      <c r="H941" s="603"/>
      <c r="I941" s="603"/>
      <c r="J941" s="603"/>
      <c r="K941" s="603"/>
      <c r="L941" s="591">
        <f>SUM(L926:L940)</f>
        <v>5276400</v>
      </c>
    </row>
    <row r="942" spans="1:12">
      <c r="A942" s="286"/>
      <c r="B942" s="588"/>
      <c r="C942" s="286"/>
      <c r="D942" s="286"/>
      <c r="E942" s="259"/>
      <c r="F942" s="286"/>
      <c r="G942" s="286"/>
      <c r="H942" s="286"/>
      <c r="I942" s="286"/>
      <c r="J942" s="331"/>
      <c r="K942" s="286"/>
      <c r="L942" s="331"/>
    </row>
    <row r="945" spans="1:15" ht="22.5">
      <c r="A945" s="604" t="s">
        <v>1263</v>
      </c>
      <c r="B945" s="605"/>
      <c r="C945" s="604"/>
      <c r="D945" s="604"/>
      <c r="E945" s="604"/>
      <c r="F945" s="604"/>
      <c r="G945" s="604"/>
      <c r="H945" s="604"/>
      <c r="I945" s="604"/>
      <c r="J945" s="604"/>
      <c r="K945" s="604"/>
      <c r="L945" s="604"/>
      <c r="M945" s="604"/>
      <c r="N945" s="604"/>
      <c r="O945" s="604"/>
    </row>
    <row r="946" spans="1:15">
      <c r="A946" s="606"/>
      <c r="B946" s="607"/>
      <c r="C946" s="608"/>
      <c r="D946" s="608"/>
      <c r="E946" s="608"/>
      <c r="F946" s="608"/>
      <c r="G946" s="608"/>
      <c r="H946" s="608"/>
      <c r="I946" s="608"/>
      <c r="J946" s="608"/>
      <c r="K946" s="608"/>
      <c r="L946" s="608"/>
      <c r="M946" s="608"/>
      <c r="N946" s="608"/>
      <c r="O946" s="608"/>
    </row>
    <row r="947" spans="1:15">
      <c r="A947" s="609" t="s">
        <v>1264</v>
      </c>
      <c r="B947" s="610"/>
      <c r="C947" s="609"/>
      <c r="D947" s="611"/>
      <c r="E947" s="611"/>
      <c r="F947" s="606"/>
      <c r="G947" s="606"/>
      <c r="H947" s="606"/>
      <c r="I947" s="606"/>
      <c r="J947" s="606"/>
      <c r="K947" s="606"/>
      <c r="L947" s="606"/>
      <c r="M947" s="606"/>
      <c r="N947" s="606"/>
      <c r="O947" s="606"/>
    </row>
    <row r="948" spans="1:15">
      <c r="A948" s="612" t="s">
        <v>1265</v>
      </c>
      <c r="B948" s="613"/>
      <c r="C948" s="612"/>
      <c r="D948" s="614"/>
      <c r="E948" s="611"/>
      <c r="F948" s="606"/>
      <c r="G948" s="606"/>
      <c r="H948" s="606"/>
      <c r="I948" s="606"/>
      <c r="J948" s="615"/>
      <c r="K948" s="616" t="s">
        <v>1266</v>
      </c>
      <c r="L948" s="606"/>
      <c r="M948" s="606"/>
      <c r="N948" s="606"/>
      <c r="O948" s="606"/>
    </row>
    <row r="949" spans="1:15">
      <c r="A949" s="617" t="s">
        <v>1267</v>
      </c>
      <c r="B949" s="618"/>
      <c r="C949" s="617"/>
      <c r="D949" s="614"/>
      <c r="E949" s="611"/>
      <c r="F949" s="606"/>
      <c r="G949" s="606"/>
      <c r="H949" s="606"/>
      <c r="I949" s="606"/>
      <c r="J949" s="606"/>
      <c r="K949" s="619" t="s">
        <v>1268</v>
      </c>
      <c r="L949" s="606"/>
      <c r="M949" s="606"/>
      <c r="N949" s="606"/>
      <c r="O949" s="606"/>
    </row>
    <row r="950" spans="1:15">
      <c r="A950" s="620" t="s">
        <v>787</v>
      </c>
      <c r="B950" s="621" t="s">
        <v>221</v>
      </c>
      <c r="C950" s="620" t="s">
        <v>1269</v>
      </c>
      <c r="D950" s="620" t="s">
        <v>119</v>
      </c>
      <c r="E950" s="622" t="s">
        <v>1270</v>
      </c>
      <c r="F950" s="623" t="s">
        <v>121</v>
      </c>
      <c r="G950" s="624"/>
      <c r="H950" s="625" t="s">
        <v>1271</v>
      </c>
      <c r="I950" s="626"/>
      <c r="J950" s="623" t="s">
        <v>1</v>
      </c>
      <c r="K950" s="627"/>
      <c r="L950" s="628" t="s">
        <v>0</v>
      </c>
      <c r="M950" s="629"/>
      <c r="N950" s="630" t="s">
        <v>932</v>
      </c>
      <c r="O950" s="630"/>
    </row>
    <row r="951" spans="1:15" ht="47.25">
      <c r="A951" s="631"/>
      <c r="B951" s="632"/>
      <c r="C951" s="631"/>
      <c r="D951" s="631"/>
      <c r="E951" s="633"/>
      <c r="F951" s="634" t="s">
        <v>125</v>
      </c>
      <c r="G951" s="635" t="s">
        <v>126</v>
      </c>
      <c r="H951" s="634" t="s">
        <v>125</v>
      </c>
      <c r="I951" s="635" t="s">
        <v>126</v>
      </c>
      <c r="J951" s="634" t="s">
        <v>125</v>
      </c>
      <c r="K951" s="635" t="s">
        <v>126</v>
      </c>
      <c r="L951" s="634" t="s">
        <v>125</v>
      </c>
      <c r="M951" s="635" t="s">
        <v>126</v>
      </c>
      <c r="N951" s="634" t="s">
        <v>125</v>
      </c>
      <c r="O951" s="635" t="s">
        <v>126</v>
      </c>
    </row>
    <row r="952" spans="1:15">
      <c r="A952" s="636">
        <v>2</v>
      </c>
      <c r="B952" s="637" t="s">
        <v>611</v>
      </c>
      <c r="C952" s="638" t="s">
        <v>1272</v>
      </c>
      <c r="D952" s="639" t="s">
        <v>387</v>
      </c>
      <c r="E952" s="640">
        <v>300</v>
      </c>
      <c r="F952" s="639">
        <f>2000-90-15-10-10-20-130-80-10-10-10-100-20-10-100-15-10-15-5-10-200-5-15-5-10-10-10-15-5-120-10-20-70-20-5-16-8-6</f>
        <v>780</v>
      </c>
      <c r="G952" s="639">
        <f>E952*F952</f>
        <v>234000</v>
      </c>
      <c r="H952" s="639"/>
      <c r="I952" s="639"/>
      <c r="J952" s="639"/>
      <c r="K952" s="641"/>
      <c r="L952" s="641"/>
      <c r="M952" s="641"/>
      <c r="N952" s="639"/>
      <c r="O952" s="639"/>
    </row>
    <row r="953" spans="1:15">
      <c r="A953" s="636"/>
      <c r="B953" s="637" t="s">
        <v>611</v>
      </c>
      <c r="C953" s="638" t="s">
        <v>1272</v>
      </c>
      <c r="D953" s="639" t="s">
        <v>387</v>
      </c>
      <c r="E953" s="640">
        <v>317</v>
      </c>
      <c r="F953" s="639"/>
      <c r="G953" s="639"/>
      <c r="H953" s="639"/>
      <c r="I953" s="639"/>
      <c r="J953" s="639"/>
      <c r="K953" s="641"/>
      <c r="L953" s="641">
        <f>283.5-283.5</f>
        <v>0</v>
      </c>
      <c r="M953" s="641">
        <f t="shared" ref="M953:M958" si="68">E953*L953</f>
        <v>0</v>
      </c>
      <c r="N953" s="639"/>
      <c r="O953" s="639"/>
    </row>
    <row r="954" spans="1:15">
      <c r="A954" s="636"/>
      <c r="B954" s="637" t="s">
        <v>326</v>
      </c>
      <c r="C954" s="642" t="s">
        <v>1273</v>
      </c>
      <c r="D954" s="639" t="s">
        <v>4</v>
      </c>
      <c r="E954" s="643">
        <v>25000</v>
      </c>
      <c r="F954" s="639"/>
      <c r="G954" s="639"/>
      <c r="H954" s="639"/>
      <c r="I954" s="639"/>
      <c r="J954" s="639"/>
      <c r="K954" s="641"/>
      <c r="L954" s="641">
        <v>0.1</v>
      </c>
      <c r="M954" s="641">
        <f t="shared" si="68"/>
        <v>2500</v>
      </c>
      <c r="N954" s="639"/>
      <c r="O954" s="639"/>
    </row>
    <row r="955" spans="1:15">
      <c r="A955" s="636"/>
      <c r="B955" s="637" t="s">
        <v>326</v>
      </c>
      <c r="C955" s="644" t="s">
        <v>1273</v>
      </c>
      <c r="D955" s="639" t="s">
        <v>4</v>
      </c>
      <c r="E955" s="643">
        <v>25000</v>
      </c>
      <c r="F955" s="639"/>
      <c r="G955" s="639"/>
      <c r="H955" s="639"/>
      <c r="I955" s="639"/>
      <c r="J955" s="639"/>
      <c r="K955" s="641"/>
      <c r="L955" s="645">
        <v>15.143000000000001</v>
      </c>
      <c r="M955" s="641">
        <f t="shared" si="68"/>
        <v>378575</v>
      </c>
      <c r="N955" s="639"/>
      <c r="O955" s="639"/>
    </row>
    <row r="956" spans="1:15">
      <c r="A956" s="636"/>
      <c r="B956" s="637" t="s">
        <v>324</v>
      </c>
      <c r="C956" s="644" t="s">
        <v>1274</v>
      </c>
      <c r="D956" s="639" t="s">
        <v>4</v>
      </c>
      <c r="E956" s="643">
        <v>25000</v>
      </c>
      <c r="F956" s="639"/>
      <c r="G956" s="639"/>
      <c r="H956" s="639"/>
      <c r="I956" s="639"/>
      <c r="J956" s="639"/>
      <c r="K956" s="641"/>
      <c r="L956" s="645">
        <v>2.82</v>
      </c>
      <c r="M956" s="641">
        <f t="shared" si="68"/>
        <v>70500</v>
      </c>
      <c r="N956" s="639"/>
      <c r="O956" s="639"/>
    </row>
    <row r="957" spans="1:15">
      <c r="A957" s="636"/>
      <c r="B957" s="637" t="s">
        <v>268</v>
      </c>
      <c r="C957" s="638" t="s">
        <v>1275</v>
      </c>
      <c r="D957" s="639" t="s">
        <v>4</v>
      </c>
      <c r="E957" s="643">
        <v>25000</v>
      </c>
      <c r="F957" s="646"/>
      <c r="G957" s="639"/>
      <c r="H957" s="646"/>
      <c r="I957" s="646"/>
      <c r="J957" s="646"/>
      <c r="K957" s="647"/>
      <c r="L957" s="648">
        <v>0.34</v>
      </c>
      <c r="M957" s="641">
        <f t="shared" si="68"/>
        <v>8500</v>
      </c>
      <c r="N957" s="639"/>
      <c r="O957" s="639"/>
    </row>
    <row r="958" spans="1:15">
      <c r="A958" s="636"/>
      <c r="B958" s="649"/>
      <c r="C958" s="638" t="s">
        <v>1276</v>
      </c>
      <c r="D958" s="639" t="s">
        <v>4</v>
      </c>
      <c r="E958" s="643">
        <v>25000</v>
      </c>
      <c r="F958" s="646"/>
      <c r="G958" s="639"/>
      <c r="H958" s="646"/>
      <c r="I958" s="646"/>
      <c r="J958" s="646"/>
      <c r="K958" s="647"/>
      <c r="L958" s="648">
        <v>0.98499999999999999</v>
      </c>
      <c r="M958" s="641">
        <f t="shared" si="68"/>
        <v>24625</v>
      </c>
      <c r="N958" s="639"/>
      <c r="O958" s="639"/>
    </row>
    <row r="959" spans="1:15">
      <c r="A959" s="636">
        <v>26</v>
      </c>
      <c r="B959" s="637" t="s">
        <v>1277</v>
      </c>
      <c r="C959" s="638" t="s">
        <v>1278</v>
      </c>
      <c r="D959" s="636" t="s">
        <v>387</v>
      </c>
      <c r="E959" s="636">
        <v>1623.2</v>
      </c>
      <c r="F959" s="650">
        <f>166.7-30</f>
        <v>136.69999999999999</v>
      </c>
      <c r="G959" s="639">
        <f t="shared" ref="G959:G961" si="69">E959*F959</f>
        <v>221891.43999999997</v>
      </c>
      <c r="H959" s="642"/>
      <c r="I959" s="642"/>
      <c r="J959" s="642"/>
      <c r="K959" s="642"/>
      <c r="L959" s="642"/>
      <c r="M959" s="638"/>
      <c r="N959" s="638"/>
      <c r="O959" s="638"/>
    </row>
    <row r="960" spans="1:15">
      <c r="A960" s="636"/>
      <c r="B960" s="637" t="s">
        <v>268</v>
      </c>
      <c r="C960" s="638" t="s">
        <v>1279</v>
      </c>
      <c r="D960" s="651" t="s">
        <v>208</v>
      </c>
      <c r="E960" s="652">
        <v>10</v>
      </c>
      <c r="F960" s="636">
        <f>27540-2210-50</f>
        <v>25280</v>
      </c>
      <c r="G960" s="639">
        <f t="shared" si="69"/>
        <v>252800</v>
      </c>
      <c r="H960" s="638"/>
      <c r="I960" s="638"/>
      <c r="J960" s="638"/>
      <c r="K960" s="638"/>
      <c r="L960" s="638"/>
      <c r="M960" s="638"/>
      <c r="N960" s="636"/>
      <c r="O960" s="636"/>
    </row>
    <row r="961" spans="1:15">
      <c r="A961" s="636"/>
      <c r="B961" s="649"/>
      <c r="C961" s="638" t="s">
        <v>1280</v>
      </c>
      <c r="D961" s="636" t="s">
        <v>40</v>
      </c>
      <c r="E961" s="652">
        <v>100</v>
      </c>
      <c r="F961" s="636">
        <v>19</v>
      </c>
      <c r="G961" s="639">
        <f t="shared" si="69"/>
        <v>1900</v>
      </c>
      <c r="H961" s="638"/>
      <c r="I961" s="638"/>
      <c r="J961" s="638"/>
      <c r="K961" s="638"/>
      <c r="L961" s="636"/>
      <c r="M961" s="636"/>
      <c r="N961" s="636"/>
      <c r="O961" s="636"/>
    </row>
    <row r="962" spans="1:15">
      <c r="A962" s="636"/>
      <c r="B962" s="653"/>
      <c r="C962" s="638"/>
      <c r="D962" s="636"/>
      <c r="E962" s="652"/>
      <c r="F962" s="636"/>
      <c r="G962" s="636"/>
      <c r="H962" s="638"/>
      <c r="I962" s="638"/>
      <c r="J962" s="638"/>
      <c r="K962" s="654"/>
      <c r="L962" s="651"/>
      <c r="M962" s="651"/>
      <c r="N962" s="636"/>
      <c r="O962" s="636"/>
    </row>
    <row r="963" spans="1:15" ht="31.5">
      <c r="A963" s="636">
        <v>5</v>
      </c>
      <c r="B963" s="655" t="s">
        <v>1281</v>
      </c>
      <c r="C963" s="656" t="s">
        <v>1282</v>
      </c>
      <c r="D963" s="636" t="s">
        <v>40</v>
      </c>
      <c r="E963" s="657">
        <v>85261.75</v>
      </c>
      <c r="F963" s="639">
        <f>12-1-2-1-2</f>
        <v>6</v>
      </c>
      <c r="G963" s="639">
        <f t="shared" ref="G963:G973" si="70">E963*F963</f>
        <v>511570.5</v>
      </c>
      <c r="H963" s="636"/>
      <c r="I963" s="636"/>
      <c r="J963" s="636"/>
      <c r="K963" s="651"/>
      <c r="L963" s="651"/>
      <c r="M963" s="651"/>
      <c r="N963" s="636"/>
      <c r="O963" s="636"/>
    </row>
    <row r="964" spans="1:15" ht="31.5">
      <c r="A964" s="636"/>
      <c r="B964" s="655" t="s">
        <v>1281</v>
      </c>
      <c r="C964" s="656" t="s">
        <v>1282</v>
      </c>
      <c r="D964" s="636" t="s">
        <v>40</v>
      </c>
      <c r="E964" s="657">
        <v>100</v>
      </c>
      <c r="F964" s="639"/>
      <c r="G964" s="639"/>
      <c r="H964" s="636"/>
      <c r="I964" s="636"/>
      <c r="J964" s="636"/>
      <c r="K964" s="651"/>
      <c r="L964" s="651">
        <v>4</v>
      </c>
      <c r="M964" s="641">
        <f>E964*L964</f>
        <v>400</v>
      </c>
      <c r="N964" s="636"/>
      <c r="O964" s="636"/>
    </row>
    <row r="965" spans="1:15" ht="31.5">
      <c r="A965" s="636"/>
      <c r="B965" s="655" t="s">
        <v>1281</v>
      </c>
      <c r="C965" s="656" t="s">
        <v>1282</v>
      </c>
      <c r="D965" s="636" t="s">
        <v>40</v>
      </c>
      <c r="E965" s="657">
        <v>500</v>
      </c>
      <c r="F965" s="639"/>
      <c r="G965" s="639"/>
      <c r="H965" s="636"/>
      <c r="I965" s="636"/>
      <c r="J965" s="636"/>
      <c r="K965" s="651"/>
      <c r="L965" s="651">
        <f>5+1+1+2+1+2+1+2</f>
        <v>15</v>
      </c>
      <c r="M965" s="641">
        <f>E965*L965</f>
        <v>7500</v>
      </c>
      <c r="N965" s="636"/>
      <c r="O965" s="636"/>
    </row>
    <row r="966" spans="1:15">
      <c r="A966" s="636"/>
      <c r="B966" s="658"/>
      <c r="C966" s="656"/>
      <c r="D966" s="636"/>
      <c r="E966" s="657"/>
      <c r="F966" s="639"/>
      <c r="G966" s="639"/>
      <c r="H966" s="636"/>
      <c r="I966" s="636"/>
      <c r="J966" s="636"/>
      <c r="K966" s="651"/>
      <c r="L966" s="651"/>
      <c r="M966" s="651"/>
      <c r="N966" s="636"/>
      <c r="O966" s="636"/>
    </row>
    <row r="967" spans="1:15" ht="47.25">
      <c r="A967" s="659">
        <v>12</v>
      </c>
      <c r="B967" s="660" t="s">
        <v>392</v>
      </c>
      <c r="C967" s="661" t="s">
        <v>1283</v>
      </c>
      <c r="D967" s="639" t="s">
        <v>46</v>
      </c>
      <c r="E967" s="657">
        <v>185.15991</v>
      </c>
      <c r="F967" s="639">
        <f>891-326-240-200-15</f>
        <v>110</v>
      </c>
      <c r="G967" s="662">
        <f t="shared" si="70"/>
        <v>20367.590100000001</v>
      </c>
      <c r="H967" s="659"/>
      <c r="I967" s="659"/>
      <c r="J967" s="659"/>
      <c r="K967" s="663"/>
      <c r="L967" s="663"/>
      <c r="M967" s="663"/>
      <c r="N967" s="659"/>
      <c r="O967" s="659"/>
    </row>
    <row r="968" spans="1:15" ht="47.25">
      <c r="A968" s="659">
        <v>17</v>
      </c>
      <c r="B968" s="664" t="s">
        <v>1134</v>
      </c>
      <c r="C968" s="665" t="s">
        <v>1284</v>
      </c>
      <c r="D968" s="639" t="s">
        <v>46</v>
      </c>
      <c r="E968" s="657">
        <v>146.91</v>
      </c>
      <c r="F968" s="639">
        <v>290</v>
      </c>
      <c r="G968" s="639">
        <f t="shared" si="70"/>
        <v>42603.9</v>
      </c>
      <c r="H968" s="659"/>
      <c r="I968" s="659"/>
      <c r="J968" s="659"/>
      <c r="K968" s="663"/>
      <c r="L968" s="663"/>
      <c r="M968" s="663"/>
      <c r="N968" s="659"/>
      <c r="O968" s="659"/>
    </row>
    <row r="969" spans="1:15">
      <c r="A969" s="659">
        <v>43</v>
      </c>
      <c r="B969" s="666" t="s">
        <v>1285</v>
      </c>
      <c r="C969" s="667" t="s">
        <v>1286</v>
      </c>
      <c r="D969" s="639" t="s">
        <v>46</v>
      </c>
      <c r="E969" s="657">
        <v>219</v>
      </c>
      <c r="F969" s="639">
        <f>1029-120-50-440-100-100</f>
        <v>219</v>
      </c>
      <c r="G969" s="639">
        <f t="shared" si="70"/>
        <v>47961</v>
      </c>
      <c r="H969" s="659"/>
      <c r="I969" s="659"/>
      <c r="J969" s="659"/>
      <c r="K969" s="663"/>
      <c r="L969" s="663"/>
      <c r="M969" s="663"/>
      <c r="N969" s="659"/>
      <c r="O969" s="659"/>
    </row>
    <row r="970" spans="1:15">
      <c r="A970" s="659"/>
      <c r="B970" s="668"/>
      <c r="C970" s="669"/>
      <c r="D970" s="639" t="s">
        <v>46</v>
      </c>
      <c r="E970" s="657">
        <v>186.08600000000001</v>
      </c>
      <c r="F970" s="639">
        <f>600-300-80</f>
        <v>220</v>
      </c>
      <c r="G970" s="639">
        <f t="shared" si="70"/>
        <v>40938.920000000006</v>
      </c>
      <c r="H970" s="659"/>
      <c r="I970" s="659"/>
      <c r="J970" s="659"/>
      <c r="K970" s="663"/>
      <c r="L970" s="663"/>
      <c r="M970" s="663"/>
      <c r="N970" s="659"/>
      <c r="O970" s="659"/>
    </row>
    <row r="971" spans="1:15">
      <c r="A971" s="659"/>
      <c r="B971" s="668"/>
      <c r="C971" s="669"/>
      <c r="D971" s="639" t="s">
        <v>46</v>
      </c>
      <c r="E971" s="657">
        <v>153.00299999999999</v>
      </c>
      <c r="F971" s="639">
        <v>1758</v>
      </c>
      <c r="G971" s="639">
        <f t="shared" si="70"/>
        <v>268979.27399999998</v>
      </c>
      <c r="H971" s="659"/>
      <c r="I971" s="659"/>
      <c r="J971" s="659"/>
      <c r="K971" s="663"/>
      <c r="L971" s="663"/>
      <c r="M971" s="663"/>
      <c r="N971" s="659"/>
      <c r="O971" s="659"/>
    </row>
    <row r="972" spans="1:15">
      <c r="A972" s="659"/>
      <c r="B972" s="670"/>
      <c r="C972" s="671"/>
      <c r="D972" s="639" t="s">
        <v>46</v>
      </c>
      <c r="E972" s="657">
        <v>333</v>
      </c>
      <c r="F972" s="639">
        <v>700</v>
      </c>
      <c r="G972" s="639">
        <f t="shared" si="70"/>
        <v>233100</v>
      </c>
      <c r="H972" s="659"/>
      <c r="I972" s="659"/>
      <c r="J972" s="659"/>
      <c r="K972" s="663"/>
      <c r="L972" s="663"/>
      <c r="M972" s="663"/>
      <c r="N972" s="659"/>
      <c r="O972" s="659"/>
    </row>
    <row r="973" spans="1:15" ht="31.5">
      <c r="A973" s="659">
        <v>83</v>
      </c>
      <c r="B973" s="672" t="s">
        <v>1287</v>
      </c>
      <c r="C973" s="665" t="s">
        <v>1288</v>
      </c>
      <c r="D973" s="639" t="s">
        <v>46</v>
      </c>
      <c r="E973" s="657">
        <v>235.75200000000001</v>
      </c>
      <c r="F973" s="639">
        <v>555</v>
      </c>
      <c r="G973" s="639">
        <f t="shared" si="70"/>
        <v>130842.36</v>
      </c>
      <c r="H973" s="659"/>
      <c r="I973" s="659"/>
      <c r="J973" s="659"/>
      <c r="K973" s="663"/>
      <c r="L973" s="663"/>
      <c r="M973" s="663"/>
      <c r="N973" s="659"/>
      <c r="O973" s="659"/>
    </row>
    <row r="974" spans="1:15">
      <c r="A974" s="659"/>
      <c r="B974" s="658"/>
      <c r="C974" s="665"/>
      <c r="D974" s="639"/>
      <c r="E974" s="657"/>
      <c r="F974" s="639"/>
      <c r="G974" s="639"/>
      <c r="H974" s="659"/>
      <c r="I974" s="659"/>
      <c r="J974" s="659"/>
      <c r="K974" s="663"/>
      <c r="L974" s="663"/>
      <c r="M974" s="663"/>
      <c r="N974" s="659"/>
      <c r="O974" s="659"/>
    </row>
    <row r="975" spans="1:15">
      <c r="A975" s="659">
        <v>229</v>
      </c>
      <c r="B975" s="673" t="s">
        <v>1289</v>
      </c>
      <c r="C975" s="674" t="s">
        <v>1290</v>
      </c>
      <c r="D975" s="639" t="s">
        <v>4</v>
      </c>
      <c r="E975" s="643">
        <v>61000</v>
      </c>
      <c r="F975" s="639">
        <v>0.39900000000000002</v>
      </c>
      <c r="G975" s="639">
        <f t="shared" ref="G975:G980" si="71">E975*F975</f>
        <v>24339</v>
      </c>
      <c r="H975" s="639"/>
      <c r="I975" s="639"/>
      <c r="J975" s="639"/>
      <c r="K975" s="641"/>
      <c r="L975" s="641"/>
      <c r="M975" s="641"/>
      <c r="N975" s="639"/>
      <c r="O975" s="639"/>
    </row>
    <row r="976" spans="1:15">
      <c r="A976" s="659">
        <v>260</v>
      </c>
      <c r="B976" s="673" t="s">
        <v>1291</v>
      </c>
      <c r="C976" s="674" t="s">
        <v>1292</v>
      </c>
      <c r="D976" s="639" t="s">
        <v>4</v>
      </c>
      <c r="E976" s="643">
        <v>61000</v>
      </c>
      <c r="F976" s="215"/>
      <c r="G976" s="215"/>
      <c r="H976" s="674"/>
      <c r="I976" s="674"/>
      <c r="J976" s="674"/>
      <c r="K976" s="675"/>
      <c r="L976" s="641">
        <v>10.34</v>
      </c>
      <c r="M976" s="641">
        <f>E976*L976</f>
        <v>630740</v>
      </c>
      <c r="N976" s="639"/>
      <c r="O976" s="639"/>
    </row>
    <row r="977" spans="1:15">
      <c r="A977" s="659">
        <v>287</v>
      </c>
      <c r="B977" s="673" t="s">
        <v>1293</v>
      </c>
      <c r="C977" s="674" t="s">
        <v>1294</v>
      </c>
      <c r="D977" s="639" t="s">
        <v>4</v>
      </c>
      <c r="E977" s="643">
        <v>74000</v>
      </c>
      <c r="F977" s="639">
        <f>1.05-0.41</f>
        <v>0.64000000000000012</v>
      </c>
      <c r="G977" s="639">
        <f t="shared" si="71"/>
        <v>47360.000000000007</v>
      </c>
      <c r="H977" s="639"/>
      <c r="I977" s="639"/>
      <c r="J977" s="639"/>
      <c r="K977" s="641"/>
      <c r="L977" s="641"/>
      <c r="M977" s="641"/>
      <c r="N977" s="639"/>
      <c r="O977" s="639"/>
    </row>
    <row r="978" spans="1:15">
      <c r="A978" s="659">
        <v>313</v>
      </c>
      <c r="B978" s="673" t="s">
        <v>1295</v>
      </c>
      <c r="C978" s="674" t="s">
        <v>1296</v>
      </c>
      <c r="D978" s="639" t="s">
        <v>4</v>
      </c>
      <c r="E978" s="643">
        <v>56996</v>
      </c>
      <c r="F978" s="639">
        <v>5.1120000000000001</v>
      </c>
      <c r="G978" s="639">
        <f t="shared" si="71"/>
        <v>291363.55200000003</v>
      </c>
      <c r="H978" s="639"/>
      <c r="I978" s="639"/>
      <c r="J978" s="639"/>
      <c r="K978" s="641"/>
      <c r="L978" s="641"/>
      <c r="M978" s="641"/>
      <c r="N978" s="639"/>
      <c r="O978" s="639"/>
    </row>
    <row r="979" spans="1:15">
      <c r="A979" s="659">
        <v>314</v>
      </c>
      <c r="B979" s="673" t="s">
        <v>1297</v>
      </c>
      <c r="C979" s="674" t="s">
        <v>1298</v>
      </c>
      <c r="D979" s="639" t="s">
        <v>4</v>
      </c>
      <c r="E979" s="643">
        <v>53115</v>
      </c>
      <c r="F979" s="639">
        <f>7.813+0.2-0.3</f>
        <v>7.7130000000000001</v>
      </c>
      <c r="G979" s="639">
        <f t="shared" si="71"/>
        <v>409675.995</v>
      </c>
      <c r="H979" s="639"/>
      <c r="I979" s="639"/>
      <c r="J979" s="639"/>
      <c r="K979" s="641"/>
      <c r="L979" s="641"/>
      <c r="M979" s="641"/>
      <c r="N979" s="639"/>
      <c r="O979" s="639"/>
    </row>
    <row r="980" spans="1:15">
      <c r="A980" s="676">
        <v>327</v>
      </c>
      <c r="B980" s="677" t="s">
        <v>1299</v>
      </c>
      <c r="C980" s="678" t="s">
        <v>1300</v>
      </c>
      <c r="D980" s="659" t="s">
        <v>4</v>
      </c>
      <c r="E980" s="679">
        <v>74000</v>
      </c>
      <c r="F980" s="659">
        <v>0.78100000000000003</v>
      </c>
      <c r="G980" s="639">
        <f t="shared" si="71"/>
        <v>57794</v>
      </c>
      <c r="H980" s="659"/>
      <c r="I980" s="659"/>
      <c r="J980" s="659"/>
      <c r="K980" s="659"/>
      <c r="L980" s="659"/>
      <c r="M980" s="659"/>
      <c r="N980" s="659"/>
      <c r="O980" s="659"/>
    </row>
    <row r="981" spans="1:15">
      <c r="A981" s="680"/>
      <c r="B981" s="677" t="s">
        <v>1299</v>
      </c>
      <c r="C981" s="681"/>
      <c r="D981" s="659" t="s">
        <v>208</v>
      </c>
      <c r="E981" s="659">
        <v>20</v>
      </c>
      <c r="F981" s="659"/>
      <c r="G981" s="639"/>
      <c r="H981" s="659"/>
      <c r="I981" s="659"/>
      <c r="J981" s="659"/>
      <c r="K981" s="663"/>
      <c r="L981" s="659">
        <v>805</v>
      </c>
      <c r="M981" s="682">
        <f t="shared" ref="M981:M986" si="72">E981*L981</f>
        <v>16100</v>
      </c>
      <c r="N981" s="659"/>
      <c r="O981" s="659"/>
    </row>
    <row r="982" spans="1:15">
      <c r="A982" s="659">
        <v>329</v>
      </c>
      <c r="B982" s="673" t="s">
        <v>229</v>
      </c>
      <c r="C982" s="683" t="s">
        <v>1301</v>
      </c>
      <c r="D982" s="639" t="s">
        <v>4</v>
      </c>
      <c r="E982" s="643">
        <v>28491.41</v>
      </c>
      <c r="F982" s="639"/>
      <c r="G982" s="662"/>
      <c r="H982" s="639"/>
      <c r="I982" s="639"/>
      <c r="J982" s="639"/>
      <c r="K982" s="641"/>
      <c r="L982" s="639">
        <f>18.557-0.571-0.13</f>
        <v>17.855999999999998</v>
      </c>
      <c r="M982" s="682">
        <f t="shared" si="72"/>
        <v>508742.61695999996</v>
      </c>
      <c r="N982" s="639"/>
      <c r="O982" s="639"/>
    </row>
    <row r="983" spans="1:15">
      <c r="A983" s="659"/>
      <c r="B983" s="673" t="s">
        <v>229</v>
      </c>
      <c r="C983" s="683"/>
      <c r="D983" s="639" t="s">
        <v>4</v>
      </c>
      <c r="E983" s="643">
        <v>25000</v>
      </c>
      <c r="F983" s="639"/>
      <c r="G983" s="639"/>
      <c r="H983" s="639"/>
      <c r="I983" s="639"/>
      <c r="J983" s="639"/>
      <c r="K983" s="641"/>
      <c r="L983" s="639">
        <f>0.6-0.2-0.15</f>
        <v>0.24999999999999997</v>
      </c>
      <c r="M983" s="682">
        <f t="shared" si="72"/>
        <v>6249.9999999999991</v>
      </c>
      <c r="N983" s="639"/>
      <c r="O983" s="639"/>
    </row>
    <row r="984" spans="1:15">
      <c r="A984" s="659"/>
      <c r="B984" s="673" t="s">
        <v>229</v>
      </c>
      <c r="C984" s="674" t="s">
        <v>1302</v>
      </c>
      <c r="D984" s="639" t="s">
        <v>4</v>
      </c>
      <c r="E984" s="643">
        <v>25000</v>
      </c>
      <c r="F984" s="639"/>
      <c r="G984" s="639"/>
      <c r="H984" s="639"/>
      <c r="I984" s="639"/>
      <c r="J984" s="639"/>
      <c r="K984" s="641"/>
      <c r="L984" s="645">
        <f>13.5+27.89</f>
        <v>41.39</v>
      </c>
      <c r="M984" s="682">
        <f t="shared" si="72"/>
        <v>1034750</v>
      </c>
      <c r="N984" s="639"/>
      <c r="O984" s="639"/>
    </row>
    <row r="985" spans="1:15">
      <c r="A985" s="659"/>
      <c r="B985" s="673" t="s">
        <v>229</v>
      </c>
      <c r="C985" s="674" t="s">
        <v>1303</v>
      </c>
      <c r="D985" s="639" t="s">
        <v>4</v>
      </c>
      <c r="E985" s="643">
        <v>25000</v>
      </c>
      <c r="F985" s="639"/>
      <c r="G985" s="639"/>
      <c r="H985" s="639"/>
      <c r="I985" s="639"/>
      <c r="J985" s="639"/>
      <c r="K985" s="641"/>
      <c r="L985" s="645">
        <v>18.920000000000002</v>
      </c>
      <c r="M985" s="682">
        <f t="shared" si="72"/>
        <v>473000.00000000006</v>
      </c>
      <c r="N985" s="639"/>
      <c r="O985" s="639"/>
    </row>
    <row r="986" spans="1:15">
      <c r="A986" s="659"/>
      <c r="B986" s="684" t="s">
        <v>1100</v>
      </c>
      <c r="C986" s="685" t="s">
        <v>1304</v>
      </c>
      <c r="D986" s="639" t="s">
        <v>4</v>
      </c>
      <c r="E986" s="643">
        <v>25000</v>
      </c>
      <c r="F986" s="639"/>
      <c r="G986" s="639"/>
      <c r="H986" s="639"/>
      <c r="I986" s="639"/>
      <c r="J986" s="639"/>
      <c r="K986" s="641"/>
      <c r="L986" s="645">
        <v>20.73</v>
      </c>
      <c r="M986" s="682">
        <f t="shared" si="72"/>
        <v>518250</v>
      </c>
      <c r="N986" s="639"/>
      <c r="O986" s="639"/>
    </row>
    <row r="987" spans="1:15">
      <c r="A987" s="659"/>
      <c r="B987" s="686"/>
      <c r="C987" s="674" t="s">
        <v>1305</v>
      </c>
      <c r="D987" s="659" t="s">
        <v>208</v>
      </c>
      <c r="E987" s="659">
        <v>293.82</v>
      </c>
      <c r="F987" s="659">
        <f>30-20-10</f>
        <v>0</v>
      </c>
      <c r="G987" s="639">
        <f t="shared" ref="G987:G993" si="73">E987*F987</f>
        <v>0</v>
      </c>
      <c r="H987" s="659"/>
      <c r="I987" s="659"/>
      <c r="J987" s="659"/>
      <c r="K987" s="659"/>
      <c r="L987" s="659"/>
      <c r="M987" s="659"/>
      <c r="N987" s="659"/>
      <c r="O987" s="659"/>
    </row>
    <row r="988" spans="1:15">
      <c r="A988" s="659">
        <v>375</v>
      </c>
      <c r="B988" s="686" t="s">
        <v>1306</v>
      </c>
      <c r="C988" s="674" t="s">
        <v>1307</v>
      </c>
      <c r="D988" s="659" t="s">
        <v>208</v>
      </c>
      <c r="E988" s="659">
        <v>293.82</v>
      </c>
      <c r="F988" s="659">
        <f>30-20-10</f>
        <v>0</v>
      </c>
      <c r="G988" s="639">
        <f t="shared" si="73"/>
        <v>0</v>
      </c>
      <c r="H988" s="659"/>
      <c r="I988" s="659"/>
      <c r="J988" s="659"/>
      <c r="K988" s="659"/>
      <c r="L988" s="659"/>
      <c r="M988" s="659"/>
      <c r="N988" s="659"/>
      <c r="O988" s="659"/>
    </row>
    <row r="989" spans="1:15">
      <c r="A989" s="687"/>
      <c r="B989" s="688"/>
      <c r="C989" s="689" t="s">
        <v>1308</v>
      </c>
      <c r="D989" s="659" t="s">
        <v>208</v>
      </c>
      <c r="E989" s="659">
        <v>293.82</v>
      </c>
      <c r="F989" s="659">
        <f>20-15-5</f>
        <v>0</v>
      </c>
      <c r="G989" s="639">
        <f t="shared" si="73"/>
        <v>0</v>
      </c>
      <c r="H989" s="659"/>
      <c r="I989" s="659"/>
      <c r="J989" s="659"/>
      <c r="K989" s="663"/>
      <c r="L989" s="663"/>
      <c r="M989" s="663"/>
      <c r="N989" s="659"/>
      <c r="O989" s="659"/>
    </row>
    <row r="990" spans="1:15">
      <c r="A990" s="687">
        <v>385</v>
      </c>
      <c r="B990" s="688" t="s">
        <v>1309</v>
      </c>
      <c r="C990" s="690" t="s">
        <v>1310</v>
      </c>
      <c r="D990" s="659" t="s">
        <v>208</v>
      </c>
      <c r="E990" s="659">
        <v>293.82</v>
      </c>
      <c r="F990" s="659">
        <f>20-15-5</f>
        <v>0</v>
      </c>
      <c r="G990" s="639">
        <f t="shared" si="73"/>
        <v>0</v>
      </c>
      <c r="H990" s="659"/>
      <c r="I990" s="659"/>
      <c r="J990" s="659"/>
      <c r="K990" s="663"/>
      <c r="L990" s="663"/>
      <c r="M990" s="663"/>
      <c r="N990" s="659"/>
      <c r="O990" s="659"/>
    </row>
    <row r="991" spans="1:15" ht="31.5">
      <c r="A991" s="659">
        <v>424</v>
      </c>
      <c r="B991" s="673" t="s">
        <v>273</v>
      </c>
      <c r="C991" s="665" t="s">
        <v>1311</v>
      </c>
      <c r="D991" s="639" t="s">
        <v>40</v>
      </c>
      <c r="E991" s="643">
        <v>10</v>
      </c>
      <c r="F991" s="639">
        <f>615-300</f>
        <v>315</v>
      </c>
      <c r="G991" s="639">
        <f t="shared" si="73"/>
        <v>3150</v>
      </c>
      <c r="H991" s="639"/>
      <c r="I991" s="639"/>
      <c r="J991" s="639"/>
      <c r="K991" s="641"/>
      <c r="L991" s="641"/>
      <c r="M991" s="641"/>
      <c r="N991" s="639"/>
      <c r="O991" s="639"/>
    </row>
    <row r="992" spans="1:15">
      <c r="A992" s="659">
        <v>426</v>
      </c>
      <c r="B992" s="673" t="s">
        <v>1312</v>
      </c>
      <c r="C992" s="674" t="s">
        <v>1313</v>
      </c>
      <c r="D992" s="639" t="s">
        <v>40</v>
      </c>
      <c r="E992" s="643">
        <v>10</v>
      </c>
      <c r="F992" s="639">
        <f>650-300</f>
        <v>350</v>
      </c>
      <c r="G992" s="639">
        <f t="shared" si="73"/>
        <v>3500</v>
      </c>
      <c r="H992" s="639"/>
      <c r="I992" s="639"/>
      <c r="J992" s="639"/>
      <c r="K992" s="641"/>
      <c r="L992" s="641"/>
      <c r="M992" s="641"/>
      <c r="N992" s="639"/>
      <c r="O992" s="639"/>
    </row>
    <row r="993" spans="1:15">
      <c r="A993" s="659">
        <v>581</v>
      </c>
      <c r="B993" s="686" t="s">
        <v>1314</v>
      </c>
      <c r="C993" s="674" t="s">
        <v>1315</v>
      </c>
      <c r="D993" s="639" t="s">
        <v>37</v>
      </c>
      <c r="E993" s="643">
        <v>0</v>
      </c>
      <c r="F993" s="639">
        <v>0</v>
      </c>
      <c r="G993" s="639">
        <f t="shared" si="73"/>
        <v>0</v>
      </c>
      <c r="H993" s="639"/>
      <c r="I993" s="639"/>
      <c r="J993" s="639"/>
      <c r="K993" s="641"/>
      <c r="L993" s="641"/>
      <c r="M993" s="641"/>
      <c r="N993" s="639"/>
      <c r="O993" s="639"/>
    </row>
    <row r="994" spans="1:15">
      <c r="A994" s="659"/>
      <c r="B994" s="673"/>
      <c r="C994" s="674" t="s">
        <v>1316</v>
      </c>
      <c r="D994" s="639" t="s">
        <v>4</v>
      </c>
      <c r="E994" s="643">
        <v>10000</v>
      </c>
      <c r="F994" s="639"/>
      <c r="G994" s="639"/>
      <c r="H994" s="639"/>
      <c r="I994" s="639"/>
      <c r="J994" s="639"/>
      <c r="K994" s="639"/>
      <c r="L994" s="639">
        <v>1.6</v>
      </c>
      <c r="M994" s="682">
        <f>E994*L994</f>
        <v>16000</v>
      </c>
      <c r="N994" s="639"/>
      <c r="O994" s="639"/>
    </row>
    <row r="995" spans="1:15">
      <c r="A995" s="659"/>
      <c r="B995" s="653"/>
      <c r="C995" s="674"/>
      <c r="D995" s="639"/>
      <c r="E995" s="643"/>
      <c r="F995" s="639"/>
      <c r="G995" s="639"/>
      <c r="H995" s="639"/>
      <c r="I995" s="639"/>
      <c r="J995" s="639"/>
      <c r="K995" s="639"/>
      <c r="L995" s="639"/>
      <c r="M995" s="639"/>
      <c r="N995" s="639"/>
      <c r="O995" s="639"/>
    </row>
    <row r="996" spans="1:15" ht="49.5">
      <c r="A996" s="691">
        <v>1</v>
      </c>
      <c r="B996" s="692" t="s">
        <v>1317</v>
      </c>
      <c r="C996" s="693" t="s">
        <v>1318</v>
      </c>
      <c r="D996" s="694" t="s">
        <v>208</v>
      </c>
      <c r="E996" s="643">
        <v>765.82</v>
      </c>
      <c r="F996" s="691">
        <f>12-10-2</f>
        <v>0</v>
      </c>
      <c r="G996" s="695">
        <f t="shared" ref="G996:G998" si="74">E996*F996</f>
        <v>0</v>
      </c>
      <c r="H996" s="696"/>
      <c r="I996" s="696"/>
      <c r="J996" s="696"/>
      <c r="K996" s="696"/>
      <c r="L996" s="696"/>
      <c r="M996" s="696"/>
      <c r="N996" s="696"/>
      <c r="O996" s="696"/>
    </row>
    <row r="997" spans="1:15" ht="49.5">
      <c r="A997" s="691">
        <v>3</v>
      </c>
      <c r="B997" s="692" t="s">
        <v>1319</v>
      </c>
      <c r="C997" s="693" t="s">
        <v>1320</v>
      </c>
      <c r="D997" s="694" t="s">
        <v>40</v>
      </c>
      <c r="E997" s="643">
        <v>824.82</v>
      </c>
      <c r="F997" s="691">
        <f>14-10-2</f>
        <v>2</v>
      </c>
      <c r="G997" s="695">
        <f t="shared" si="74"/>
        <v>1649.64</v>
      </c>
      <c r="H997" s="696"/>
      <c r="I997" s="696"/>
      <c r="J997" s="696"/>
      <c r="K997" s="696"/>
      <c r="L997" s="696"/>
      <c r="M997" s="696"/>
      <c r="N997" s="696"/>
      <c r="O997" s="696"/>
    </row>
    <row r="998" spans="1:15" ht="33">
      <c r="A998" s="691">
        <v>7</v>
      </c>
      <c r="B998" s="697" t="s">
        <v>1321</v>
      </c>
      <c r="C998" s="693" t="s">
        <v>1322</v>
      </c>
      <c r="D998" s="694" t="s">
        <v>208</v>
      </c>
      <c r="E998" s="643">
        <v>2122.8200000000002</v>
      </c>
      <c r="F998" s="691">
        <f>4-4</f>
        <v>0</v>
      </c>
      <c r="G998" s="695">
        <f t="shared" si="74"/>
        <v>0</v>
      </c>
      <c r="H998" s="696"/>
      <c r="I998" s="696"/>
      <c r="J998" s="696"/>
      <c r="K998" s="696"/>
      <c r="L998" s="696"/>
      <c r="M998" s="696"/>
      <c r="N998" s="696"/>
      <c r="O998" s="696"/>
    </row>
    <row r="999" spans="1:15">
      <c r="A999" s="659"/>
      <c r="B999" s="698"/>
      <c r="C999" s="665"/>
      <c r="D999" s="699"/>
      <c r="E999" s="643"/>
      <c r="F999" s="215"/>
      <c r="G999" s="215"/>
      <c r="H999" s="215"/>
      <c r="I999" s="215"/>
      <c r="J999" s="215"/>
      <c r="K999" s="215"/>
      <c r="L999" s="215"/>
      <c r="M999" s="215"/>
      <c r="N999" s="215"/>
      <c r="O999" s="215"/>
    </row>
    <row r="1000" spans="1:15" ht="31.5">
      <c r="A1000" s="639"/>
      <c r="B1000" s="700"/>
      <c r="C1000" s="701" t="s">
        <v>1323</v>
      </c>
      <c r="D1000" s="639" t="s">
        <v>40</v>
      </c>
      <c r="E1000" s="643">
        <v>70210</v>
      </c>
      <c r="F1000" s="639">
        <v>1</v>
      </c>
      <c r="G1000" s="639">
        <f t="shared" ref="G1000:G1002" si="75">E1000*F1000</f>
        <v>70210</v>
      </c>
      <c r="H1000" s="639"/>
      <c r="I1000" s="639"/>
      <c r="J1000" s="639"/>
      <c r="K1000" s="639"/>
      <c r="L1000" s="639"/>
      <c r="M1000" s="639"/>
      <c r="N1000" s="639"/>
      <c r="O1000" s="639"/>
    </row>
    <row r="1001" spans="1:15" ht="31.5">
      <c r="A1001" s="639"/>
      <c r="B1001" s="700"/>
      <c r="C1001" s="701" t="s">
        <v>1324</v>
      </c>
      <c r="D1001" s="639" t="s">
        <v>40</v>
      </c>
      <c r="E1001" s="643">
        <v>82364</v>
      </c>
      <c r="F1001" s="639">
        <v>2</v>
      </c>
      <c r="G1001" s="639">
        <f t="shared" si="75"/>
        <v>164728</v>
      </c>
      <c r="H1001" s="639"/>
      <c r="I1001" s="639"/>
      <c r="J1001" s="639"/>
      <c r="K1001" s="639"/>
      <c r="L1001" s="639"/>
      <c r="M1001" s="639"/>
      <c r="N1001" s="639"/>
      <c r="O1001" s="639"/>
    </row>
    <row r="1002" spans="1:15" ht="31.5">
      <c r="A1002" s="639"/>
      <c r="B1002" s="700"/>
      <c r="C1002" s="701" t="s">
        <v>1324</v>
      </c>
      <c r="D1002" s="639" t="s">
        <v>40</v>
      </c>
      <c r="E1002" s="643">
        <v>47200</v>
      </c>
      <c r="F1002" s="639">
        <f>4-1-1-1</f>
        <v>1</v>
      </c>
      <c r="G1002" s="639">
        <f t="shared" si="75"/>
        <v>47200</v>
      </c>
      <c r="H1002" s="639"/>
      <c r="I1002" s="639"/>
      <c r="J1002" s="639"/>
      <c r="K1002" s="641"/>
      <c r="L1002" s="641"/>
      <c r="M1002" s="641"/>
      <c r="N1002" s="639"/>
      <c r="O1002" s="639"/>
    </row>
    <row r="1003" spans="1:15" ht="31.5">
      <c r="A1003" s="639"/>
      <c r="B1003" s="702" t="s">
        <v>1325</v>
      </c>
      <c r="C1003" s="701" t="s">
        <v>1326</v>
      </c>
      <c r="D1003" s="639" t="s">
        <v>40</v>
      </c>
      <c r="E1003" s="643">
        <v>5000</v>
      </c>
      <c r="F1003" s="639"/>
      <c r="G1003" s="639"/>
      <c r="H1003" s="639"/>
      <c r="I1003" s="639"/>
      <c r="J1003" s="639"/>
      <c r="K1003" s="641"/>
      <c r="L1003" s="641">
        <v>1</v>
      </c>
      <c r="M1003" s="682">
        <f>E1003*L1003</f>
        <v>5000</v>
      </c>
      <c r="N1003" s="639"/>
      <c r="O1003" s="639"/>
    </row>
    <row r="1004" spans="1:15" ht="47.25">
      <c r="A1004" s="639">
        <v>10</v>
      </c>
      <c r="B1004" s="702" t="s">
        <v>1327</v>
      </c>
      <c r="C1004" s="701" t="s">
        <v>1328</v>
      </c>
      <c r="D1004" s="639" t="s">
        <v>37</v>
      </c>
      <c r="E1004" s="643">
        <v>101598</v>
      </c>
      <c r="F1004" s="639">
        <f>2-1</f>
        <v>1</v>
      </c>
      <c r="G1004" s="639">
        <f t="shared" ref="G1004:G1019" si="76">E1004*F1004</f>
        <v>101598</v>
      </c>
      <c r="H1004" s="639"/>
      <c r="I1004" s="639"/>
      <c r="J1004" s="639"/>
      <c r="K1004" s="641"/>
      <c r="L1004" s="641"/>
      <c r="M1004" s="641"/>
      <c r="N1004" s="639"/>
      <c r="O1004" s="639"/>
    </row>
    <row r="1005" spans="1:15" ht="31.5">
      <c r="A1005" s="639">
        <v>63</v>
      </c>
      <c r="B1005" s="702" t="s">
        <v>626</v>
      </c>
      <c r="C1005" s="701" t="s">
        <v>1329</v>
      </c>
      <c r="D1005" s="639" t="s">
        <v>40</v>
      </c>
      <c r="E1005" s="643">
        <v>8501</v>
      </c>
      <c r="F1005" s="639">
        <v>1</v>
      </c>
      <c r="G1005" s="639">
        <f t="shared" si="76"/>
        <v>8501</v>
      </c>
      <c r="H1005" s="639"/>
      <c r="I1005" s="639"/>
      <c r="J1005" s="639"/>
      <c r="K1005" s="641"/>
      <c r="L1005" s="641"/>
      <c r="M1005" s="641"/>
      <c r="N1005" s="639"/>
      <c r="O1005" s="639"/>
    </row>
    <row r="1006" spans="1:15" ht="31.5">
      <c r="A1006" s="639">
        <v>64</v>
      </c>
      <c r="B1006" s="702" t="s">
        <v>628</v>
      </c>
      <c r="C1006" s="701" t="s">
        <v>1330</v>
      </c>
      <c r="D1006" s="639" t="s">
        <v>40</v>
      </c>
      <c r="E1006" s="643">
        <v>8513</v>
      </c>
      <c r="F1006" s="639">
        <v>1</v>
      </c>
      <c r="G1006" s="639">
        <f t="shared" si="76"/>
        <v>8513</v>
      </c>
      <c r="H1006" s="639"/>
      <c r="I1006" s="639"/>
      <c r="J1006" s="639"/>
      <c r="K1006" s="641"/>
      <c r="L1006" s="641"/>
      <c r="M1006" s="641"/>
      <c r="N1006" s="639"/>
      <c r="O1006" s="639"/>
    </row>
    <row r="1007" spans="1:15" ht="31.5">
      <c r="A1007" s="646">
        <v>81</v>
      </c>
      <c r="B1007" s="703" t="s">
        <v>1331</v>
      </c>
      <c r="C1007" s="704" t="s">
        <v>1332</v>
      </c>
      <c r="D1007" s="639" t="s">
        <v>40</v>
      </c>
      <c r="E1007" s="643">
        <v>5422.1</v>
      </c>
      <c r="F1007" s="639">
        <f>16-11-1-1-1-2</f>
        <v>0</v>
      </c>
      <c r="G1007" s="639">
        <f t="shared" si="76"/>
        <v>0</v>
      </c>
      <c r="H1007" s="639"/>
      <c r="I1007" s="639"/>
      <c r="J1007" s="639"/>
      <c r="K1007" s="641"/>
      <c r="L1007" s="641"/>
      <c r="M1007" s="641"/>
      <c r="N1007" s="639"/>
      <c r="O1007" s="639"/>
    </row>
    <row r="1008" spans="1:15" ht="31.5">
      <c r="A1008" s="646">
        <v>90</v>
      </c>
      <c r="B1008" s="703" t="s">
        <v>672</v>
      </c>
      <c r="C1008" s="704" t="s">
        <v>1333</v>
      </c>
      <c r="D1008" s="639" t="s">
        <v>40</v>
      </c>
      <c r="E1008" s="643">
        <v>7074.1</v>
      </c>
      <c r="F1008" s="639">
        <f>7-5-1-1</f>
        <v>0</v>
      </c>
      <c r="G1008" s="639">
        <f t="shared" si="76"/>
        <v>0</v>
      </c>
      <c r="H1008" s="639"/>
      <c r="I1008" s="639"/>
      <c r="J1008" s="639"/>
      <c r="K1008" s="641"/>
      <c r="L1008" s="641"/>
      <c r="M1008" s="641"/>
      <c r="N1008" s="639"/>
      <c r="O1008" s="639"/>
    </row>
    <row r="1009" spans="1:15" ht="47.25">
      <c r="A1009" s="639">
        <v>101</v>
      </c>
      <c r="B1009" s="702" t="s">
        <v>1334</v>
      </c>
      <c r="C1009" s="705" t="s">
        <v>1335</v>
      </c>
      <c r="D1009" s="639" t="s">
        <v>40</v>
      </c>
      <c r="E1009" s="643">
        <v>3528.2</v>
      </c>
      <c r="F1009" s="639">
        <f>6-4-2</f>
        <v>0</v>
      </c>
      <c r="G1009" s="639">
        <f t="shared" si="76"/>
        <v>0</v>
      </c>
      <c r="H1009" s="639"/>
      <c r="I1009" s="639"/>
      <c r="J1009" s="639"/>
      <c r="K1009" s="641"/>
      <c r="L1009" s="641"/>
      <c r="M1009" s="641"/>
      <c r="N1009" s="639"/>
      <c r="O1009" s="639"/>
    </row>
    <row r="1010" spans="1:15" ht="47.25">
      <c r="A1010" s="639">
        <v>102</v>
      </c>
      <c r="B1010" s="702" t="s">
        <v>1336</v>
      </c>
      <c r="C1010" s="705" t="s">
        <v>1337</v>
      </c>
      <c r="D1010" s="639" t="s">
        <v>40</v>
      </c>
      <c r="E1010" s="643">
        <v>2904</v>
      </c>
      <c r="F1010" s="639">
        <v>10</v>
      </c>
      <c r="G1010" s="639">
        <f t="shared" si="76"/>
        <v>29040</v>
      </c>
      <c r="H1010" s="639"/>
      <c r="I1010" s="639"/>
      <c r="J1010" s="639"/>
      <c r="K1010" s="641"/>
      <c r="L1010" s="641"/>
      <c r="M1010" s="641"/>
      <c r="N1010" s="639"/>
      <c r="O1010" s="639"/>
    </row>
    <row r="1011" spans="1:15" ht="31.5">
      <c r="A1011" s="646">
        <v>106</v>
      </c>
      <c r="B1011" s="703" t="s">
        <v>1338</v>
      </c>
      <c r="C1011" s="704" t="s">
        <v>1339</v>
      </c>
      <c r="D1011" s="639" t="s">
        <v>40</v>
      </c>
      <c r="E1011" s="643">
        <v>2938.2</v>
      </c>
      <c r="F1011" s="639">
        <f>17-8-9</f>
        <v>0</v>
      </c>
      <c r="G1011" s="639">
        <f t="shared" si="76"/>
        <v>0</v>
      </c>
      <c r="H1011" s="639"/>
      <c r="I1011" s="639"/>
      <c r="J1011" s="639"/>
      <c r="K1011" s="641"/>
      <c r="L1011" s="641"/>
      <c r="M1011" s="641"/>
      <c r="N1011" s="639"/>
      <c r="O1011" s="639"/>
    </row>
    <row r="1012" spans="1:15" ht="31.5">
      <c r="A1012" s="706">
        <v>107</v>
      </c>
      <c r="B1012" s="707" t="s">
        <v>1340</v>
      </c>
      <c r="C1012" s="708" t="s">
        <v>1341</v>
      </c>
      <c r="D1012" s="639" t="s">
        <v>40</v>
      </c>
      <c r="E1012" s="643">
        <v>1144.5999999999999</v>
      </c>
      <c r="F1012" s="639">
        <f>50-38-2-1-2-1-1-5</f>
        <v>0</v>
      </c>
      <c r="G1012" s="639">
        <f t="shared" si="76"/>
        <v>0</v>
      </c>
      <c r="H1012" s="639"/>
      <c r="I1012" s="639"/>
      <c r="J1012" s="639"/>
      <c r="K1012" s="641"/>
      <c r="L1012" s="641"/>
      <c r="M1012" s="641"/>
      <c r="N1012" s="639"/>
      <c r="O1012" s="639"/>
    </row>
    <row r="1013" spans="1:15" ht="47.25">
      <c r="A1013" s="709"/>
      <c r="B1013" s="702" t="s">
        <v>626</v>
      </c>
      <c r="C1013" s="701" t="s">
        <v>1342</v>
      </c>
      <c r="D1013" s="639" t="s">
        <v>40</v>
      </c>
      <c r="E1013" s="643">
        <v>29323</v>
      </c>
      <c r="F1013" s="639">
        <v>2</v>
      </c>
      <c r="G1013" s="639">
        <f t="shared" si="76"/>
        <v>58646</v>
      </c>
      <c r="H1013" s="639"/>
      <c r="I1013" s="639"/>
      <c r="J1013" s="639"/>
      <c r="K1013" s="641"/>
      <c r="L1013" s="641"/>
      <c r="M1013" s="641"/>
      <c r="N1013" s="639"/>
      <c r="O1013" s="639"/>
    </row>
    <row r="1014" spans="1:15" ht="47.25">
      <c r="A1014" s="709"/>
      <c r="B1014" s="702" t="s">
        <v>628</v>
      </c>
      <c r="C1014" s="701" t="s">
        <v>1343</v>
      </c>
      <c r="D1014" s="639" t="s">
        <v>40</v>
      </c>
      <c r="E1014" s="643">
        <v>29323</v>
      </c>
      <c r="F1014" s="639">
        <v>2</v>
      </c>
      <c r="G1014" s="639">
        <f t="shared" si="76"/>
        <v>58646</v>
      </c>
      <c r="H1014" s="639"/>
      <c r="I1014" s="639"/>
      <c r="J1014" s="639"/>
      <c r="K1014" s="641"/>
      <c r="L1014" s="641"/>
      <c r="M1014" s="641"/>
      <c r="N1014" s="639"/>
      <c r="O1014" s="639"/>
    </row>
    <row r="1015" spans="1:15" ht="31.5">
      <c r="A1015" s="709"/>
      <c r="B1015" s="710"/>
      <c r="C1015" s="701" t="s">
        <v>1344</v>
      </c>
      <c r="D1015" s="639" t="s">
        <v>40</v>
      </c>
      <c r="E1015" s="639">
        <v>2938.2</v>
      </c>
      <c r="F1015" s="639">
        <f>12-10</f>
        <v>2</v>
      </c>
      <c r="G1015" s="639">
        <f t="shared" si="76"/>
        <v>5876.4</v>
      </c>
      <c r="H1015" s="639"/>
      <c r="I1015" s="639"/>
      <c r="J1015" s="639"/>
      <c r="K1015" s="641"/>
      <c r="L1015" s="641"/>
      <c r="M1015" s="641"/>
      <c r="N1015" s="639"/>
      <c r="O1015" s="639"/>
    </row>
    <row r="1016" spans="1:15" ht="31.5">
      <c r="A1016" s="709"/>
      <c r="B1016" s="710"/>
      <c r="C1016" s="701" t="s">
        <v>1345</v>
      </c>
      <c r="D1016" s="639" t="s">
        <v>40</v>
      </c>
      <c r="E1016" s="662">
        <v>2478</v>
      </c>
      <c r="F1016" s="639">
        <f>12-8-4</f>
        <v>0</v>
      </c>
      <c r="G1016" s="639">
        <f t="shared" si="76"/>
        <v>0</v>
      </c>
      <c r="H1016" s="639"/>
      <c r="I1016" s="639"/>
      <c r="J1016" s="639"/>
      <c r="K1016" s="641"/>
      <c r="L1016" s="641"/>
      <c r="M1016" s="641"/>
      <c r="N1016" s="639"/>
      <c r="O1016" s="639"/>
    </row>
    <row r="1017" spans="1:15" ht="31.5">
      <c r="A1017" s="709"/>
      <c r="B1017" s="710"/>
      <c r="C1017" s="705" t="s">
        <v>1346</v>
      </c>
      <c r="D1017" s="639" t="s">
        <v>40</v>
      </c>
      <c r="E1017" s="711">
        <v>11204.1</v>
      </c>
      <c r="F1017" s="215">
        <f>4-3</f>
        <v>1</v>
      </c>
      <c r="G1017" s="639">
        <f t="shared" si="76"/>
        <v>11204.1</v>
      </c>
      <c r="H1017" s="712"/>
      <c r="I1017" s="712"/>
      <c r="J1017" s="712"/>
      <c r="K1017" s="713"/>
      <c r="L1017" s="713"/>
      <c r="M1017" s="713"/>
      <c r="N1017" s="712"/>
      <c r="O1017" s="712"/>
    </row>
    <row r="1018" spans="1:15" ht="31.5">
      <c r="A1018" s="709"/>
      <c r="B1018" s="710"/>
      <c r="C1018" s="701" t="s">
        <v>1347</v>
      </c>
      <c r="D1018" s="639" t="s">
        <v>40</v>
      </c>
      <c r="E1018" s="711">
        <v>9434.1</v>
      </c>
      <c r="F1018" s="215">
        <f>6-4-2</f>
        <v>0</v>
      </c>
      <c r="G1018" s="639">
        <f t="shared" si="76"/>
        <v>0</v>
      </c>
      <c r="H1018" s="712"/>
      <c r="I1018" s="712"/>
      <c r="J1018" s="712"/>
      <c r="K1018" s="713"/>
      <c r="L1018" s="713"/>
      <c r="M1018" s="713"/>
      <c r="N1018" s="712"/>
      <c r="O1018" s="712"/>
    </row>
    <row r="1019" spans="1:15" ht="31.5">
      <c r="A1019" s="709"/>
      <c r="B1019" s="710"/>
      <c r="C1019" s="701" t="s">
        <v>1348</v>
      </c>
      <c r="D1019" s="639" t="s">
        <v>40</v>
      </c>
      <c r="E1019" s="711">
        <v>0</v>
      </c>
      <c r="F1019" s="215">
        <v>0</v>
      </c>
      <c r="G1019" s="639">
        <f t="shared" si="76"/>
        <v>0</v>
      </c>
      <c r="H1019" s="712"/>
      <c r="I1019" s="712"/>
      <c r="J1019" s="712"/>
      <c r="K1019" s="712"/>
      <c r="L1019" s="712"/>
      <c r="M1019" s="712"/>
      <c r="N1019" s="712"/>
      <c r="O1019" s="712"/>
    </row>
    <row r="1020" spans="1:15" ht="47.25">
      <c r="A1020" s="709"/>
      <c r="B1020" s="710"/>
      <c r="C1020" s="701" t="s">
        <v>1349</v>
      </c>
      <c r="D1020" s="639" t="s">
        <v>208</v>
      </c>
      <c r="E1020" s="711">
        <v>50</v>
      </c>
      <c r="F1020" s="215"/>
      <c r="G1020" s="639"/>
      <c r="H1020" s="712"/>
      <c r="I1020" s="712"/>
      <c r="J1020" s="712"/>
      <c r="K1020" s="713"/>
      <c r="L1020" s="713">
        <f>80+5</f>
        <v>85</v>
      </c>
      <c r="M1020" s="682">
        <f t="shared" ref="M1020:M1023" si="77">E1020*L1020</f>
        <v>4250</v>
      </c>
      <c r="N1020" s="712"/>
      <c r="O1020" s="712"/>
    </row>
    <row r="1021" spans="1:15" ht="31.5">
      <c r="A1021" s="709"/>
      <c r="B1021" s="710"/>
      <c r="C1021" s="701" t="s">
        <v>1350</v>
      </c>
      <c r="D1021" s="639" t="s">
        <v>208</v>
      </c>
      <c r="E1021" s="711">
        <v>50</v>
      </c>
      <c r="F1021" s="215"/>
      <c r="G1021" s="639"/>
      <c r="H1021" s="712"/>
      <c r="I1021" s="712"/>
      <c r="J1021" s="712"/>
      <c r="K1021" s="713"/>
      <c r="L1021" s="713">
        <v>70</v>
      </c>
      <c r="M1021" s="682">
        <f t="shared" si="77"/>
        <v>3500</v>
      </c>
      <c r="N1021" s="712"/>
      <c r="O1021" s="712"/>
    </row>
    <row r="1022" spans="1:15" ht="31.5">
      <c r="A1022" s="709"/>
      <c r="B1022" s="710"/>
      <c r="C1022" s="701" t="s">
        <v>1351</v>
      </c>
      <c r="D1022" s="639" t="s">
        <v>208</v>
      </c>
      <c r="E1022" s="711">
        <v>200</v>
      </c>
      <c r="F1022" s="215"/>
      <c r="G1022" s="639"/>
      <c r="H1022" s="712"/>
      <c r="I1022" s="712"/>
      <c r="J1022" s="712"/>
      <c r="K1022" s="713"/>
      <c r="L1022" s="713">
        <f>22+115</f>
        <v>137</v>
      </c>
      <c r="M1022" s="682">
        <f t="shared" si="77"/>
        <v>27400</v>
      </c>
      <c r="N1022" s="712"/>
      <c r="O1022" s="712"/>
    </row>
    <row r="1023" spans="1:15" ht="31.5">
      <c r="A1023" s="709"/>
      <c r="B1023" s="710"/>
      <c r="C1023" s="701" t="s">
        <v>1352</v>
      </c>
      <c r="D1023" s="639" t="s">
        <v>208</v>
      </c>
      <c r="E1023" s="711">
        <v>200</v>
      </c>
      <c r="F1023" s="215"/>
      <c r="G1023" s="639"/>
      <c r="H1023" s="712"/>
      <c r="I1023" s="712"/>
      <c r="J1023" s="712"/>
      <c r="K1023" s="713"/>
      <c r="L1023" s="713">
        <v>18</v>
      </c>
      <c r="M1023" s="682">
        <f t="shared" si="77"/>
        <v>3600</v>
      </c>
      <c r="N1023" s="712"/>
      <c r="O1023" s="712"/>
    </row>
    <row r="1024" spans="1:15">
      <c r="A1024" s="709"/>
      <c r="B1024" s="714"/>
      <c r="C1024" s="701"/>
      <c r="D1024" s="639"/>
      <c r="E1024" s="711"/>
      <c r="F1024" s="215"/>
      <c r="G1024" s="215"/>
      <c r="H1024" s="712"/>
      <c r="I1024" s="712"/>
      <c r="J1024" s="712"/>
      <c r="K1024" s="713"/>
      <c r="L1024" s="713"/>
      <c r="M1024" s="713"/>
      <c r="N1024" s="712"/>
      <c r="O1024" s="712"/>
    </row>
    <row r="1025" spans="1:15" ht="31.5">
      <c r="A1025" s="639">
        <v>1</v>
      </c>
      <c r="B1025" s="715" t="s">
        <v>175</v>
      </c>
      <c r="C1025" s="701" t="s">
        <v>1353</v>
      </c>
      <c r="D1025" s="639" t="s">
        <v>40</v>
      </c>
      <c r="E1025" s="643">
        <v>250</v>
      </c>
      <c r="F1025" s="639">
        <v>15</v>
      </c>
      <c r="G1025" s="639">
        <f t="shared" ref="G1025:G1028" si="78">E1025*F1025</f>
        <v>3750</v>
      </c>
      <c r="H1025" s="639"/>
      <c r="I1025" s="639"/>
      <c r="J1025" s="639"/>
      <c r="K1025" s="641"/>
      <c r="L1025" s="641"/>
      <c r="M1025" s="641"/>
      <c r="N1025" s="639"/>
      <c r="O1025" s="639"/>
    </row>
    <row r="1026" spans="1:15" ht="31.5">
      <c r="A1026" s="639">
        <v>3</v>
      </c>
      <c r="B1026" s="715" t="s">
        <v>495</v>
      </c>
      <c r="C1026" s="701" t="s">
        <v>1354</v>
      </c>
      <c r="D1026" s="639" t="s">
        <v>40</v>
      </c>
      <c r="E1026" s="643">
        <v>120</v>
      </c>
      <c r="F1026" s="639">
        <f>1060-152-9-350-12</f>
        <v>537</v>
      </c>
      <c r="G1026" s="639">
        <f t="shared" si="78"/>
        <v>64440</v>
      </c>
      <c r="H1026" s="639"/>
      <c r="I1026" s="639"/>
      <c r="J1026" s="639"/>
      <c r="K1026" s="641"/>
      <c r="L1026" s="641"/>
      <c r="M1026" s="641"/>
      <c r="N1026" s="639"/>
      <c r="O1026" s="639"/>
    </row>
    <row r="1027" spans="1:15">
      <c r="A1027" s="639">
        <v>7</v>
      </c>
      <c r="B1027" s="715" t="s">
        <v>237</v>
      </c>
      <c r="C1027" s="716" t="s">
        <v>1355</v>
      </c>
      <c r="D1027" s="639" t="s">
        <v>40</v>
      </c>
      <c r="E1027" s="643">
        <v>0</v>
      </c>
      <c r="F1027" s="639">
        <v>0</v>
      </c>
      <c r="G1027" s="639">
        <f t="shared" si="78"/>
        <v>0</v>
      </c>
      <c r="H1027" s="639"/>
      <c r="I1027" s="639"/>
      <c r="J1027" s="639"/>
      <c r="K1027" s="641"/>
      <c r="L1027" s="641"/>
      <c r="M1027" s="641"/>
      <c r="N1027" s="639"/>
      <c r="O1027" s="639"/>
    </row>
    <row r="1028" spans="1:15">
      <c r="A1028" s="639"/>
      <c r="B1028" s="717"/>
      <c r="C1028" s="716"/>
      <c r="D1028" s="639" t="s">
        <v>40</v>
      </c>
      <c r="E1028" s="643">
        <v>100</v>
      </c>
      <c r="F1028" s="639">
        <f>401+38-9</f>
        <v>430</v>
      </c>
      <c r="G1028" s="639">
        <f t="shared" si="78"/>
        <v>43000</v>
      </c>
      <c r="H1028" s="639"/>
      <c r="I1028" s="639"/>
      <c r="J1028" s="639"/>
      <c r="K1028" s="641"/>
      <c r="L1028" s="641"/>
      <c r="M1028" s="641"/>
      <c r="N1028" s="639"/>
      <c r="O1028" s="639"/>
    </row>
    <row r="1029" spans="1:15" ht="31.5">
      <c r="A1029" s="639"/>
      <c r="B1029" s="715" t="s">
        <v>175</v>
      </c>
      <c r="C1029" s="705" t="s">
        <v>1356</v>
      </c>
      <c r="D1029" s="639" t="s">
        <v>40</v>
      </c>
      <c r="E1029" s="643">
        <v>10</v>
      </c>
      <c r="F1029" s="639"/>
      <c r="G1029" s="639"/>
      <c r="H1029" s="639"/>
      <c r="I1029" s="639"/>
      <c r="J1029" s="639"/>
      <c r="K1029" s="641"/>
      <c r="L1029" s="645">
        <v>832</v>
      </c>
      <c r="M1029" s="682">
        <f>E1029*L1029</f>
        <v>8320</v>
      </c>
      <c r="N1029" s="639"/>
      <c r="O1029" s="639"/>
    </row>
    <row r="1030" spans="1:15" ht="31.5">
      <c r="A1030" s="639"/>
      <c r="B1030" s="715" t="s">
        <v>495</v>
      </c>
      <c r="C1030" s="705" t="s">
        <v>1357</v>
      </c>
      <c r="D1030" s="639" t="s">
        <v>40</v>
      </c>
      <c r="E1030" s="643">
        <v>10</v>
      </c>
      <c r="F1030" s="639"/>
      <c r="G1030" s="639"/>
      <c r="H1030" s="639"/>
      <c r="I1030" s="639"/>
      <c r="J1030" s="639"/>
      <c r="K1030" s="641"/>
      <c r="L1030" s="645">
        <v>420</v>
      </c>
      <c r="M1030" s="682">
        <f>E1030*L1030</f>
        <v>4200</v>
      </c>
      <c r="N1030" s="639"/>
      <c r="O1030" s="639"/>
    </row>
    <row r="1031" spans="1:15" ht="31.5">
      <c r="A1031" s="639"/>
      <c r="B1031" s="715" t="s">
        <v>1358</v>
      </c>
      <c r="C1031" s="705" t="s">
        <v>1359</v>
      </c>
      <c r="D1031" s="639" t="s">
        <v>37</v>
      </c>
      <c r="E1031" s="643">
        <v>7316</v>
      </c>
      <c r="F1031" s="639">
        <v>4</v>
      </c>
      <c r="G1031" s="639">
        <f t="shared" ref="G1031:G1075" si="79">E1031*F1031</f>
        <v>29264</v>
      </c>
      <c r="H1031" s="639"/>
      <c r="I1031" s="639"/>
      <c r="J1031" s="639"/>
      <c r="K1031" s="641"/>
      <c r="L1031" s="641"/>
      <c r="M1031" s="641"/>
      <c r="N1031" s="639"/>
      <c r="O1031" s="639"/>
    </row>
    <row r="1032" spans="1:15" ht="31.5">
      <c r="A1032" s="659">
        <v>15</v>
      </c>
      <c r="B1032" s="715" t="s">
        <v>1360</v>
      </c>
      <c r="C1032" s="665" t="s">
        <v>1361</v>
      </c>
      <c r="D1032" s="659" t="s">
        <v>40</v>
      </c>
      <c r="E1032" s="659">
        <v>1078.25</v>
      </c>
      <c r="F1032" s="659">
        <v>4</v>
      </c>
      <c r="G1032" s="639">
        <f t="shared" si="79"/>
        <v>4313</v>
      </c>
      <c r="H1032" s="659"/>
      <c r="I1032" s="659"/>
      <c r="J1032" s="659"/>
      <c r="K1032" s="659"/>
      <c r="L1032" s="659"/>
      <c r="M1032" s="659"/>
      <c r="N1032" s="659"/>
      <c r="O1032" s="659"/>
    </row>
    <row r="1033" spans="1:15" ht="31.5">
      <c r="A1033" s="639">
        <v>48</v>
      </c>
      <c r="B1033" s="718" t="s">
        <v>634</v>
      </c>
      <c r="C1033" s="701" t="s">
        <v>1362</v>
      </c>
      <c r="D1033" s="639" t="s">
        <v>40</v>
      </c>
      <c r="E1033" s="643">
        <v>3652.12</v>
      </c>
      <c r="F1033" s="639">
        <f>8-2-1-3-2</f>
        <v>0</v>
      </c>
      <c r="G1033" s="639">
        <f t="shared" si="79"/>
        <v>0</v>
      </c>
      <c r="H1033" s="639"/>
      <c r="I1033" s="639"/>
      <c r="J1033" s="639"/>
      <c r="K1033" s="641"/>
      <c r="L1033" s="641"/>
      <c r="M1033" s="641"/>
      <c r="N1033" s="639"/>
      <c r="O1033" s="639"/>
    </row>
    <row r="1034" spans="1:15" ht="31.5">
      <c r="A1034" s="639"/>
      <c r="B1034" s="718" t="s">
        <v>634</v>
      </c>
      <c r="C1034" s="701" t="s">
        <v>1362</v>
      </c>
      <c r="D1034" s="639" t="s">
        <v>40</v>
      </c>
      <c r="E1034" s="643">
        <v>3030.43</v>
      </c>
      <c r="F1034" s="639">
        <v>16</v>
      </c>
      <c r="G1034" s="639">
        <f t="shared" si="79"/>
        <v>48486.879999999997</v>
      </c>
      <c r="H1034" s="639"/>
      <c r="I1034" s="639"/>
      <c r="J1034" s="639"/>
      <c r="K1034" s="641"/>
      <c r="L1034" s="641"/>
      <c r="M1034" s="641"/>
      <c r="N1034" s="639"/>
      <c r="O1034" s="639"/>
    </row>
    <row r="1035" spans="1:15">
      <c r="A1035" s="719">
        <v>56</v>
      </c>
      <c r="B1035" s="720" t="s">
        <v>583</v>
      </c>
      <c r="C1035" s="721" t="s">
        <v>1363</v>
      </c>
      <c r="D1035" s="639" t="s">
        <v>40</v>
      </c>
      <c r="E1035" s="643">
        <v>2933.64</v>
      </c>
      <c r="F1035" s="639">
        <v>11</v>
      </c>
      <c r="G1035" s="639">
        <f t="shared" si="79"/>
        <v>32270.039999999997</v>
      </c>
      <c r="H1035" s="639"/>
      <c r="I1035" s="639"/>
      <c r="J1035" s="639"/>
      <c r="K1035" s="641"/>
      <c r="L1035" s="641"/>
      <c r="M1035" s="641"/>
      <c r="N1035" s="639"/>
      <c r="O1035" s="639"/>
    </row>
    <row r="1036" spans="1:15">
      <c r="A1036" s="722"/>
      <c r="B1036" s="723"/>
      <c r="C1036" s="724"/>
      <c r="D1036" s="639" t="s">
        <v>40</v>
      </c>
      <c r="E1036" s="643">
        <v>2938.2</v>
      </c>
      <c r="F1036" s="639">
        <f>10-6-4</f>
        <v>0</v>
      </c>
      <c r="G1036" s="639">
        <f t="shared" si="79"/>
        <v>0</v>
      </c>
      <c r="H1036" s="639"/>
      <c r="I1036" s="639"/>
      <c r="J1036" s="639"/>
      <c r="K1036" s="641"/>
      <c r="L1036" s="641"/>
      <c r="M1036" s="641"/>
      <c r="N1036" s="639"/>
      <c r="O1036" s="639"/>
    </row>
    <row r="1037" spans="1:15" ht="31.5">
      <c r="A1037" s="639">
        <v>57</v>
      </c>
      <c r="B1037" s="718" t="s">
        <v>560</v>
      </c>
      <c r="C1037" s="701" t="s">
        <v>1364</v>
      </c>
      <c r="D1037" s="639" t="s">
        <v>40</v>
      </c>
      <c r="E1037" s="643">
        <v>2175.5</v>
      </c>
      <c r="F1037" s="639">
        <f>34-17</f>
        <v>17</v>
      </c>
      <c r="G1037" s="639">
        <f t="shared" si="79"/>
        <v>36983.5</v>
      </c>
      <c r="H1037" s="639"/>
      <c r="I1037" s="639"/>
      <c r="J1037" s="639"/>
      <c r="K1037" s="641"/>
      <c r="L1037" s="641"/>
      <c r="M1037" s="641"/>
      <c r="N1037" s="639"/>
      <c r="O1037" s="639"/>
    </row>
    <row r="1038" spans="1:15" ht="31.5">
      <c r="A1038" s="639">
        <v>59</v>
      </c>
      <c r="B1038" s="718" t="s">
        <v>271</v>
      </c>
      <c r="C1038" s="701" t="s">
        <v>1365</v>
      </c>
      <c r="D1038" s="639" t="s">
        <v>40</v>
      </c>
      <c r="E1038" s="643">
        <v>2061</v>
      </c>
      <c r="F1038" s="639">
        <f>50-10-22</f>
        <v>18</v>
      </c>
      <c r="G1038" s="639">
        <f t="shared" si="79"/>
        <v>37098</v>
      </c>
      <c r="H1038" s="639"/>
      <c r="I1038" s="639"/>
      <c r="J1038" s="639"/>
      <c r="K1038" s="641"/>
      <c r="L1038" s="641"/>
      <c r="M1038" s="641"/>
      <c r="N1038" s="639"/>
      <c r="O1038" s="639"/>
    </row>
    <row r="1039" spans="1:15" ht="31.5">
      <c r="A1039" s="639">
        <v>67</v>
      </c>
      <c r="B1039" s="718" t="s">
        <v>1366</v>
      </c>
      <c r="C1039" s="701" t="s">
        <v>1367</v>
      </c>
      <c r="D1039" s="639" t="s">
        <v>40</v>
      </c>
      <c r="E1039" s="643">
        <v>0</v>
      </c>
      <c r="F1039" s="639">
        <v>0</v>
      </c>
      <c r="G1039" s="639">
        <f t="shared" si="79"/>
        <v>0</v>
      </c>
      <c r="H1039" s="639"/>
      <c r="I1039" s="639"/>
      <c r="J1039" s="639"/>
      <c r="K1039" s="641"/>
      <c r="L1039" s="641"/>
      <c r="M1039" s="641"/>
      <c r="N1039" s="639"/>
      <c r="O1039" s="639"/>
    </row>
    <row r="1040" spans="1:15" ht="31.5">
      <c r="A1040" s="639">
        <v>91</v>
      </c>
      <c r="B1040" s="718" t="s">
        <v>92</v>
      </c>
      <c r="C1040" s="701" t="s">
        <v>1368</v>
      </c>
      <c r="D1040" s="639" t="s">
        <v>40</v>
      </c>
      <c r="E1040" s="643">
        <v>586</v>
      </c>
      <c r="F1040" s="639">
        <v>17</v>
      </c>
      <c r="G1040" s="639">
        <f t="shared" si="79"/>
        <v>9962</v>
      </c>
      <c r="H1040" s="639"/>
      <c r="I1040" s="639"/>
      <c r="J1040" s="639"/>
      <c r="K1040" s="641"/>
      <c r="L1040" s="641"/>
      <c r="M1040" s="641"/>
      <c r="N1040" s="639"/>
      <c r="O1040" s="639"/>
    </row>
    <row r="1041" spans="1:15" ht="31.5">
      <c r="A1041" s="639">
        <v>94</v>
      </c>
      <c r="B1041" s="718" t="s">
        <v>1369</v>
      </c>
      <c r="C1041" s="701" t="s">
        <v>1370</v>
      </c>
      <c r="D1041" s="639" t="s">
        <v>40</v>
      </c>
      <c r="E1041" s="643">
        <v>473</v>
      </c>
      <c r="F1041" s="639">
        <v>62</v>
      </c>
      <c r="G1041" s="639">
        <f t="shared" si="79"/>
        <v>29326</v>
      </c>
      <c r="H1041" s="639"/>
      <c r="I1041" s="639"/>
      <c r="J1041" s="639"/>
      <c r="K1041" s="641"/>
      <c r="L1041" s="641"/>
      <c r="M1041" s="641"/>
      <c r="N1041" s="639"/>
      <c r="O1041" s="639"/>
    </row>
    <row r="1042" spans="1:15" ht="31.5">
      <c r="A1042" s="639">
        <v>130</v>
      </c>
      <c r="B1042" s="718" t="s">
        <v>1371</v>
      </c>
      <c r="C1042" s="701" t="s">
        <v>1372</v>
      </c>
      <c r="D1042" s="639" t="s">
        <v>40</v>
      </c>
      <c r="E1042" s="643">
        <v>1888</v>
      </c>
      <c r="F1042" s="639">
        <v>20</v>
      </c>
      <c r="G1042" s="639">
        <f t="shared" si="79"/>
        <v>37760</v>
      </c>
      <c r="H1042" s="712"/>
      <c r="I1042" s="712"/>
      <c r="J1042" s="639"/>
      <c r="K1042" s="641"/>
      <c r="L1042" s="641"/>
      <c r="M1042" s="641"/>
      <c r="N1042" s="639"/>
      <c r="O1042" s="639"/>
    </row>
    <row r="1043" spans="1:15">
      <c r="A1043" s="639">
        <v>132</v>
      </c>
      <c r="B1043" s="720" t="s">
        <v>1373</v>
      </c>
      <c r="C1043" s="716" t="s">
        <v>1374</v>
      </c>
      <c r="D1043" s="639" t="s">
        <v>40</v>
      </c>
      <c r="E1043" s="643">
        <v>1298</v>
      </c>
      <c r="F1043" s="639">
        <f>50-6</f>
        <v>44</v>
      </c>
      <c r="G1043" s="639">
        <f t="shared" si="79"/>
        <v>57112</v>
      </c>
      <c r="H1043" s="712"/>
      <c r="I1043" s="712"/>
      <c r="J1043" s="639"/>
      <c r="K1043" s="641"/>
      <c r="L1043" s="641"/>
      <c r="M1043" s="641"/>
      <c r="N1043" s="639"/>
      <c r="O1043" s="639"/>
    </row>
    <row r="1044" spans="1:15">
      <c r="A1044" s="639"/>
      <c r="B1044" s="725"/>
      <c r="C1044" s="716"/>
      <c r="D1044" s="639" t="s">
        <v>40</v>
      </c>
      <c r="E1044" s="643">
        <v>854</v>
      </c>
      <c r="F1044" s="639">
        <v>2</v>
      </c>
      <c r="G1044" s="639">
        <f t="shared" si="79"/>
        <v>1708</v>
      </c>
      <c r="H1044" s="712"/>
      <c r="I1044" s="712"/>
      <c r="J1044" s="639"/>
      <c r="K1044" s="641"/>
      <c r="L1044" s="641"/>
      <c r="M1044" s="641"/>
      <c r="N1044" s="639"/>
      <c r="O1044" s="639"/>
    </row>
    <row r="1045" spans="1:15">
      <c r="A1045" s="639"/>
      <c r="B1045" s="723"/>
      <c r="C1045" s="716"/>
      <c r="D1045" s="639" t="s">
        <v>40</v>
      </c>
      <c r="E1045" s="643">
        <v>1007.7</v>
      </c>
      <c r="F1045" s="639">
        <f>6-3</f>
        <v>3</v>
      </c>
      <c r="G1045" s="639">
        <f t="shared" si="79"/>
        <v>3023.1000000000004</v>
      </c>
      <c r="H1045" s="712"/>
      <c r="I1045" s="712"/>
      <c r="J1045" s="639"/>
      <c r="K1045" s="641"/>
      <c r="L1045" s="641"/>
      <c r="M1045" s="641"/>
      <c r="N1045" s="639"/>
      <c r="O1045" s="639"/>
    </row>
    <row r="1046" spans="1:15">
      <c r="A1046" s="639">
        <v>133</v>
      </c>
      <c r="B1046" s="720" t="s">
        <v>246</v>
      </c>
      <c r="C1046" s="716" t="s">
        <v>1375</v>
      </c>
      <c r="D1046" s="639" t="s">
        <v>40</v>
      </c>
      <c r="E1046" s="643">
        <v>1298</v>
      </c>
      <c r="F1046" s="639">
        <f>36-10</f>
        <v>26</v>
      </c>
      <c r="G1046" s="639">
        <f t="shared" si="79"/>
        <v>33748</v>
      </c>
      <c r="H1046" s="712"/>
      <c r="I1046" s="712"/>
      <c r="J1046" s="639"/>
      <c r="K1046" s="641"/>
      <c r="L1046" s="641"/>
      <c r="M1046" s="641"/>
      <c r="N1046" s="639"/>
      <c r="O1046" s="639"/>
    </row>
    <row r="1047" spans="1:15">
      <c r="A1047" s="639"/>
      <c r="B1047" s="723"/>
      <c r="C1047" s="716"/>
      <c r="D1047" s="639" t="s">
        <v>40</v>
      </c>
      <c r="E1047" s="643">
        <v>545</v>
      </c>
      <c r="F1047" s="639">
        <v>55</v>
      </c>
      <c r="G1047" s="639">
        <f t="shared" si="79"/>
        <v>29975</v>
      </c>
      <c r="H1047" s="712"/>
      <c r="I1047" s="712"/>
      <c r="J1047" s="639"/>
      <c r="K1047" s="641"/>
      <c r="L1047" s="641"/>
      <c r="M1047" s="641"/>
      <c r="N1047" s="639"/>
      <c r="O1047" s="639"/>
    </row>
    <row r="1048" spans="1:15" ht="31.5">
      <c r="A1048" s="639">
        <v>137</v>
      </c>
      <c r="B1048" s="718" t="s">
        <v>1376</v>
      </c>
      <c r="C1048" s="701" t="s">
        <v>1377</v>
      </c>
      <c r="D1048" s="639" t="s">
        <v>40</v>
      </c>
      <c r="E1048" s="643">
        <v>708</v>
      </c>
      <c r="F1048" s="639">
        <f>15</f>
        <v>15</v>
      </c>
      <c r="G1048" s="639">
        <f t="shared" si="79"/>
        <v>10620</v>
      </c>
      <c r="H1048" s="639"/>
      <c r="I1048" s="639"/>
      <c r="J1048" s="639"/>
      <c r="K1048" s="641"/>
      <c r="L1048" s="641"/>
      <c r="M1048" s="641"/>
      <c r="N1048" s="639"/>
      <c r="O1048" s="639"/>
    </row>
    <row r="1049" spans="1:15">
      <c r="A1049" s="639">
        <v>138</v>
      </c>
      <c r="B1049" s="720" t="s">
        <v>253</v>
      </c>
      <c r="C1049" s="721" t="s">
        <v>1378</v>
      </c>
      <c r="D1049" s="639" t="s">
        <v>40</v>
      </c>
      <c r="E1049" s="643">
        <v>531</v>
      </c>
      <c r="F1049" s="639">
        <v>15</v>
      </c>
      <c r="G1049" s="639">
        <f t="shared" si="79"/>
        <v>7965</v>
      </c>
      <c r="H1049" s="639"/>
      <c r="I1049" s="639"/>
      <c r="J1049" s="639"/>
      <c r="K1049" s="641"/>
      <c r="L1049" s="641"/>
      <c r="M1049" s="641"/>
      <c r="N1049" s="639"/>
      <c r="O1049" s="639"/>
    </row>
    <row r="1050" spans="1:15">
      <c r="A1050" s="639"/>
      <c r="B1050" s="723"/>
      <c r="C1050" s="724"/>
      <c r="D1050" s="639" t="s">
        <v>40</v>
      </c>
      <c r="E1050" s="643">
        <v>100</v>
      </c>
      <c r="F1050" s="639">
        <v>18</v>
      </c>
      <c r="G1050" s="639">
        <f t="shared" si="79"/>
        <v>1800</v>
      </c>
      <c r="H1050" s="639"/>
      <c r="I1050" s="639"/>
      <c r="J1050" s="639"/>
      <c r="K1050" s="641"/>
      <c r="L1050" s="641"/>
      <c r="M1050" s="641"/>
      <c r="N1050" s="639"/>
      <c r="O1050" s="639"/>
    </row>
    <row r="1051" spans="1:15">
      <c r="A1051" s="639">
        <v>139</v>
      </c>
      <c r="B1051" s="718" t="s">
        <v>1379</v>
      </c>
      <c r="C1051" s="701" t="s">
        <v>1380</v>
      </c>
      <c r="D1051" s="639" t="s">
        <v>40</v>
      </c>
      <c r="E1051" s="643">
        <v>1298</v>
      </c>
      <c r="F1051" s="639">
        <v>15</v>
      </c>
      <c r="G1051" s="639">
        <f t="shared" si="79"/>
        <v>19470</v>
      </c>
      <c r="H1051" s="639"/>
      <c r="I1051" s="639"/>
      <c r="J1051" s="639"/>
      <c r="K1051" s="641"/>
      <c r="L1051" s="641"/>
      <c r="M1051" s="641"/>
      <c r="N1051" s="639"/>
      <c r="O1051" s="639"/>
    </row>
    <row r="1052" spans="1:15">
      <c r="A1052" s="639">
        <v>141</v>
      </c>
      <c r="B1052" s="720" t="s">
        <v>1381</v>
      </c>
      <c r="C1052" s="716" t="s">
        <v>1382</v>
      </c>
      <c r="D1052" s="639" t="s">
        <v>40</v>
      </c>
      <c r="E1052" s="643">
        <v>1062</v>
      </c>
      <c r="F1052" s="639">
        <f>20-1</f>
        <v>19</v>
      </c>
      <c r="G1052" s="639">
        <f t="shared" si="79"/>
        <v>20178</v>
      </c>
      <c r="H1052" s="639"/>
      <c r="I1052" s="639"/>
      <c r="J1052" s="639"/>
      <c r="K1052" s="641"/>
      <c r="L1052" s="641"/>
      <c r="M1052" s="641"/>
      <c r="N1052" s="639"/>
      <c r="O1052" s="639"/>
    </row>
    <row r="1053" spans="1:15">
      <c r="A1053" s="639"/>
      <c r="B1053" s="723"/>
      <c r="C1053" s="716"/>
      <c r="D1053" s="639" t="s">
        <v>40</v>
      </c>
      <c r="E1053" s="643">
        <v>1209.26</v>
      </c>
      <c r="F1053" s="639">
        <v>6</v>
      </c>
      <c r="G1053" s="639">
        <f t="shared" si="79"/>
        <v>7255.5599999999995</v>
      </c>
      <c r="H1053" s="639"/>
      <c r="I1053" s="639"/>
      <c r="J1053" s="639"/>
      <c r="K1053" s="641"/>
      <c r="L1053" s="641"/>
      <c r="M1053" s="641"/>
      <c r="N1053" s="639"/>
      <c r="O1053" s="639"/>
    </row>
    <row r="1054" spans="1:15">
      <c r="A1054" s="639"/>
      <c r="B1054" s="718" t="s">
        <v>1381</v>
      </c>
      <c r="C1054" s="701" t="s">
        <v>1382</v>
      </c>
      <c r="D1054" s="639" t="s">
        <v>40</v>
      </c>
      <c r="E1054" s="643">
        <v>308</v>
      </c>
      <c r="F1054" s="639">
        <v>52</v>
      </c>
      <c r="G1054" s="639">
        <f t="shared" si="79"/>
        <v>16016</v>
      </c>
      <c r="H1054" s="639"/>
      <c r="I1054" s="639"/>
      <c r="J1054" s="639"/>
      <c r="K1054" s="641"/>
      <c r="L1054" s="641"/>
      <c r="M1054" s="641"/>
      <c r="N1054" s="639"/>
      <c r="O1054" s="639"/>
    </row>
    <row r="1055" spans="1:15" ht="31.5">
      <c r="A1055" s="659">
        <v>147</v>
      </c>
      <c r="B1055" s="718" t="s">
        <v>262</v>
      </c>
      <c r="C1055" s="665" t="s">
        <v>1383</v>
      </c>
      <c r="D1055" s="726" t="s">
        <v>40</v>
      </c>
      <c r="E1055" s="643">
        <v>531</v>
      </c>
      <c r="F1055" s="726">
        <v>15</v>
      </c>
      <c r="G1055" s="639">
        <f t="shared" si="79"/>
        <v>7965</v>
      </c>
      <c r="H1055" s="659"/>
      <c r="I1055" s="659"/>
      <c r="J1055" s="659"/>
      <c r="K1055" s="659"/>
      <c r="L1055" s="659"/>
      <c r="M1055" s="659"/>
      <c r="N1055" s="659"/>
      <c r="O1055" s="659"/>
    </row>
    <row r="1056" spans="1:15">
      <c r="A1056" s="659">
        <v>150</v>
      </c>
      <c r="B1056" s="718" t="s">
        <v>1384</v>
      </c>
      <c r="C1056" s="665" t="s">
        <v>1385</v>
      </c>
      <c r="D1056" s="215" t="s">
        <v>40</v>
      </c>
      <c r="E1056" s="643">
        <v>1728.7</v>
      </c>
      <c r="F1056" s="726">
        <v>10</v>
      </c>
      <c r="G1056" s="639">
        <f t="shared" si="79"/>
        <v>17287</v>
      </c>
      <c r="H1056" s="659"/>
      <c r="I1056" s="659"/>
      <c r="J1056" s="659"/>
      <c r="K1056" s="659"/>
      <c r="L1056" s="659"/>
      <c r="M1056" s="659"/>
      <c r="N1056" s="659"/>
      <c r="O1056" s="659"/>
    </row>
    <row r="1057" spans="1:15" ht="31.5">
      <c r="A1057" s="639">
        <v>151</v>
      </c>
      <c r="B1057" s="718" t="s">
        <v>251</v>
      </c>
      <c r="C1057" s="701" t="s">
        <v>1386</v>
      </c>
      <c r="D1057" s="639" t="s">
        <v>40</v>
      </c>
      <c r="E1057" s="643">
        <v>480</v>
      </c>
      <c r="F1057" s="726">
        <f>100-89-11</f>
        <v>0</v>
      </c>
      <c r="G1057" s="639">
        <f t="shared" si="79"/>
        <v>0</v>
      </c>
      <c r="H1057" s="659"/>
      <c r="I1057" s="659"/>
      <c r="J1057" s="659"/>
      <c r="K1057" s="659"/>
      <c r="L1057" s="659"/>
      <c r="M1057" s="659"/>
      <c r="N1057" s="659"/>
      <c r="O1057" s="659"/>
    </row>
    <row r="1058" spans="1:15" ht="31.5">
      <c r="A1058" s="639">
        <v>155</v>
      </c>
      <c r="B1058" s="718" t="s">
        <v>1387</v>
      </c>
      <c r="C1058" s="701" t="s">
        <v>1388</v>
      </c>
      <c r="D1058" s="639" t="s">
        <v>40</v>
      </c>
      <c r="E1058" s="643">
        <v>1298</v>
      </c>
      <c r="F1058" s="639">
        <v>30</v>
      </c>
      <c r="G1058" s="639">
        <f t="shared" si="79"/>
        <v>38940</v>
      </c>
      <c r="H1058" s="639"/>
      <c r="I1058" s="639"/>
      <c r="J1058" s="639"/>
      <c r="K1058" s="641"/>
      <c r="L1058" s="641"/>
      <c r="M1058" s="641"/>
      <c r="N1058" s="639"/>
      <c r="O1058" s="639"/>
    </row>
    <row r="1059" spans="1:15" ht="31.5">
      <c r="A1059" s="639">
        <v>156</v>
      </c>
      <c r="B1059" s="718" t="s">
        <v>508</v>
      </c>
      <c r="C1059" s="701" t="s">
        <v>1389</v>
      </c>
      <c r="D1059" s="639" t="s">
        <v>40</v>
      </c>
      <c r="E1059" s="643">
        <v>0</v>
      </c>
      <c r="F1059" s="639">
        <f>30-30</f>
        <v>0</v>
      </c>
      <c r="G1059" s="639">
        <f t="shared" si="79"/>
        <v>0</v>
      </c>
      <c r="H1059" s="639"/>
      <c r="I1059" s="639"/>
      <c r="J1059" s="639"/>
      <c r="K1059" s="641"/>
      <c r="L1059" s="641"/>
      <c r="M1059" s="641"/>
      <c r="N1059" s="639"/>
      <c r="O1059" s="639"/>
    </row>
    <row r="1060" spans="1:15">
      <c r="A1060" s="639">
        <v>160</v>
      </c>
      <c r="B1060" s="718" t="s">
        <v>488</v>
      </c>
      <c r="C1060" s="701" t="s">
        <v>1390</v>
      </c>
      <c r="D1060" s="639" t="s">
        <v>277</v>
      </c>
      <c r="E1060" s="643">
        <v>528.64</v>
      </c>
      <c r="F1060" s="639">
        <f>43-3</f>
        <v>40</v>
      </c>
      <c r="G1060" s="639">
        <f t="shared" si="79"/>
        <v>21145.599999999999</v>
      </c>
      <c r="H1060" s="639"/>
      <c r="I1060" s="639"/>
      <c r="J1060" s="639"/>
      <c r="K1060" s="641"/>
      <c r="L1060" s="641"/>
      <c r="M1060" s="641"/>
      <c r="N1060" s="639"/>
      <c r="O1060" s="639"/>
    </row>
    <row r="1061" spans="1:15">
      <c r="A1061" s="639">
        <v>163</v>
      </c>
      <c r="B1061" s="718" t="s">
        <v>486</v>
      </c>
      <c r="C1061" s="701" t="s">
        <v>1391</v>
      </c>
      <c r="D1061" s="639" t="s">
        <v>40</v>
      </c>
      <c r="E1061" s="643">
        <v>1000</v>
      </c>
      <c r="F1061" s="639">
        <f>19-6</f>
        <v>13</v>
      </c>
      <c r="G1061" s="639">
        <f t="shared" si="79"/>
        <v>13000</v>
      </c>
      <c r="H1061" s="639"/>
      <c r="I1061" s="639"/>
      <c r="J1061" s="639"/>
      <c r="K1061" s="641"/>
      <c r="L1061" s="641"/>
      <c r="M1061" s="641"/>
      <c r="N1061" s="639"/>
      <c r="O1061" s="639"/>
    </row>
    <row r="1062" spans="1:15">
      <c r="A1062" s="639">
        <v>195</v>
      </c>
      <c r="B1062" s="727" t="s">
        <v>1392</v>
      </c>
      <c r="C1062" s="701" t="s">
        <v>1393</v>
      </c>
      <c r="D1062" s="639" t="s">
        <v>40</v>
      </c>
      <c r="E1062" s="643">
        <v>841.34</v>
      </c>
      <c r="F1062" s="639">
        <f>6-6</f>
        <v>0</v>
      </c>
      <c r="G1062" s="639">
        <f t="shared" si="79"/>
        <v>0</v>
      </c>
      <c r="H1062" s="639"/>
      <c r="I1062" s="639"/>
      <c r="J1062" s="639"/>
      <c r="K1062" s="641"/>
      <c r="L1062" s="641"/>
      <c r="M1062" s="641"/>
      <c r="N1062" s="639"/>
      <c r="O1062" s="639"/>
    </row>
    <row r="1063" spans="1:15" ht="31.5">
      <c r="A1063" s="639">
        <v>219</v>
      </c>
      <c r="B1063" s="718" t="s">
        <v>1394</v>
      </c>
      <c r="C1063" s="705" t="s">
        <v>1163</v>
      </c>
      <c r="D1063" s="639" t="s">
        <v>250</v>
      </c>
      <c r="E1063" s="643">
        <v>9853</v>
      </c>
      <c r="F1063" s="639">
        <f>11-6</f>
        <v>5</v>
      </c>
      <c r="G1063" s="639">
        <f t="shared" si="79"/>
        <v>49265</v>
      </c>
      <c r="H1063" s="639"/>
      <c r="I1063" s="639"/>
      <c r="J1063" s="639"/>
      <c r="K1063" s="641"/>
      <c r="L1063" s="641"/>
      <c r="M1063" s="641"/>
      <c r="N1063" s="639"/>
      <c r="O1063" s="639"/>
    </row>
    <row r="1064" spans="1:15" ht="31.5">
      <c r="A1064" s="728">
        <v>220</v>
      </c>
      <c r="B1064" s="718" t="s">
        <v>248</v>
      </c>
      <c r="C1064" s="729" t="s">
        <v>1395</v>
      </c>
      <c r="D1064" s="639" t="s">
        <v>250</v>
      </c>
      <c r="E1064" s="643">
        <v>5428</v>
      </c>
      <c r="F1064" s="639">
        <v>1</v>
      </c>
      <c r="G1064" s="639">
        <f t="shared" si="79"/>
        <v>5428</v>
      </c>
      <c r="H1064" s="639"/>
      <c r="I1064" s="639"/>
      <c r="J1064" s="639"/>
      <c r="K1064" s="641"/>
      <c r="L1064" s="641"/>
      <c r="M1064" s="641"/>
      <c r="N1064" s="639"/>
      <c r="O1064" s="639"/>
    </row>
    <row r="1065" spans="1:15" ht="31.5">
      <c r="A1065" s="639">
        <v>224</v>
      </c>
      <c r="B1065" s="718" t="s">
        <v>1396</v>
      </c>
      <c r="C1065" s="705" t="s">
        <v>1397</v>
      </c>
      <c r="D1065" s="639" t="s">
        <v>40</v>
      </c>
      <c r="E1065" s="643">
        <v>1888</v>
      </c>
      <c r="F1065" s="639">
        <v>25</v>
      </c>
      <c r="G1065" s="639">
        <f t="shared" si="79"/>
        <v>47200</v>
      </c>
      <c r="H1065" s="639"/>
      <c r="I1065" s="639"/>
      <c r="J1065" s="639"/>
      <c r="K1065" s="641"/>
      <c r="L1065" s="641"/>
      <c r="M1065" s="641"/>
      <c r="N1065" s="639"/>
      <c r="O1065" s="639"/>
    </row>
    <row r="1066" spans="1:15" ht="31.5">
      <c r="A1066" s="639">
        <v>225</v>
      </c>
      <c r="B1066" s="718" t="s">
        <v>255</v>
      </c>
      <c r="C1066" s="701" t="s">
        <v>1398</v>
      </c>
      <c r="D1066" s="639" t="s">
        <v>40</v>
      </c>
      <c r="E1066" s="643">
        <v>0</v>
      </c>
      <c r="F1066" s="712">
        <f>10-10</f>
        <v>0</v>
      </c>
      <c r="G1066" s="639">
        <f t="shared" si="79"/>
        <v>0</v>
      </c>
      <c r="H1066" s="639"/>
      <c r="I1066" s="639"/>
      <c r="J1066" s="639"/>
      <c r="K1066" s="641"/>
      <c r="L1066" s="641"/>
      <c r="M1066" s="641"/>
      <c r="N1066" s="639"/>
      <c r="O1066" s="639"/>
    </row>
    <row r="1067" spans="1:15" ht="31.5">
      <c r="A1067" s="728">
        <v>229</v>
      </c>
      <c r="B1067" s="718" t="s">
        <v>1399</v>
      </c>
      <c r="C1067" s="729" t="s">
        <v>1400</v>
      </c>
      <c r="D1067" s="639" t="s">
        <v>40</v>
      </c>
      <c r="E1067" s="643">
        <v>19942</v>
      </c>
      <c r="F1067" s="712">
        <v>3</v>
      </c>
      <c r="G1067" s="639">
        <f t="shared" si="79"/>
        <v>59826</v>
      </c>
      <c r="H1067" s="639"/>
      <c r="I1067" s="639"/>
      <c r="J1067" s="639"/>
      <c r="K1067" s="641"/>
      <c r="L1067" s="641"/>
      <c r="M1067" s="641"/>
      <c r="N1067" s="639"/>
      <c r="O1067" s="639"/>
    </row>
    <row r="1068" spans="1:15" ht="31.5">
      <c r="A1068" s="639">
        <v>230</v>
      </c>
      <c r="B1068" s="718" t="s">
        <v>275</v>
      </c>
      <c r="C1068" s="701" t="s">
        <v>1401</v>
      </c>
      <c r="D1068" s="639" t="s">
        <v>40</v>
      </c>
      <c r="E1068" s="643">
        <v>3500</v>
      </c>
      <c r="F1068" s="712">
        <v>1</v>
      </c>
      <c r="G1068" s="639">
        <f t="shared" si="79"/>
        <v>3500</v>
      </c>
      <c r="H1068" s="639"/>
      <c r="I1068" s="639"/>
      <c r="J1068" s="639"/>
      <c r="K1068" s="641"/>
      <c r="L1068" s="641"/>
      <c r="M1068" s="641"/>
      <c r="N1068" s="639"/>
      <c r="O1068" s="639"/>
    </row>
    <row r="1069" spans="1:15" ht="31.5">
      <c r="A1069" s="728">
        <v>242</v>
      </c>
      <c r="B1069" s="718" t="s">
        <v>1402</v>
      </c>
      <c r="C1069" s="729" t="s">
        <v>1403</v>
      </c>
      <c r="D1069" s="639" t="s">
        <v>40</v>
      </c>
      <c r="E1069" s="643">
        <v>9204</v>
      </c>
      <c r="F1069" s="712">
        <v>6</v>
      </c>
      <c r="G1069" s="639">
        <f t="shared" si="79"/>
        <v>55224</v>
      </c>
      <c r="H1069" s="639"/>
      <c r="I1069" s="639"/>
      <c r="J1069" s="639"/>
      <c r="K1069" s="641"/>
      <c r="L1069" s="641"/>
      <c r="M1069" s="641"/>
      <c r="N1069" s="639"/>
      <c r="O1069" s="639"/>
    </row>
    <row r="1070" spans="1:15" ht="31.5">
      <c r="A1070" s="659">
        <v>247</v>
      </c>
      <c r="B1070" s="718" t="s">
        <v>259</v>
      </c>
      <c r="C1070" s="701" t="s">
        <v>1404</v>
      </c>
      <c r="D1070" s="639" t="s">
        <v>40</v>
      </c>
      <c r="E1070" s="643">
        <v>1888</v>
      </c>
      <c r="F1070" s="712">
        <v>15</v>
      </c>
      <c r="G1070" s="639">
        <f t="shared" si="79"/>
        <v>28320</v>
      </c>
      <c r="H1070" s="639"/>
      <c r="I1070" s="639"/>
      <c r="J1070" s="639"/>
      <c r="K1070" s="641"/>
      <c r="L1070" s="641"/>
      <c r="M1070" s="641"/>
      <c r="N1070" s="639"/>
      <c r="O1070" s="639"/>
    </row>
    <row r="1071" spans="1:15" ht="31.5">
      <c r="A1071" s="639">
        <v>248</v>
      </c>
      <c r="B1071" s="718" t="s">
        <v>259</v>
      </c>
      <c r="C1071" s="701" t="s">
        <v>1404</v>
      </c>
      <c r="D1071" s="639" t="s">
        <v>40</v>
      </c>
      <c r="E1071" s="643">
        <v>1534</v>
      </c>
      <c r="F1071" s="712">
        <v>10</v>
      </c>
      <c r="G1071" s="639">
        <f t="shared" si="79"/>
        <v>15340</v>
      </c>
      <c r="H1071" s="639"/>
      <c r="I1071" s="639"/>
      <c r="J1071" s="639"/>
      <c r="K1071" s="641"/>
      <c r="L1071" s="641"/>
      <c r="M1071" s="641"/>
      <c r="N1071" s="639"/>
      <c r="O1071" s="639"/>
    </row>
    <row r="1072" spans="1:15">
      <c r="A1072" s="639"/>
      <c r="B1072" s="727"/>
      <c r="C1072" s="701" t="s">
        <v>1405</v>
      </c>
      <c r="D1072" s="639" t="s">
        <v>40</v>
      </c>
      <c r="E1072" s="643">
        <v>1713</v>
      </c>
      <c r="F1072" s="712">
        <f>77-3</f>
        <v>74</v>
      </c>
      <c r="G1072" s="639">
        <f t="shared" si="79"/>
        <v>126762</v>
      </c>
      <c r="H1072" s="639"/>
      <c r="I1072" s="639"/>
      <c r="J1072" s="639"/>
      <c r="K1072" s="639"/>
      <c r="L1072" s="639"/>
      <c r="M1072" s="639"/>
      <c r="N1072" s="639"/>
      <c r="O1072" s="639"/>
    </row>
    <row r="1073" spans="1:15" ht="31.5">
      <c r="A1073" s="639"/>
      <c r="B1073" s="727"/>
      <c r="C1073" s="701" t="s">
        <v>1406</v>
      </c>
      <c r="D1073" s="639" t="s">
        <v>40</v>
      </c>
      <c r="E1073" s="643">
        <v>9440</v>
      </c>
      <c r="F1073" s="712">
        <v>10</v>
      </c>
      <c r="G1073" s="639">
        <f t="shared" si="79"/>
        <v>94400</v>
      </c>
      <c r="H1073" s="639"/>
      <c r="I1073" s="639"/>
      <c r="J1073" s="639"/>
      <c r="K1073" s="639"/>
      <c r="L1073" s="639"/>
      <c r="M1073" s="639"/>
      <c r="N1073" s="639"/>
      <c r="O1073" s="639"/>
    </row>
    <row r="1074" spans="1:15" ht="31.5">
      <c r="A1074" s="639"/>
      <c r="B1074" s="727"/>
      <c r="C1074" s="701" t="s">
        <v>1407</v>
      </c>
      <c r="D1074" s="639" t="s">
        <v>40</v>
      </c>
      <c r="E1074" s="643">
        <v>4720</v>
      </c>
      <c r="F1074" s="712">
        <f>10-4-1</f>
        <v>5</v>
      </c>
      <c r="G1074" s="639">
        <f t="shared" si="79"/>
        <v>23600</v>
      </c>
      <c r="H1074" s="639"/>
      <c r="I1074" s="639"/>
      <c r="J1074" s="639"/>
      <c r="K1074" s="639"/>
      <c r="L1074" s="639"/>
      <c r="M1074" s="639"/>
      <c r="N1074" s="639"/>
      <c r="O1074" s="639"/>
    </row>
    <row r="1075" spans="1:15" ht="31.5">
      <c r="A1075" s="639"/>
      <c r="B1075" s="727"/>
      <c r="C1075" s="701" t="s">
        <v>1408</v>
      </c>
      <c r="D1075" s="639" t="s">
        <v>40</v>
      </c>
      <c r="E1075" s="643">
        <v>1038.4000000000001</v>
      </c>
      <c r="F1075" s="712">
        <f>10-6</f>
        <v>4</v>
      </c>
      <c r="G1075" s="639">
        <f t="shared" si="79"/>
        <v>4153.6000000000004</v>
      </c>
      <c r="H1075" s="639"/>
      <c r="I1075" s="639"/>
      <c r="J1075" s="639"/>
      <c r="K1075" s="639"/>
      <c r="L1075" s="639"/>
      <c r="M1075" s="639"/>
      <c r="N1075" s="639"/>
      <c r="O1075" s="639"/>
    </row>
    <row r="1076" spans="1:15">
      <c r="A1076" s="639"/>
      <c r="B1076" s="658"/>
      <c r="C1076" s="701"/>
      <c r="D1076" s="639"/>
      <c r="E1076" s="643"/>
      <c r="F1076" s="712"/>
      <c r="G1076" s="712"/>
      <c r="H1076" s="639"/>
      <c r="I1076" s="639"/>
      <c r="J1076" s="639"/>
      <c r="K1076" s="639"/>
      <c r="L1076" s="639"/>
      <c r="M1076" s="639"/>
      <c r="N1076" s="639"/>
      <c r="O1076" s="639"/>
    </row>
    <row r="1077" spans="1:15" ht="31.5">
      <c r="A1077" s="659">
        <v>3</v>
      </c>
      <c r="B1077" s="730" t="s">
        <v>1409</v>
      </c>
      <c r="C1077" s="665" t="s">
        <v>1410</v>
      </c>
      <c r="D1077" s="659" t="s">
        <v>40</v>
      </c>
      <c r="E1077" s="657">
        <v>10000</v>
      </c>
      <c r="F1077" s="659"/>
      <c r="G1077" s="659"/>
      <c r="H1077" s="659">
        <v>7</v>
      </c>
      <c r="I1077" s="659">
        <f>H1077*E1077</f>
        <v>70000</v>
      </c>
      <c r="J1077" s="659"/>
      <c r="K1077" s="659"/>
      <c r="L1077" s="659"/>
      <c r="M1077" s="659"/>
      <c r="N1077" s="659"/>
      <c r="O1077" s="659"/>
    </row>
    <row r="1078" spans="1:15" ht="31.5">
      <c r="A1078" s="659">
        <v>11</v>
      </c>
      <c r="B1078" s="730" t="s">
        <v>1238</v>
      </c>
      <c r="C1078" s="665" t="s">
        <v>1411</v>
      </c>
      <c r="D1078" s="659" t="s">
        <v>40</v>
      </c>
      <c r="E1078" s="657">
        <v>5000</v>
      </c>
      <c r="F1078" s="659"/>
      <c r="G1078" s="659"/>
      <c r="H1078" s="659"/>
      <c r="I1078" s="659"/>
      <c r="J1078" s="659"/>
      <c r="K1078" s="659"/>
      <c r="L1078" s="659">
        <f>1+4</f>
        <v>5</v>
      </c>
      <c r="M1078" s="682">
        <f>E1078*L1078</f>
        <v>25000</v>
      </c>
      <c r="N1078" s="659"/>
      <c r="O1078" s="659"/>
    </row>
    <row r="1079" spans="1:15" ht="31.5">
      <c r="A1079" s="731">
        <v>12</v>
      </c>
      <c r="B1079" s="730" t="s">
        <v>677</v>
      </c>
      <c r="C1079" s="732" t="s">
        <v>1412</v>
      </c>
      <c r="D1079" s="639" t="s">
        <v>40</v>
      </c>
      <c r="E1079" s="657">
        <v>4500</v>
      </c>
      <c r="F1079" s="733">
        <v>1</v>
      </c>
      <c r="G1079" s="639">
        <f t="shared" ref="G1079:G1097" si="80">E1079*F1079</f>
        <v>4500</v>
      </c>
      <c r="H1079" s="639"/>
      <c r="I1079" s="639"/>
      <c r="J1079" s="639"/>
      <c r="K1079" s="641"/>
      <c r="L1079" s="641">
        <f>1+1</f>
        <v>2</v>
      </c>
      <c r="M1079" s="682">
        <f>E1079*L1079</f>
        <v>9000</v>
      </c>
      <c r="N1079" s="639"/>
      <c r="O1079" s="639"/>
    </row>
    <row r="1080" spans="1:15" ht="47.25">
      <c r="A1080" s="659">
        <v>37</v>
      </c>
      <c r="B1080" s="730" t="s">
        <v>1413</v>
      </c>
      <c r="C1080" s="665" t="s">
        <v>1414</v>
      </c>
      <c r="D1080" s="639" t="s">
        <v>40</v>
      </c>
      <c r="E1080" s="643">
        <v>12685</v>
      </c>
      <c r="F1080" s="699">
        <v>2</v>
      </c>
      <c r="G1080" s="639">
        <f t="shared" si="80"/>
        <v>25370</v>
      </c>
      <c r="H1080" s="639"/>
      <c r="I1080" s="639"/>
      <c r="J1080" s="639"/>
      <c r="K1080" s="641"/>
      <c r="L1080" s="641"/>
      <c r="M1080" s="641"/>
      <c r="N1080" s="639"/>
      <c r="O1080" s="639"/>
    </row>
    <row r="1081" spans="1:15">
      <c r="A1081" s="676">
        <v>37</v>
      </c>
      <c r="B1081" s="730" t="s">
        <v>1413</v>
      </c>
      <c r="C1081" s="667" t="s">
        <v>1415</v>
      </c>
      <c r="D1081" s="639" t="s">
        <v>40</v>
      </c>
      <c r="E1081" s="643">
        <v>14012.5</v>
      </c>
      <c r="F1081" s="699">
        <v>2</v>
      </c>
      <c r="G1081" s="639">
        <f t="shared" si="80"/>
        <v>28025</v>
      </c>
      <c r="H1081" s="639"/>
      <c r="I1081" s="639"/>
      <c r="J1081" s="639"/>
      <c r="K1081" s="641"/>
      <c r="L1081" s="641"/>
      <c r="M1081" s="641"/>
      <c r="N1081" s="639"/>
      <c r="O1081" s="639"/>
    </row>
    <row r="1082" spans="1:15">
      <c r="A1082" s="680"/>
      <c r="B1082" s="730" t="s">
        <v>1413</v>
      </c>
      <c r="C1082" s="671"/>
      <c r="D1082" s="639" t="s">
        <v>40</v>
      </c>
      <c r="E1082" s="643">
        <v>13983</v>
      </c>
      <c r="F1082" s="699">
        <v>1</v>
      </c>
      <c r="G1082" s="639">
        <f t="shared" si="80"/>
        <v>13983</v>
      </c>
      <c r="H1082" s="639"/>
      <c r="I1082" s="639"/>
      <c r="J1082" s="639"/>
      <c r="K1082" s="641"/>
      <c r="L1082" s="641"/>
      <c r="M1082" s="641"/>
      <c r="N1082" s="639"/>
      <c r="O1082" s="639"/>
    </row>
    <row r="1083" spans="1:15" ht="63">
      <c r="A1083" s="734">
        <v>40</v>
      </c>
      <c r="B1083" s="730" t="s">
        <v>1416</v>
      </c>
      <c r="C1083" s="665" t="s">
        <v>1417</v>
      </c>
      <c r="D1083" s="639" t="s">
        <v>40</v>
      </c>
      <c r="E1083" s="643">
        <v>8024</v>
      </c>
      <c r="F1083" s="699">
        <v>2</v>
      </c>
      <c r="G1083" s="639">
        <f t="shared" si="80"/>
        <v>16048</v>
      </c>
      <c r="H1083" s="639"/>
      <c r="I1083" s="639"/>
      <c r="J1083" s="639"/>
      <c r="K1083" s="641"/>
      <c r="L1083" s="641"/>
      <c r="M1083" s="641"/>
      <c r="N1083" s="639"/>
      <c r="O1083" s="639"/>
    </row>
    <row r="1084" spans="1:15" ht="63">
      <c r="A1084" s="659">
        <v>40</v>
      </c>
      <c r="B1084" s="730" t="s">
        <v>1416</v>
      </c>
      <c r="C1084" s="665" t="s">
        <v>1418</v>
      </c>
      <c r="D1084" s="639" t="s">
        <v>40</v>
      </c>
      <c r="E1084" s="643">
        <v>12626</v>
      </c>
      <c r="F1084" s="699">
        <v>1</v>
      </c>
      <c r="G1084" s="639">
        <f t="shared" si="80"/>
        <v>12626</v>
      </c>
      <c r="H1084" s="639"/>
      <c r="I1084" s="639"/>
      <c r="J1084" s="639"/>
      <c r="K1084" s="641"/>
      <c r="L1084" s="641"/>
      <c r="M1084" s="641"/>
      <c r="N1084" s="639"/>
      <c r="O1084" s="639"/>
    </row>
    <row r="1085" spans="1:15" ht="47.25">
      <c r="A1085" s="734">
        <v>59</v>
      </c>
      <c r="B1085" s="730" t="s">
        <v>1419</v>
      </c>
      <c r="C1085" s="661" t="s">
        <v>1420</v>
      </c>
      <c r="D1085" s="639" t="s">
        <v>40</v>
      </c>
      <c r="E1085" s="643">
        <v>14012.5</v>
      </c>
      <c r="F1085" s="699">
        <f>1+1</f>
        <v>2</v>
      </c>
      <c r="G1085" s="639">
        <f t="shared" si="80"/>
        <v>28025</v>
      </c>
      <c r="H1085" s="639"/>
      <c r="I1085" s="639"/>
      <c r="J1085" s="639"/>
      <c r="K1085" s="641"/>
      <c r="L1085" s="641"/>
      <c r="M1085" s="641"/>
      <c r="N1085" s="639"/>
      <c r="O1085" s="639"/>
    </row>
    <row r="1086" spans="1:15" ht="63">
      <c r="A1086" s="659">
        <v>61</v>
      </c>
      <c r="B1086" s="730" t="s">
        <v>1421</v>
      </c>
      <c r="C1086" s="665" t="s">
        <v>1422</v>
      </c>
      <c r="D1086" s="639" t="s">
        <v>40</v>
      </c>
      <c r="E1086" s="643">
        <v>8024</v>
      </c>
      <c r="F1086" s="699">
        <f>2-1</f>
        <v>1</v>
      </c>
      <c r="G1086" s="639">
        <f t="shared" si="80"/>
        <v>8024</v>
      </c>
      <c r="H1086" s="639"/>
      <c r="I1086" s="639"/>
      <c r="J1086" s="639"/>
      <c r="K1086" s="641"/>
      <c r="L1086" s="641"/>
      <c r="M1086" s="641"/>
      <c r="N1086" s="639"/>
      <c r="O1086" s="639"/>
    </row>
    <row r="1087" spans="1:15" ht="47.25">
      <c r="A1087" s="734">
        <v>123</v>
      </c>
      <c r="B1087" s="730" t="s">
        <v>1423</v>
      </c>
      <c r="C1087" s="661" t="s">
        <v>1424</v>
      </c>
      <c r="D1087" s="639" t="s">
        <v>40</v>
      </c>
      <c r="E1087" s="643">
        <v>14012.5</v>
      </c>
      <c r="F1087" s="699">
        <f>2-1</f>
        <v>1</v>
      </c>
      <c r="G1087" s="639">
        <f t="shared" si="80"/>
        <v>14012.5</v>
      </c>
      <c r="H1087" s="639"/>
      <c r="I1087" s="639"/>
      <c r="J1087" s="639"/>
      <c r="K1087" s="641"/>
      <c r="L1087" s="641"/>
      <c r="M1087" s="641"/>
      <c r="N1087" s="639"/>
      <c r="O1087" s="639"/>
    </row>
    <row r="1088" spans="1:15" ht="63">
      <c r="A1088" s="659">
        <v>125</v>
      </c>
      <c r="B1088" s="730" t="s">
        <v>1425</v>
      </c>
      <c r="C1088" s="665" t="s">
        <v>1426</v>
      </c>
      <c r="D1088" s="639" t="s">
        <v>40</v>
      </c>
      <c r="E1088" s="643">
        <v>8024</v>
      </c>
      <c r="F1088" s="699">
        <f>2-1-1</f>
        <v>0</v>
      </c>
      <c r="G1088" s="639">
        <f t="shared" si="80"/>
        <v>0</v>
      </c>
      <c r="H1088" s="639"/>
      <c r="I1088" s="639"/>
      <c r="J1088" s="639"/>
      <c r="K1088" s="641"/>
      <c r="L1088" s="641"/>
      <c r="M1088" s="641"/>
      <c r="N1088" s="639"/>
      <c r="O1088" s="639"/>
    </row>
    <row r="1089" spans="1:15" ht="47.25">
      <c r="A1089" s="639">
        <v>127</v>
      </c>
      <c r="B1089" s="730" t="s">
        <v>1427</v>
      </c>
      <c r="C1089" s="701" t="s">
        <v>1428</v>
      </c>
      <c r="D1089" s="639" t="s">
        <v>37</v>
      </c>
      <c r="E1089" s="643">
        <v>6372</v>
      </c>
      <c r="F1089" s="733">
        <f>1-1</f>
        <v>0</v>
      </c>
      <c r="G1089" s="639">
        <f t="shared" si="80"/>
        <v>0</v>
      </c>
      <c r="H1089" s="639"/>
      <c r="I1089" s="639"/>
      <c r="J1089" s="639"/>
      <c r="K1089" s="641"/>
      <c r="L1089" s="641"/>
      <c r="M1089" s="641"/>
      <c r="N1089" s="639"/>
      <c r="O1089" s="639"/>
    </row>
    <row r="1090" spans="1:15" ht="47.25">
      <c r="A1090" s="639">
        <v>191</v>
      </c>
      <c r="B1090" s="730" t="s">
        <v>570</v>
      </c>
      <c r="C1090" s="701" t="s">
        <v>1429</v>
      </c>
      <c r="D1090" s="639" t="s">
        <v>40</v>
      </c>
      <c r="E1090" s="643">
        <v>2926.4</v>
      </c>
      <c r="F1090" s="733">
        <f>1-1</f>
        <v>0</v>
      </c>
      <c r="G1090" s="639">
        <f t="shared" si="80"/>
        <v>0</v>
      </c>
      <c r="H1090" s="639"/>
      <c r="I1090" s="639"/>
      <c r="J1090" s="639"/>
      <c r="K1090" s="641"/>
      <c r="L1090" s="641"/>
      <c r="M1090" s="641"/>
      <c r="N1090" s="639"/>
      <c r="O1090" s="639"/>
    </row>
    <row r="1091" spans="1:15" ht="47.25">
      <c r="A1091" s="639">
        <v>196</v>
      </c>
      <c r="B1091" s="730" t="s">
        <v>1430</v>
      </c>
      <c r="C1091" s="701" t="s">
        <v>1431</v>
      </c>
      <c r="D1091" s="639" t="s">
        <v>37</v>
      </c>
      <c r="E1091" s="643">
        <v>0</v>
      </c>
      <c r="F1091" s="733">
        <v>1</v>
      </c>
      <c r="G1091" s="639">
        <f t="shared" si="80"/>
        <v>0</v>
      </c>
      <c r="H1091" s="639"/>
      <c r="I1091" s="639"/>
      <c r="J1091" s="639"/>
      <c r="K1091" s="641"/>
      <c r="L1091" s="641"/>
      <c r="M1091" s="641"/>
      <c r="N1091" s="639"/>
      <c r="O1091" s="639"/>
    </row>
    <row r="1092" spans="1:15" ht="47.25">
      <c r="A1092" s="639"/>
      <c r="B1092" s="735"/>
      <c r="C1092" s="705" t="s">
        <v>1432</v>
      </c>
      <c r="D1092" s="639" t="s">
        <v>40</v>
      </c>
      <c r="E1092" s="643">
        <v>4661</v>
      </c>
      <c r="F1092" s="733">
        <v>2</v>
      </c>
      <c r="G1092" s="639">
        <f t="shared" si="80"/>
        <v>9322</v>
      </c>
      <c r="H1092" s="639"/>
      <c r="I1092" s="639"/>
      <c r="J1092" s="639"/>
      <c r="K1092" s="641"/>
      <c r="L1092" s="641"/>
      <c r="M1092" s="641"/>
      <c r="N1092" s="639"/>
      <c r="O1092" s="639"/>
    </row>
    <row r="1093" spans="1:15" ht="31.5">
      <c r="A1093" s="646">
        <v>227</v>
      </c>
      <c r="B1093" s="736" t="s">
        <v>1433</v>
      </c>
      <c r="C1093" s="701" t="s">
        <v>1434</v>
      </c>
      <c r="D1093" s="639" t="s">
        <v>40</v>
      </c>
      <c r="E1093" s="643">
        <v>1144.5999999999999</v>
      </c>
      <c r="F1093" s="733">
        <f>30-22-1-2-1-3-1</f>
        <v>0</v>
      </c>
      <c r="G1093" s="639">
        <f t="shared" si="80"/>
        <v>0</v>
      </c>
      <c r="H1093" s="639"/>
      <c r="I1093" s="639"/>
      <c r="J1093" s="639"/>
      <c r="K1093" s="641"/>
      <c r="L1093" s="641"/>
      <c r="M1093" s="641"/>
      <c r="N1093" s="639"/>
      <c r="O1093" s="639"/>
    </row>
    <row r="1094" spans="1:15" ht="31.5">
      <c r="A1094" s="646">
        <v>228</v>
      </c>
      <c r="B1094" s="737" t="s">
        <v>1435</v>
      </c>
      <c r="C1094" s="705" t="s">
        <v>1436</v>
      </c>
      <c r="D1094" s="639" t="s">
        <v>37</v>
      </c>
      <c r="E1094" s="643">
        <v>2938.2</v>
      </c>
      <c r="F1094" s="733">
        <f>20-9-2-9</f>
        <v>0</v>
      </c>
      <c r="G1094" s="639">
        <f t="shared" si="80"/>
        <v>0</v>
      </c>
      <c r="H1094" s="639"/>
      <c r="I1094" s="639"/>
      <c r="J1094" s="639"/>
      <c r="K1094" s="641"/>
      <c r="L1094" s="641"/>
      <c r="M1094" s="641"/>
      <c r="N1094" s="639"/>
      <c r="O1094" s="639"/>
    </row>
    <row r="1095" spans="1:15">
      <c r="A1095" s="659">
        <v>397</v>
      </c>
      <c r="B1095" s="730" t="s">
        <v>405</v>
      </c>
      <c r="C1095" s="704" t="s">
        <v>1437</v>
      </c>
      <c r="D1095" s="639" t="s">
        <v>208</v>
      </c>
      <c r="E1095" s="643">
        <v>5829.2</v>
      </c>
      <c r="F1095" s="733">
        <f>100-4-2-1-2-4-4-4-4-20-4-3-2-2-5-2-2-2-2-1-2-1-2-1</f>
        <v>24</v>
      </c>
      <c r="G1095" s="662">
        <f t="shared" si="80"/>
        <v>139900.79999999999</v>
      </c>
      <c r="H1095" s="639"/>
      <c r="I1095" s="639"/>
      <c r="J1095" s="639"/>
      <c r="K1095" s="641"/>
      <c r="L1095" s="641"/>
      <c r="M1095" s="641"/>
      <c r="N1095" s="639"/>
      <c r="O1095" s="639"/>
    </row>
    <row r="1096" spans="1:15">
      <c r="A1096" s="639"/>
      <c r="B1096" s="730" t="s">
        <v>1238</v>
      </c>
      <c r="C1096" s="701" t="s">
        <v>1438</v>
      </c>
      <c r="D1096" s="639" t="s">
        <v>40</v>
      </c>
      <c r="E1096" s="643">
        <v>10000</v>
      </c>
      <c r="F1096" s="733"/>
      <c r="G1096" s="639">
        <f t="shared" si="80"/>
        <v>0</v>
      </c>
      <c r="H1096" s="639"/>
      <c r="I1096" s="639"/>
      <c r="J1096" s="639"/>
      <c r="K1096" s="641"/>
      <c r="L1096" s="641">
        <f>1+1-1</f>
        <v>1</v>
      </c>
      <c r="M1096" s="682">
        <f>E1096*L1096</f>
        <v>10000</v>
      </c>
      <c r="N1096" s="639"/>
      <c r="O1096" s="639"/>
    </row>
    <row r="1097" spans="1:15" ht="63">
      <c r="A1097" s="639"/>
      <c r="B1097" s="730" t="s">
        <v>1439</v>
      </c>
      <c r="C1097" s="701" t="s">
        <v>1440</v>
      </c>
      <c r="D1097" s="639" t="s">
        <v>40</v>
      </c>
      <c r="E1097" s="643">
        <v>13546.4</v>
      </c>
      <c r="F1097" s="733">
        <f>4-3</f>
        <v>1</v>
      </c>
      <c r="G1097" s="639">
        <f t="shared" si="80"/>
        <v>13546.4</v>
      </c>
      <c r="H1097" s="639"/>
      <c r="I1097" s="639"/>
      <c r="J1097" s="639"/>
      <c r="K1097" s="641"/>
      <c r="L1097" s="641"/>
      <c r="M1097" s="641"/>
      <c r="N1097" s="639"/>
      <c r="O1097" s="639"/>
    </row>
    <row r="1098" spans="1:15">
      <c r="A1098" s="639"/>
      <c r="B1098" s="698"/>
      <c r="C1098" s="701"/>
      <c r="D1098" s="639"/>
      <c r="E1098" s="643"/>
      <c r="F1098" s="733"/>
      <c r="G1098" s="733"/>
      <c r="H1098" s="639"/>
      <c r="I1098" s="639"/>
      <c r="J1098" s="639"/>
      <c r="K1098" s="641"/>
      <c r="L1098" s="641"/>
      <c r="M1098" s="641"/>
      <c r="N1098" s="639"/>
      <c r="O1098" s="639"/>
    </row>
    <row r="1099" spans="1:15">
      <c r="A1099" s="639">
        <v>2</v>
      </c>
      <c r="B1099" s="738" t="s">
        <v>1153</v>
      </c>
      <c r="C1099" s="716" t="s">
        <v>1441</v>
      </c>
      <c r="D1099" s="639" t="s">
        <v>40</v>
      </c>
      <c r="E1099" s="643">
        <v>187956</v>
      </c>
      <c r="F1099" s="639">
        <f>6-3</f>
        <v>3</v>
      </c>
      <c r="G1099" s="639">
        <f t="shared" ref="G1099:G1104" si="81">E1099*F1099</f>
        <v>563868</v>
      </c>
      <c r="H1099" s="639"/>
      <c r="I1099" s="639"/>
      <c r="J1099" s="639"/>
      <c r="K1099" s="641"/>
      <c r="L1099" s="641"/>
      <c r="M1099" s="641"/>
      <c r="N1099" s="639"/>
      <c r="O1099" s="639"/>
    </row>
    <row r="1100" spans="1:15">
      <c r="A1100" s="639"/>
      <c r="B1100" s="738" t="s">
        <v>1153</v>
      </c>
      <c r="C1100" s="716"/>
      <c r="D1100" s="639" t="s">
        <v>40</v>
      </c>
      <c r="E1100" s="643">
        <v>500</v>
      </c>
      <c r="F1100" s="639">
        <f>15+3</f>
        <v>18</v>
      </c>
      <c r="G1100" s="639">
        <f t="shared" si="81"/>
        <v>9000</v>
      </c>
      <c r="H1100" s="639"/>
      <c r="I1100" s="639"/>
      <c r="J1100" s="639"/>
      <c r="K1100" s="641"/>
      <c r="L1100" s="641"/>
      <c r="M1100" s="641"/>
      <c r="N1100" s="639"/>
      <c r="O1100" s="639"/>
    </row>
    <row r="1101" spans="1:15" ht="31.5">
      <c r="A1101" s="639">
        <v>3</v>
      </c>
      <c r="B1101" s="738" t="s">
        <v>396</v>
      </c>
      <c r="C1101" s="701" t="s">
        <v>1442</v>
      </c>
      <c r="D1101" s="639" t="s">
        <v>40</v>
      </c>
      <c r="E1101" s="643">
        <v>500</v>
      </c>
      <c r="F1101" s="639">
        <f>3-1-1+12</f>
        <v>13</v>
      </c>
      <c r="G1101" s="639">
        <f t="shared" si="81"/>
        <v>6500</v>
      </c>
      <c r="H1101" s="639"/>
      <c r="I1101" s="639"/>
      <c r="J1101" s="739"/>
      <c r="K1101" s="740"/>
      <c r="L1101" s="740"/>
      <c r="M1101" s="740"/>
      <c r="N1101" s="739"/>
      <c r="O1101" s="739"/>
    </row>
    <row r="1102" spans="1:15">
      <c r="A1102" s="639">
        <v>6</v>
      </c>
      <c r="B1102" s="738" t="s">
        <v>42</v>
      </c>
      <c r="C1102" s="701" t="s">
        <v>1443</v>
      </c>
      <c r="D1102" s="639" t="s">
        <v>40</v>
      </c>
      <c r="E1102" s="643">
        <v>200</v>
      </c>
      <c r="F1102" s="639">
        <v>19</v>
      </c>
      <c r="G1102" s="639">
        <f t="shared" si="81"/>
        <v>3800</v>
      </c>
      <c r="H1102" s="639"/>
      <c r="I1102" s="639"/>
      <c r="J1102" s="712"/>
      <c r="K1102" s="713"/>
      <c r="L1102" s="713"/>
      <c r="M1102" s="713"/>
      <c r="N1102" s="712"/>
      <c r="O1102" s="712"/>
    </row>
    <row r="1103" spans="1:15">
      <c r="A1103" s="659"/>
      <c r="B1103" s="698"/>
      <c r="C1103" s="665"/>
      <c r="D1103" s="639"/>
      <c r="E1103" s="643"/>
      <c r="F1103" s="639"/>
      <c r="G1103" s="639">
        <f t="shared" si="81"/>
        <v>0</v>
      </c>
      <c r="H1103" s="639"/>
      <c r="I1103" s="639"/>
      <c r="J1103" s="639"/>
      <c r="K1103" s="641"/>
      <c r="L1103" s="641"/>
      <c r="M1103" s="641"/>
      <c r="N1103" s="639"/>
      <c r="O1103" s="639"/>
    </row>
    <row r="1104" spans="1:15" ht="31.5">
      <c r="A1104" s="639">
        <v>144</v>
      </c>
      <c r="B1104" s="741" t="s">
        <v>1444</v>
      </c>
      <c r="C1104" s="701" t="s">
        <v>1445</v>
      </c>
      <c r="D1104" s="639" t="s">
        <v>40</v>
      </c>
      <c r="E1104" s="643">
        <v>4900.6000000000004</v>
      </c>
      <c r="F1104" s="639">
        <f>5-2</f>
        <v>3</v>
      </c>
      <c r="G1104" s="639">
        <f t="shared" si="81"/>
        <v>14701.800000000001</v>
      </c>
      <c r="H1104" s="639"/>
      <c r="I1104" s="639"/>
      <c r="J1104" s="639"/>
      <c r="K1104" s="639"/>
      <c r="L1104" s="639"/>
      <c r="M1104" s="639"/>
      <c r="N1104" s="639"/>
      <c r="O1104" s="639"/>
    </row>
    <row r="1105" spans="1:15">
      <c r="A1105" s="659"/>
      <c r="B1105" s="653"/>
      <c r="C1105" s="665"/>
      <c r="D1105" s="659"/>
      <c r="E1105" s="742"/>
      <c r="F1105" s="659"/>
      <c r="G1105" s="659"/>
      <c r="H1105" s="659"/>
      <c r="I1105" s="659"/>
      <c r="J1105" s="659"/>
      <c r="K1105" s="663"/>
      <c r="L1105" s="663"/>
      <c r="M1105" s="663"/>
      <c r="N1105" s="659"/>
      <c r="O1105" s="659"/>
    </row>
    <row r="1106" spans="1:15" ht="63">
      <c r="A1106" s="659">
        <v>13</v>
      </c>
      <c r="B1106" s="743" t="s">
        <v>1446</v>
      </c>
      <c r="C1106" s="661" t="s">
        <v>1447</v>
      </c>
      <c r="D1106" s="734" t="s">
        <v>40</v>
      </c>
      <c r="E1106" s="659">
        <v>5888</v>
      </c>
      <c r="F1106" s="659">
        <v>0</v>
      </c>
      <c r="G1106" s="639">
        <f t="shared" ref="G1106:G1116" si="82">E1106*F1106</f>
        <v>0</v>
      </c>
      <c r="H1106" s="659"/>
      <c r="I1106" s="659"/>
      <c r="J1106" s="659"/>
      <c r="K1106" s="659"/>
      <c r="L1106" s="659"/>
      <c r="M1106" s="659"/>
      <c r="N1106" s="659"/>
      <c r="O1106" s="659"/>
    </row>
    <row r="1107" spans="1:15" ht="63">
      <c r="A1107" s="659">
        <v>13</v>
      </c>
      <c r="B1107" s="744" t="s">
        <v>1448</v>
      </c>
      <c r="C1107" s="665" t="s">
        <v>1449</v>
      </c>
      <c r="D1107" s="659" t="s">
        <v>40</v>
      </c>
      <c r="E1107" s="659">
        <v>8083</v>
      </c>
      <c r="F1107" s="659">
        <f>9-2</f>
        <v>7</v>
      </c>
      <c r="G1107" s="639">
        <f t="shared" si="82"/>
        <v>56581</v>
      </c>
      <c r="H1107" s="659"/>
      <c r="I1107" s="659"/>
      <c r="J1107" s="659"/>
      <c r="K1107" s="659"/>
      <c r="L1107" s="659"/>
      <c r="M1107" s="659"/>
      <c r="N1107" s="659"/>
      <c r="O1107" s="659"/>
    </row>
    <row r="1108" spans="1:15" ht="31.5">
      <c r="A1108" s="659"/>
      <c r="B1108" s="744" t="s">
        <v>1450</v>
      </c>
      <c r="C1108" s="665" t="s">
        <v>1451</v>
      </c>
      <c r="D1108" s="659" t="s">
        <v>40</v>
      </c>
      <c r="E1108" s="659">
        <v>100</v>
      </c>
      <c r="F1108" s="659">
        <v>1</v>
      </c>
      <c r="G1108" s="639">
        <f t="shared" si="82"/>
        <v>100</v>
      </c>
      <c r="H1108" s="659"/>
      <c r="I1108" s="659"/>
      <c r="J1108" s="659"/>
      <c r="K1108" s="659"/>
      <c r="L1108" s="659"/>
      <c r="M1108" s="659"/>
      <c r="N1108" s="659"/>
      <c r="O1108" s="659"/>
    </row>
    <row r="1109" spans="1:15" ht="78.75">
      <c r="A1109" s="659">
        <v>17</v>
      </c>
      <c r="B1109" s="744" t="s">
        <v>1452</v>
      </c>
      <c r="C1109" s="665" t="s">
        <v>1453</v>
      </c>
      <c r="D1109" s="659" t="s">
        <v>40</v>
      </c>
      <c r="E1109" s="659">
        <v>2938.2</v>
      </c>
      <c r="F1109" s="659">
        <v>2</v>
      </c>
      <c r="G1109" s="639">
        <f t="shared" si="82"/>
        <v>5876.4</v>
      </c>
      <c r="H1109" s="659"/>
      <c r="I1109" s="659"/>
      <c r="J1109" s="659"/>
      <c r="K1109" s="659"/>
      <c r="L1109" s="659"/>
      <c r="M1109" s="659"/>
      <c r="N1109" s="659"/>
      <c r="O1109" s="659"/>
    </row>
    <row r="1110" spans="1:15" ht="47.25">
      <c r="A1110" s="639">
        <v>216</v>
      </c>
      <c r="B1110" s="743" t="s">
        <v>1454</v>
      </c>
      <c r="C1110" s="704" t="s">
        <v>1455</v>
      </c>
      <c r="D1110" s="639" t="s">
        <v>37</v>
      </c>
      <c r="E1110" s="643">
        <v>2584.1999999999998</v>
      </c>
      <c r="F1110" s="733">
        <f>7-1-6</f>
        <v>0</v>
      </c>
      <c r="G1110" s="639">
        <f t="shared" si="82"/>
        <v>0</v>
      </c>
      <c r="H1110" s="639"/>
      <c r="I1110" s="639"/>
      <c r="J1110" s="639"/>
      <c r="K1110" s="641"/>
      <c r="L1110" s="641"/>
      <c r="M1110" s="641"/>
      <c r="N1110" s="639"/>
      <c r="O1110" s="639"/>
    </row>
    <row r="1111" spans="1:15" ht="110.25">
      <c r="A1111" s="659">
        <v>353</v>
      </c>
      <c r="B1111" s="744" t="s">
        <v>1456</v>
      </c>
      <c r="C1111" s="665" t="s">
        <v>1457</v>
      </c>
      <c r="D1111" s="659" t="s">
        <v>40</v>
      </c>
      <c r="E1111" s="742">
        <v>4106.3999999999996</v>
      </c>
      <c r="F1111" s="659">
        <v>3</v>
      </c>
      <c r="G1111" s="639">
        <f t="shared" si="82"/>
        <v>12319.199999999999</v>
      </c>
      <c r="H1111" s="659"/>
      <c r="I1111" s="659"/>
      <c r="J1111" s="659"/>
      <c r="K1111" s="659"/>
      <c r="L1111" s="659"/>
      <c r="M1111" s="659"/>
      <c r="N1111" s="659"/>
      <c r="O1111" s="659"/>
    </row>
    <row r="1112" spans="1:15" ht="110.25">
      <c r="A1112" s="659">
        <v>354</v>
      </c>
      <c r="B1112" s="744" t="s">
        <v>1458</v>
      </c>
      <c r="C1112" s="665" t="s">
        <v>1459</v>
      </c>
      <c r="D1112" s="659" t="s">
        <v>40</v>
      </c>
      <c r="E1112" s="742">
        <v>4106.3999999999996</v>
      </c>
      <c r="F1112" s="659">
        <v>3</v>
      </c>
      <c r="G1112" s="639">
        <f t="shared" si="82"/>
        <v>12319.199999999999</v>
      </c>
      <c r="H1112" s="659"/>
      <c r="I1112" s="659"/>
      <c r="J1112" s="659"/>
      <c r="K1112" s="659"/>
      <c r="L1112" s="659"/>
      <c r="M1112" s="659"/>
      <c r="N1112" s="659"/>
      <c r="O1112" s="659"/>
    </row>
    <row r="1113" spans="1:15" ht="94.5">
      <c r="A1113" s="659"/>
      <c r="B1113" s="744" t="s">
        <v>1460</v>
      </c>
      <c r="C1113" s="665" t="s">
        <v>1461</v>
      </c>
      <c r="D1113" s="659" t="s">
        <v>40</v>
      </c>
      <c r="E1113" s="742">
        <v>4106.3999999999996</v>
      </c>
      <c r="F1113" s="659">
        <v>2</v>
      </c>
      <c r="G1113" s="639">
        <f t="shared" si="82"/>
        <v>8212.7999999999993</v>
      </c>
      <c r="H1113" s="659"/>
      <c r="I1113" s="659"/>
      <c r="J1113" s="659"/>
      <c r="K1113" s="659"/>
      <c r="L1113" s="659"/>
      <c r="M1113" s="659"/>
      <c r="N1113" s="659"/>
      <c r="O1113" s="659"/>
    </row>
    <row r="1114" spans="1:15" ht="126">
      <c r="A1114" s="659"/>
      <c r="B1114" s="744" t="s">
        <v>1462</v>
      </c>
      <c r="C1114" s="665" t="s">
        <v>1463</v>
      </c>
      <c r="D1114" s="659" t="s">
        <v>40</v>
      </c>
      <c r="E1114" s="742">
        <v>4106.3999999999996</v>
      </c>
      <c r="F1114" s="659">
        <f>6+3</f>
        <v>9</v>
      </c>
      <c r="G1114" s="639">
        <f t="shared" si="82"/>
        <v>36957.599999999999</v>
      </c>
      <c r="H1114" s="659"/>
      <c r="I1114" s="659"/>
      <c r="J1114" s="659"/>
      <c r="K1114" s="659"/>
      <c r="L1114" s="659"/>
      <c r="M1114" s="659"/>
      <c r="N1114" s="659"/>
      <c r="O1114" s="659"/>
    </row>
    <row r="1115" spans="1:15" ht="110.25">
      <c r="A1115" s="659"/>
      <c r="B1115" s="744" t="s">
        <v>1464</v>
      </c>
      <c r="C1115" s="665" t="s">
        <v>1465</v>
      </c>
      <c r="D1115" s="659" t="s">
        <v>40</v>
      </c>
      <c r="E1115" s="742">
        <v>7888.3</v>
      </c>
      <c r="F1115" s="659">
        <f>3-1</f>
        <v>2</v>
      </c>
      <c r="G1115" s="639">
        <f t="shared" si="82"/>
        <v>15776.6</v>
      </c>
      <c r="H1115" s="742"/>
      <c r="I1115" s="659"/>
      <c r="J1115" s="659"/>
      <c r="K1115" s="659"/>
      <c r="L1115" s="659"/>
      <c r="M1115" s="659"/>
      <c r="N1115" s="659"/>
      <c r="O1115" s="659"/>
    </row>
    <row r="1116" spans="1:15" ht="110.25">
      <c r="A1116" s="659"/>
      <c r="B1116" s="744" t="s">
        <v>1464</v>
      </c>
      <c r="C1116" s="665" t="s">
        <v>1466</v>
      </c>
      <c r="D1116" s="659" t="s">
        <v>40</v>
      </c>
      <c r="E1116" s="742">
        <v>7888.3</v>
      </c>
      <c r="F1116" s="659">
        <v>3</v>
      </c>
      <c r="G1116" s="639">
        <f t="shared" si="82"/>
        <v>23664.9</v>
      </c>
      <c r="H1116" s="659"/>
      <c r="I1116" s="659"/>
      <c r="J1116" s="659"/>
      <c r="K1116" s="659"/>
      <c r="L1116" s="659"/>
      <c r="M1116" s="659"/>
      <c r="N1116" s="659"/>
      <c r="O1116" s="659"/>
    </row>
    <row r="1117" spans="1:15">
      <c r="A1117" s="659"/>
      <c r="B1117" s="745"/>
      <c r="C1117" s="665"/>
      <c r="D1117" s="659"/>
      <c r="E1117" s="659"/>
      <c r="F1117" s="659"/>
      <c r="G1117" s="639"/>
      <c r="H1117" s="659"/>
      <c r="I1117" s="659"/>
      <c r="J1117" s="659"/>
      <c r="K1117" s="659"/>
      <c r="L1117" s="659"/>
      <c r="M1117" s="659"/>
      <c r="N1117" s="659"/>
      <c r="O1117" s="659"/>
    </row>
    <row r="1118" spans="1:15" ht="78.75">
      <c r="A1118" s="659">
        <v>135</v>
      </c>
      <c r="B1118" s="744" t="s">
        <v>1467</v>
      </c>
      <c r="C1118" s="665" t="s">
        <v>1468</v>
      </c>
      <c r="D1118" s="659" t="s">
        <v>40</v>
      </c>
      <c r="E1118" s="659">
        <v>58.76</v>
      </c>
      <c r="F1118" s="659">
        <f>50-30-5-5</f>
        <v>10</v>
      </c>
      <c r="G1118" s="639">
        <f t="shared" ref="G1118:G1181" si="83">E1118*F1118</f>
        <v>587.6</v>
      </c>
      <c r="H1118" s="659"/>
      <c r="I1118" s="659"/>
      <c r="J1118" s="659"/>
      <c r="K1118" s="659"/>
      <c r="L1118" s="659"/>
      <c r="M1118" s="659"/>
      <c r="N1118" s="659"/>
      <c r="O1118" s="659"/>
    </row>
    <row r="1119" spans="1:15" ht="63">
      <c r="A1119" s="659"/>
      <c r="B1119" s="744" t="s">
        <v>1469</v>
      </c>
      <c r="C1119" s="665" t="s">
        <v>1470</v>
      </c>
      <c r="D1119" s="659" t="s">
        <v>40</v>
      </c>
      <c r="E1119" s="659">
        <v>12213</v>
      </c>
      <c r="F1119" s="659">
        <f>6-1-1-1-1-1</f>
        <v>1</v>
      </c>
      <c r="G1119" s="639">
        <f t="shared" si="83"/>
        <v>12213</v>
      </c>
      <c r="H1119" s="659"/>
      <c r="I1119" s="659"/>
      <c r="J1119" s="659"/>
      <c r="K1119" s="659"/>
      <c r="L1119" s="659"/>
      <c r="M1119" s="659"/>
      <c r="N1119" s="659"/>
      <c r="O1119" s="659"/>
    </row>
    <row r="1120" spans="1:15" ht="78.75">
      <c r="A1120" s="659">
        <v>202</v>
      </c>
      <c r="B1120" s="744" t="s">
        <v>1471</v>
      </c>
      <c r="C1120" s="661" t="s">
        <v>1472</v>
      </c>
      <c r="D1120" s="659" t="s">
        <v>40</v>
      </c>
      <c r="E1120" s="659">
        <v>8732</v>
      </c>
      <c r="F1120" s="659">
        <f>5-1-1-1-2</f>
        <v>0</v>
      </c>
      <c r="G1120" s="639">
        <f t="shared" si="83"/>
        <v>0</v>
      </c>
      <c r="H1120" s="659"/>
      <c r="I1120" s="659"/>
      <c r="J1120" s="659"/>
      <c r="K1120" s="659"/>
      <c r="L1120" s="659"/>
      <c r="M1120" s="659"/>
      <c r="N1120" s="659"/>
      <c r="O1120" s="659"/>
    </row>
    <row r="1121" spans="1:15" ht="47.25">
      <c r="A1121" s="734">
        <v>475</v>
      </c>
      <c r="B1121" s="744" t="s">
        <v>1473</v>
      </c>
      <c r="C1121" s="746" t="s">
        <v>1474</v>
      </c>
      <c r="D1121" s="659" t="s">
        <v>40</v>
      </c>
      <c r="E1121" s="742">
        <v>2118.1</v>
      </c>
      <c r="F1121" s="659">
        <v>8</v>
      </c>
      <c r="G1121" s="639">
        <f t="shared" si="83"/>
        <v>16944.8</v>
      </c>
      <c r="H1121" s="659"/>
      <c r="I1121" s="659"/>
      <c r="J1121" s="659"/>
      <c r="K1121" s="659"/>
      <c r="L1121" s="659"/>
      <c r="M1121" s="659"/>
      <c r="N1121" s="659"/>
      <c r="O1121" s="659"/>
    </row>
    <row r="1122" spans="1:15" ht="47.25">
      <c r="A1122" s="747"/>
      <c r="B1122" s="744" t="s">
        <v>1473</v>
      </c>
      <c r="C1122" s="748" t="s">
        <v>1475</v>
      </c>
      <c r="D1122" s="659" t="s">
        <v>40</v>
      </c>
      <c r="E1122" s="742">
        <v>10608.2</v>
      </c>
      <c r="F1122" s="659">
        <v>6</v>
      </c>
      <c r="G1122" s="639">
        <f t="shared" si="83"/>
        <v>63649.200000000004</v>
      </c>
      <c r="H1122" s="659"/>
      <c r="I1122" s="659"/>
      <c r="J1122" s="659"/>
      <c r="K1122" s="659"/>
      <c r="L1122" s="659"/>
      <c r="M1122" s="659"/>
      <c r="N1122" s="659"/>
      <c r="O1122" s="659"/>
    </row>
    <row r="1123" spans="1:15" ht="47.25">
      <c r="A1123" s="747"/>
      <c r="B1123" s="744" t="s">
        <v>1473</v>
      </c>
      <c r="C1123" s="748" t="s">
        <v>1476</v>
      </c>
      <c r="D1123" s="659" t="s">
        <v>40</v>
      </c>
      <c r="E1123" s="742">
        <v>5888.2</v>
      </c>
      <c r="F1123" s="659">
        <v>4</v>
      </c>
      <c r="G1123" s="639">
        <f t="shared" si="83"/>
        <v>23552.799999999999</v>
      </c>
      <c r="H1123" s="659"/>
      <c r="I1123" s="659"/>
      <c r="J1123" s="659"/>
      <c r="K1123" s="659"/>
      <c r="L1123" s="659"/>
      <c r="M1123" s="659"/>
      <c r="N1123" s="659"/>
      <c r="O1123" s="659"/>
    </row>
    <row r="1124" spans="1:15" ht="31.5">
      <c r="A1124" s="659">
        <v>483</v>
      </c>
      <c r="B1124" s="744" t="s">
        <v>1477</v>
      </c>
      <c r="C1124" s="665" t="s">
        <v>1478</v>
      </c>
      <c r="D1124" s="659" t="s">
        <v>40</v>
      </c>
      <c r="E1124" s="643">
        <v>1464</v>
      </c>
      <c r="F1124" s="659">
        <v>2</v>
      </c>
      <c r="G1124" s="639">
        <f t="shared" si="83"/>
        <v>2928</v>
      </c>
      <c r="H1124" s="659"/>
      <c r="I1124" s="659"/>
      <c r="J1124" s="659"/>
      <c r="K1124" s="659"/>
      <c r="L1124" s="659"/>
      <c r="M1124" s="659"/>
      <c r="N1124" s="659"/>
      <c r="O1124" s="659"/>
    </row>
    <row r="1125" spans="1:15" ht="47.25">
      <c r="A1125" s="659"/>
      <c r="B1125" s="744" t="s">
        <v>1479</v>
      </c>
      <c r="C1125" s="665" t="s">
        <v>1480</v>
      </c>
      <c r="D1125" s="659" t="s">
        <v>40</v>
      </c>
      <c r="E1125" s="643">
        <v>2938.2</v>
      </c>
      <c r="F1125" s="659">
        <f>4-2-2</f>
        <v>0</v>
      </c>
      <c r="G1125" s="639">
        <f t="shared" si="83"/>
        <v>0</v>
      </c>
      <c r="H1125" s="659"/>
      <c r="I1125" s="659"/>
      <c r="J1125" s="659"/>
      <c r="K1125" s="663"/>
      <c r="L1125" s="663"/>
      <c r="M1125" s="663"/>
      <c r="N1125" s="659"/>
      <c r="O1125" s="659"/>
    </row>
    <row r="1126" spans="1:15">
      <c r="A1126" s="659"/>
      <c r="B1126" s="653"/>
      <c r="C1126" s="665"/>
      <c r="D1126" s="659"/>
      <c r="E1126" s="643"/>
      <c r="F1126" s="659"/>
      <c r="G1126" s="639">
        <f t="shared" si="83"/>
        <v>0</v>
      </c>
      <c r="H1126" s="659"/>
      <c r="I1126" s="659"/>
      <c r="J1126" s="659"/>
      <c r="K1126" s="663"/>
      <c r="L1126" s="663"/>
      <c r="M1126" s="663"/>
      <c r="N1126" s="659"/>
      <c r="O1126" s="659"/>
    </row>
    <row r="1127" spans="1:15" ht="63">
      <c r="A1127" s="639">
        <v>34</v>
      </c>
      <c r="B1127" s="749" t="s">
        <v>1481</v>
      </c>
      <c r="C1127" s="701" t="s">
        <v>1482</v>
      </c>
      <c r="D1127" s="639" t="s">
        <v>40</v>
      </c>
      <c r="E1127" s="643">
        <v>20000</v>
      </c>
      <c r="F1127" s="639">
        <v>12</v>
      </c>
      <c r="G1127" s="639">
        <f t="shared" si="83"/>
        <v>240000</v>
      </c>
      <c r="H1127" s="639"/>
      <c r="I1127" s="639"/>
      <c r="J1127" s="639"/>
      <c r="K1127" s="641"/>
      <c r="L1127" s="641"/>
      <c r="M1127" s="641"/>
      <c r="N1127" s="639"/>
      <c r="O1127" s="639"/>
    </row>
    <row r="1128" spans="1:15" ht="63">
      <c r="A1128" s="659">
        <v>35</v>
      </c>
      <c r="B1128" s="749" t="s">
        <v>1483</v>
      </c>
      <c r="C1128" s="665" t="s">
        <v>1484</v>
      </c>
      <c r="D1128" s="639" t="s">
        <v>40</v>
      </c>
      <c r="E1128" s="643">
        <v>3175.38</v>
      </c>
      <c r="F1128" s="639">
        <f>2+10-6</f>
        <v>6</v>
      </c>
      <c r="G1128" s="639">
        <f t="shared" si="83"/>
        <v>19052.28</v>
      </c>
      <c r="H1128" s="639"/>
      <c r="I1128" s="639"/>
      <c r="J1128" s="639"/>
      <c r="K1128" s="641"/>
      <c r="L1128" s="641"/>
      <c r="M1128" s="641"/>
      <c r="N1128" s="639"/>
      <c r="O1128" s="639"/>
    </row>
    <row r="1129" spans="1:15">
      <c r="A1129" s="639">
        <v>11</v>
      </c>
      <c r="B1129" s="749" t="s">
        <v>1485</v>
      </c>
      <c r="C1129" s="721" t="s">
        <v>1486</v>
      </c>
      <c r="D1129" s="639" t="s">
        <v>40</v>
      </c>
      <c r="E1129" s="643">
        <v>1646.1</v>
      </c>
      <c r="F1129" s="639">
        <f>12-4-5-2-1</f>
        <v>0</v>
      </c>
      <c r="G1129" s="639">
        <f t="shared" si="83"/>
        <v>0</v>
      </c>
      <c r="H1129" s="639"/>
      <c r="I1129" s="639"/>
      <c r="J1129" s="639"/>
      <c r="K1129" s="641"/>
      <c r="L1129" s="641"/>
      <c r="M1129" s="641"/>
      <c r="N1129" s="639"/>
      <c r="O1129" s="639"/>
    </row>
    <row r="1130" spans="1:15">
      <c r="A1130" s="639"/>
      <c r="B1130" s="749" t="s">
        <v>1485</v>
      </c>
      <c r="C1130" s="724"/>
      <c r="D1130" s="639" t="s">
        <v>40</v>
      </c>
      <c r="E1130" s="643">
        <v>2348.1999999999998</v>
      </c>
      <c r="F1130" s="639">
        <f>12-2-4-4</f>
        <v>2</v>
      </c>
      <c r="G1130" s="639">
        <f t="shared" si="83"/>
        <v>4696.3999999999996</v>
      </c>
      <c r="H1130" s="639"/>
      <c r="I1130" s="639"/>
      <c r="J1130" s="639"/>
      <c r="K1130" s="641"/>
      <c r="L1130" s="641"/>
      <c r="M1130" s="641"/>
      <c r="N1130" s="639"/>
      <c r="O1130" s="639"/>
    </row>
    <row r="1131" spans="1:15" ht="78.75">
      <c r="A1131" s="639">
        <v>18</v>
      </c>
      <c r="B1131" s="750" t="s">
        <v>1487</v>
      </c>
      <c r="C1131" s="701" t="s">
        <v>1488</v>
      </c>
      <c r="D1131" s="639" t="s">
        <v>40</v>
      </c>
      <c r="E1131" s="643">
        <v>0</v>
      </c>
      <c r="F1131" s="639">
        <v>0</v>
      </c>
      <c r="G1131" s="639">
        <f t="shared" si="83"/>
        <v>0</v>
      </c>
      <c r="H1131" s="639"/>
      <c r="I1131" s="639"/>
      <c r="J1131" s="639"/>
      <c r="K1131" s="641"/>
      <c r="L1131" s="641"/>
      <c r="M1131" s="641"/>
      <c r="N1131" s="639"/>
      <c r="O1131" s="639"/>
    </row>
    <row r="1132" spans="1:15" ht="31.5">
      <c r="A1132" s="639">
        <v>111</v>
      </c>
      <c r="B1132" s="750" t="s">
        <v>1489</v>
      </c>
      <c r="C1132" s="701" t="s">
        <v>1490</v>
      </c>
      <c r="D1132" s="639" t="s">
        <v>40</v>
      </c>
      <c r="E1132" s="643">
        <v>0</v>
      </c>
      <c r="F1132" s="639">
        <v>0</v>
      </c>
      <c r="G1132" s="639">
        <f t="shared" si="83"/>
        <v>0</v>
      </c>
      <c r="H1132" s="639"/>
      <c r="I1132" s="639"/>
      <c r="J1132" s="639"/>
      <c r="K1132" s="641"/>
      <c r="L1132" s="641"/>
      <c r="M1132" s="641"/>
      <c r="N1132" s="639"/>
      <c r="O1132" s="639"/>
    </row>
    <row r="1133" spans="1:15" ht="31.5">
      <c r="A1133" s="639"/>
      <c r="B1133" s="750"/>
      <c r="C1133" s="701" t="s">
        <v>1491</v>
      </c>
      <c r="D1133" s="639" t="s">
        <v>40</v>
      </c>
      <c r="E1133" s="643">
        <v>0</v>
      </c>
      <c r="F1133" s="639">
        <v>0</v>
      </c>
      <c r="G1133" s="639">
        <f t="shared" si="83"/>
        <v>0</v>
      </c>
      <c r="H1133" s="639"/>
      <c r="I1133" s="639"/>
      <c r="J1133" s="639"/>
      <c r="K1133" s="641"/>
      <c r="L1133" s="641"/>
      <c r="M1133" s="641"/>
      <c r="N1133" s="639"/>
      <c r="O1133" s="639"/>
    </row>
    <row r="1134" spans="1:15" ht="31.5">
      <c r="A1134" s="639"/>
      <c r="B1134" s="749" t="s">
        <v>1492</v>
      </c>
      <c r="C1134" s="701" t="s">
        <v>1493</v>
      </c>
      <c r="D1134" s="639" t="s">
        <v>40</v>
      </c>
      <c r="E1134" s="643">
        <v>2828.46</v>
      </c>
      <c r="F1134" s="639">
        <v>20</v>
      </c>
      <c r="G1134" s="639">
        <f t="shared" si="83"/>
        <v>56569.2</v>
      </c>
      <c r="H1134" s="639"/>
      <c r="I1134" s="639"/>
      <c r="J1134" s="639"/>
      <c r="K1134" s="641"/>
      <c r="L1134" s="641"/>
      <c r="M1134" s="641"/>
      <c r="N1134" s="639"/>
      <c r="O1134" s="639"/>
    </row>
    <row r="1135" spans="1:15" ht="31.5">
      <c r="A1135" s="639">
        <v>113</v>
      </c>
      <c r="B1135" s="749" t="s">
        <v>1494</v>
      </c>
      <c r="C1135" s="701" t="s">
        <v>1495</v>
      </c>
      <c r="D1135" s="639" t="s">
        <v>40</v>
      </c>
      <c r="E1135" s="643">
        <v>2003.64</v>
      </c>
      <c r="F1135" s="639">
        <v>20</v>
      </c>
      <c r="G1135" s="639">
        <f t="shared" si="83"/>
        <v>40072.800000000003</v>
      </c>
      <c r="H1135" s="639"/>
      <c r="I1135" s="639"/>
      <c r="J1135" s="639"/>
      <c r="K1135" s="641"/>
      <c r="L1135" s="641"/>
      <c r="M1135" s="641"/>
      <c r="N1135" s="639"/>
      <c r="O1135" s="639"/>
    </row>
    <row r="1136" spans="1:15" ht="31.5">
      <c r="A1136" s="728">
        <v>124</v>
      </c>
      <c r="B1136" s="751" t="s">
        <v>1496</v>
      </c>
      <c r="C1136" s="729" t="s">
        <v>1497</v>
      </c>
      <c r="D1136" s="728" t="s">
        <v>40</v>
      </c>
      <c r="E1136" s="728">
        <v>0</v>
      </c>
      <c r="F1136" s="728">
        <v>0</v>
      </c>
      <c r="G1136" s="639">
        <f t="shared" si="83"/>
        <v>0</v>
      </c>
      <c r="H1136" s="728"/>
      <c r="I1136" s="728"/>
      <c r="J1136" s="728"/>
      <c r="K1136" s="728"/>
      <c r="L1136" s="728"/>
      <c r="M1136" s="728"/>
      <c r="N1136" s="728"/>
      <c r="O1136" s="728"/>
    </row>
    <row r="1137" spans="1:15">
      <c r="A1137" s="728"/>
      <c r="B1137" s="751"/>
      <c r="C1137" s="667" t="s">
        <v>1498</v>
      </c>
      <c r="D1137" s="728" t="s">
        <v>40</v>
      </c>
      <c r="E1137" s="728">
        <v>0</v>
      </c>
      <c r="F1137" s="728">
        <v>0</v>
      </c>
      <c r="G1137" s="639">
        <f t="shared" si="83"/>
        <v>0</v>
      </c>
      <c r="H1137" s="728"/>
      <c r="I1137" s="728"/>
      <c r="J1137" s="728"/>
      <c r="K1137" s="728"/>
      <c r="L1137" s="728"/>
      <c r="M1137" s="728"/>
      <c r="N1137" s="728"/>
      <c r="O1137" s="728"/>
    </row>
    <row r="1138" spans="1:15">
      <c r="A1138" s="728"/>
      <c r="B1138" s="751"/>
      <c r="C1138" s="671"/>
      <c r="D1138" s="728" t="s">
        <v>40</v>
      </c>
      <c r="E1138" s="728">
        <v>979.4</v>
      </c>
      <c r="F1138" s="728">
        <f>6-3-3</f>
        <v>0</v>
      </c>
      <c r="G1138" s="639">
        <f t="shared" si="83"/>
        <v>0</v>
      </c>
      <c r="H1138" s="728"/>
      <c r="I1138" s="728"/>
      <c r="J1138" s="728"/>
      <c r="K1138" s="752"/>
      <c r="L1138" s="752"/>
      <c r="M1138" s="752"/>
      <c r="N1138" s="728"/>
      <c r="O1138" s="728"/>
    </row>
    <row r="1139" spans="1:15" ht="31.5">
      <c r="A1139" s="728"/>
      <c r="B1139" s="749" t="s">
        <v>1499</v>
      </c>
      <c r="C1139" s="729" t="s">
        <v>1500</v>
      </c>
      <c r="D1139" s="728" t="s">
        <v>37</v>
      </c>
      <c r="E1139" s="728">
        <v>3528.2</v>
      </c>
      <c r="F1139" s="728">
        <f>10-4-4</f>
        <v>2</v>
      </c>
      <c r="G1139" s="639">
        <f t="shared" si="83"/>
        <v>7056.4</v>
      </c>
      <c r="H1139" s="728"/>
      <c r="I1139" s="728"/>
      <c r="J1139" s="728"/>
      <c r="K1139" s="752"/>
      <c r="L1139" s="752"/>
      <c r="M1139" s="752"/>
      <c r="N1139" s="728"/>
      <c r="O1139" s="728"/>
    </row>
    <row r="1140" spans="1:15">
      <c r="A1140" s="728"/>
      <c r="B1140" s="749" t="s">
        <v>1499</v>
      </c>
      <c r="C1140" s="667" t="s">
        <v>1501</v>
      </c>
      <c r="D1140" s="728" t="s">
        <v>40</v>
      </c>
      <c r="E1140" s="728">
        <v>2336.4</v>
      </c>
      <c r="F1140" s="728">
        <f>4-2-1-1</f>
        <v>0</v>
      </c>
      <c r="G1140" s="639">
        <f t="shared" si="83"/>
        <v>0</v>
      </c>
      <c r="H1140" s="728"/>
      <c r="I1140" s="728"/>
      <c r="J1140" s="728"/>
      <c r="K1140" s="752"/>
      <c r="L1140" s="752"/>
      <c r="M1140" s="752"/>
      <c r="N1140" s="728"/>
      <c r="O1140" s="728"/>
    </row>
    <row r="1141" spans="1:15">
      <c r="A1141" s="728"/>
      <c r="B1141" s="749" t="s">
        <v>1499</v>
      </c>
      <c r="C1141" s="671"/>
      <c r="D1141" s="728" t="s">
        <v>40</v>
      </c>
      <c r="E1141" s="728">
        <v>2938.2</v>
      </c>
      <c r="F1141" s="728">
        <v>4</v>
      </c>
      <c r="G1141" s="639">
        <f t="shared" si="83"/>
        <v>11752.8</v>
      </c>
      <c r="H1141" s="728"/>
      <c r="I1141" s="728"/>
      <c r="J1141" s="728"/>
      <c r="K1141" s="752"/>
      <c r="L1141" s="752"/>
      <c r="M1141" s="752"/>
      <c r="N1141" s="728"/>
      <c r="O1141" s="728"/>
    </row>
    <row r="1142" spans="1:15">
      <c r="A1142" s="728"/>
      <c r="B1142" s="749" t="s">
        <v>1502</v>
      </c>
      <c r="C1142" s="667" t="s">
        <v>1503</v>
      </c>
      <c r="D1142" s="728" t="s">
        <v>40</v>
      </c>
      <c r="E1142" s="728">
        <v>1528.1</v>
      </c>
      <c r="F1142" s="728">
        <f>4-2</f>
        <v>2</v>
      </c>
      <c r="G1142" s="639">
        <f t="shared" si="83"/>
        <v>3056.2</v>
      </c>
      <c r="H1142" s="728"/>
      <c r="I1142" s="728"/>
      <c r="J1142" s="728"/>
      <c r="K1142" s="752"/>
      <c r="L1142" s="752"/>
      <c r="M1142" s="752"/>
      <c r="N1142" s="728"/>
      <c r="O1142" s="728"/>
    </row>
    <row r="1143" spans="1:15">
      <c r="A1143" s="728"/>
      <c r="B1143" s="749" t="s">
        <v>1502</v>
      </c>
      <c r="C1143" s="671"/>
      <c r="D1143" s="728" t="s">
        <v>40</v>
      </c>
      <c r="E1143" s="728">
        <v>2112.1999999999998</v>
      </c>
      <c r="F1143" s="728">
        <v>4</v>
      </c>
      <c r="G1143" s="639">
        <f t="shared" si="83"/>
        <v>8448.7999999999993</v>
      </c>
      <c r="H1143" s="728"/>
      <c r="I1143" s="728"/>
      <c r="J1143" s="728"/>
      <c r="K1143" s="752"/>
      <c r="L1143" s="752"/>
      <c r="M1143" s="752"/>
      <c r="N1143" s="728"/>
      <c r="O1143" s="728"/>
    </row>
    <row r="1144" spans="1:15">
      <c r="A1144" s="728"/>
      <c r="B1144" s="749" t="s">
        <v>1504</v>
      </c>
      <c r="C1144" s="667" t="s">
        <v>1505</v>
      </c>
      <c r="D1144" s="728" t="s">
        <v>40</v>
      </c>
      <c r="E1144" s="728">
        <v>1463.2</v>
      </c>
      <c r="F1144" s="728">
        <v>4</v>
      </c>
      <c r="G1144" s="639">
        <f t="shared" si="83"/>
        <v>5852.8</v>
      </c>
      <c r="H1144" s="728"/>
      <c r="I1144" s="728"/>
      <c r="J1144" s="728"/>
      <c r="K1144" s="752"/>
      <c r="L1144" s="752"/>
      <c r="M1144" s="752"/>
      <c r="N1144" s="728"/>
      <c r="O1144" s="728"/>
    </row>
    <row r="1145" spans="1:15">
      <c r="A1145" s="728"/>
      <c r="B1145" s="749" t="s">
        <v>1504</v>
      </c>
      <c r="C1145" s="671"/>
      <c r="D1145" s="728" t="s">
        <v>40</v>
      </c>
      <c r="E1145" s="728">
        <v>1875.02</v>
      </c>
      <c r="F1145" s="728">
        <v>4</v>
      </c>
      <c r="G1145" s="639">
        <f t="shared" si="83"/>
        <v>7500.08</v>
      </c>
      <c r="H1145" s="728"/>
      <c r="I1145" s="728"/>
      <c r="J1145" s="728"/>
      <c r="K1145" s="752"/>
      <c r="L1145" s="752"/>
      <c r="M1145" s="752"/>
      <c r="N1145" s="728"/>
      <c r="O1145" s="728"/>
    </row>
    <row r="1146" spans="1:15">
      <c r="A1146" s="728">
        <v>125</v>
      </c>
      <c r="B1146" s="749" t="s">
        <v>1506</v>
      </c>
      <c r="C1146" s="667" t="s">
        <v>1507</v>
      </c>
      <c r="D1146" s="728" t="s">
        <v>40</v>
      </c>
      <c r="E1146" s="728">
        <v>1109.2</v>
      </c>
      <c r="F1146" s="728">
        <v>2</v>
      </c>
      <c r="G1146" s="639">
        <f t="shared" si="83"/>
        <v>2218.4</v>
      </c>
      <c r="H1146" s="728"/>
      <c r="I1146" s="728"/>
      <c r="J1146" s="728"/>
      <c r="K1146" s="752"/>
      <c r="L1146" s="752"/>
      <c r="M1146" s="752"/>
      <c r="N1146" s="728"/>
      <c r="O1146" s="728"/>
    </row>
    <row r="1147" spans="1:15">
      <c r="A1147" s="728"/>
      <c r="B1147" s="749" t="s">
        <v>1506</v>
      </c>
      <c r="C1147" s="671"/>
      <c r="D1147" s="728" t="s">
        <v>40</v>
      </c>
      <c r="E1147" s="728">
        <v>1404.2</v>
      </c>
      <c r="F1147" s="728">
        <v>2</v>
      </c>
      <c r="G1147" s="639">
        <f t="shared" si="83"/>
        <v>2808.4</v>
      </c>
      <c r="H1147" s="728"/>
      <c r="I1147" s="728"/>
      <c r="J1147" s="728"/>
      <c r="K1147" s="752"/>
      <c r="L1147" s="752"/>
      <c r="M1147" s="752"/>
      <c r="N1147" s="728"/>
      <c r="O1147" s="728"/>
    </row>
    <row r="1148" spans="1:15" ht="31.5">
      <c r="A1148" s="728"/>
      <c r="B1148" s="749" t="s">
        <v>1508</v>
      </c>
      <c r="C1148" s="729" t="s">
        <v>1509</v>
      </c>
      <c r="D1148" s="728" t="s">
        <v>40</v>
      </c>
      <c r="E1148" s="728">
        <v>1050.2</v>
      </c>
      <c r="F1148" s="728">
        <v>3</v>
      </c>
      <c r="G1148" s="639">
        <f t="shared" si="83"/>
        <v>3150.6000000000004</v>
      </c>
      <c r="H1148" s="728"/>
      <c r="I1148" s="728"/>
      <c r="J1148" s="728"/>
      <c r="K1148" s="752"/>
      <c r="L1148" s="752"/>
      <c r="M1148" s="752"/>
      <c r="N1148" s="728"/>
      <c r="O1148" s="728"/>
    </row>
    <row r="1149" spans="1:15" ht="31.5">
      <c r="A1149" s="728">
        <v>140</v>
      </c>
      <c r="B1149" s="749" t="s">
        <v>1510</v>
      </c>
      <c r="C1149" s="729" t="s">
        <v>1511</v>
      </c>
      <c r="D1149" s="728" t="s">
        <v>40</v>
      </c>
      <c r="E1149" s="728">
        <v>1286.2</v>
      </c>
      <c r="F1149" s="728">
        <v>3</v>
      </c>
      <c r="G1149" s="639">
        <f t="shared" si="83"/>
        <v>3858.6000000000004</v>
      </c>
      <c r="H1149" s="728"/>
      <c r="I1149" s="728"/>
      <c r="J1149" s="728"/>
      <c r="K1149" s="752"/>
      <c r="L1149" s="752"/>
      <c r="M1149" s="752"/>
      <c r="N1149" s="728"/>
      <c r="O1149" s="728"/>
    </row>
    <row r="1150" spans="1:15" ht="31.5">
      <c r="A1150" s="639">
        <v>156</v>
      </c>
      <c r="B1150" s="749" t="s">
        <v>1512</v>
      </c>
      <c r="C1150" s="701" t="s">
        <v>1513</v>
      </c>
      <c r="D1150" s="639" t="s">
        <v>40</v>
      </c>
      <c r="E1150" s="643">
        <v>3528.2</v>
      </c>
      <c r="F1150" s="639">
        <v>4</v>
      </c>
      <c r="G1150" s="639">
        <f t="shared" si="83"/>
        <v>14112.8</v>
      </c>
      <c r="H1150" s="639"/>
      <c r="I1150" s="639"/>
      <c r="J1150" s="639"/>
      <c r="K1150" s="641"/>
      <c r="L1150" s="641"/>
      <c r="M1150" s="641"/>
      <c r="N1150" s="639"/>
      <c r="O1150" s="639"/>
    </row>
    <row r="1151" spans="1:15">
      <c r="A1151" s="639"/>
      <c r="B1151" s="750"/>
      <c r="C1151" s="701" t="s">
        <v>1514</v>
      </c>
      <c r="D1151" s="639" t="s">
        <v>40</v>
      </c>
      <c r="E1151" s="643">
        <v>2118.1</v>
      </c>
      <c r="F1151" s="639">
        <f>2-2</f>
        <v>0</v>
      </c>
      <c r="G1151" s="639">
        <f t="shared" si="83"/>
        <v>0</v>
      </c>
      <c r="H1151" s="639"/>
      <c r="I1151" s="639"/>
      <c r="J1151" s="639"/>
      <c r="K1151" s="641"/>
      <c r="L1151" s="641"/>
      <c r="M1151" s="641"/>
      <c r="N1151" s="639"/>
      <c r="O1151" s="639"/>
    </row>
    <row r="1152" spans="1:15" ht="31.5">
      <c r="A1152" s="639"/>
      <c r="B1152" s="749" t="s">
        <v>1515</v>
      </c>
      <c r="C1152" s="701" t="s">
        <v>1516</v>
      </c>
      <c r="D1152" s="639" t="s">
        <v>40</v>
      </c>
      <c r="E1152" s="643">
        <v>17641</v>
      </c>
      <c r="F1152" s="639">
        <v>2</v>
      </c>
      <c r="G1152" s="639">
        <f t="shared" si="83"/>
        <v>35282</v>
      </c>
      <c r="H1152" s="639"/>
      <c r="I1152" s="639"/>
      <c r="J1152" s="639"/>
      <c r="K1152" s="641"/>
      <c r="L1152" s="641"/>
      <c r="M1152" s="641"/>
      <c r="N1152" s="639"/>
      <c r="O1152" s="639"/>
    </row>
    <row r="1153" spans="1:15">
      <c r="A1153" s="639"/>
      <c r="B1153" s="750"/>
      <c r="C1153" s="701" t="s">
        <v>1517</v>
      </c>
      <c r="D1153" s="639" t="s">
        <v>40</v>
      </c>
      <c r="E1153" s="643">
        <v>0</v>
      </c>
      <c r="F1153" s="639">
        <v>0</v>
      </c>
      <c r="G1153" s="639">
        <f t="shared" si="83"/>
        <v>0</v>
      </c>
      <c r="H1153" s="639"/>
      <c r="I1153" s="639"/>
      <c r="J1153" s="639"/>
      <c r="K1153" s="639"/>
      <c r="L1153" s="639"/>
      <c r="M1153" s="639"/>
      <c r="N1153" s="639"/>
      <c r="O1153" s="639"/>
    </row>
    <row r="1154" spans="1:15" ht="31.5">
      <c r="A1154" s="639"/>
      <c r="B1154" s="750"/>
      <c r="C1154" s="701" t="s">
        <v>1518</v>
      </c>
      <c r="D1154" s="639" t="s">
        <v>40</v>
      </c>
      <c r="E1154" s="643">
        <v>0</v>
      </c>
      <c r="F1154" s="639">
        <v>0</v>
      </c>
      <c r="G1154" s="639">
        <f t="shared" si="83"/>
        <v>0</v>
      </c>
      <c r="H1154" s="639"/>
      <c r="I1154" s="639"/>
      <c r="J1154" s="639"/>
      <c r="K1154" s="639"/>
      <c r="L1154" s="639"/>
      <c r="M1154" s="639"/>
      <c r="N1154" s="639"/>
      <c r="O1154" s="639"/>
    </row>
    <row r="1155" spans="1:15">
      <c r="A1155" s="639"/>
      <c r="B1155" s="698"/>
      <c r="C1155" s="701"/>
      <c r="D1155" s="639"/>
      <c r="E1155" s="643"/>
      <c r="F1155" s="639"/>
      <c r="G1155" s="639">
        <f t="shared" si="83"/>
        <v>0</v>
      </c>
      <c r="H1155" s="639"/>
      <c r="I1155" s="639"/>
      <c r="J1155" s="639"/>
      <c r="K1155" s="641"/>
      <c r="L1155" s="641"/>
      <c r="M1155" s="641"/>
      <c r="N1155" s="639"/>
      <c r="O1155" s="639"/>
    </row>
    <row r="1156" spans="1:15" ht="47.25">
      <c r="A1156" s="639">
        <v>34</v>
      </c>
      <c r="B1156" s="753" t="s">
        <v>1519</v>
      </c>
      <c r="C1156" s="701" t="s">
        <v>1520</v>
      </c>
      <c r="D1156" s="639" t="s">
        <v>37</v>
      </c>
      <c r="E1156" s="643">
        <v>0</v>
      </c>
      <c r="F1156" s="639">
        <v>4</v>
      </c>
      <c r="G1156" s="639">
        <f t="shared" si="83"/>
        <v>0</v>
      </c>
      <c r="H1156" s="639"/>
      <c r="I1156" s="639"/>
      <c r="J1156" s="639"/>
      <c r="K1156" s="641"/>
      <c r="L1156" s="641"/>
      <c r="M1156" s="641"/>
      <c r="N1156" s="639"/>
      <c r="O1156" s="639"/>
    </row>
    <row r="1157" spans="1:15" ht="47.25">
      <c r="A1157" s="639">
        <v>35</v>
      </c>
      <c r="B1157" s="753" t="s">
        <v>1521</v>
      </c>
      <c r="C1157" s="701" t="s">
        <v>1522</v>
      </c>
      <c r="D1157" s="639" t="s">
        <v>37</v>
      </c>
      <c r="E1157" s="643">
        <v>0</v>
      </c>
      <c r="F1157" s="639">
        <v>2</v>
      </c>
      <c r="G1157" s="639">
        <f t="shared" si="83"/>
        <v>0</v>
      </c>
      <c r="H1157" s="639"/>
      <c r="I1157" s="639"/>
      <c r="J1157" s="639"/>
      <c r="K1157" s="641"/>
      <c r="L1157" s="641"/>
      <c r="M1157" s="641"/>
      <c r="N1157" s="639"/>
      <c r="O1157" s="639"/>
    </row>
    <row r="1158" spans="1:15" ht="47.25">
      <c r="A1158" s="639">
        <v>55</v>
      </c>
      <c r="B1158" s="753" t="s">
        <v>1523</v>
      </c>
      <c r="C1158" s="701" t="s">
        <v>1524</v>
      </c>
      <c r="D1158" s="639" t="s">
        <v>37</v>
      </c>
      <c r="E1158" s="643">
        <v>0</v>
      </c>
      <c r="F1158" s="639">
        <v>2</v>
      </c>
      <c r="G1158" s="639">
        <f t="shared" si="83"/>
        <v>0</v>
      </c>
      <c r="H1158" s="639"/>
      <c r="I1158" s="639"/>
      <c r="J1158" s="639"/>
      <c r="K1158" s="641"/>
      <c r="L1158" s="641"/>
      <c r="M1158" s="641"/>
      <c r="N1158" s="639"/>
      <c r="O1158" s="639"/>
    </row>
    <row r="1159" spans="1:15" ht="47.25">
      <c r="A1159" s="639">
        <v>56</v>
      </c>
      <c r="B1159" s="753" t="s">
        <v>1525</v>
      </c>
      <c r="C1159" s="701" t="s">
        <v>1526</v>
      </c>
      <c r="D1159" s="639" t="s">
        <v>37</v>
      </c>
      <c r="E1159" s="643">
        <v>0</v>
      </c>
      <c r="F1159" s="639">
        <v>2</v>
      </c>
      <c r="G1159" s="639">
        <f t="shared" si="83"/>
        <v>0</v>
      </c>
      <c r="H1159" s="639"/>
      <c r="I1159" s="639"/>
      <c r="J1159" s="639"/>
      <c r="K1159" s="641"/>
      <c r="L1159" s="641"/>
      <c r="M1159" s="641"/>
      <c r="N1159" s="639"/>
      <c r="O1159" s="639"/>
    </row>
    <row r="1160" spans="1:15" ht="47.25">
      <c r="A1160" s="639">
        <v>57</v>
      </c>
      <c r="B1160" s="753" t="s">
        <v>1527</v>
      </c>
      <c r="C1160" s="701" t="s">
        <v>1528</v>
      </c>
      <c r="D1160" s="639" t="s">
        <v>37</v>
      </c>
      <c r="E1160" s="643">
        <v>0</v>
      </c>
      <c r="F1160" s="639">
        <v>1</v>
      </c>
      <c r="G1160" s="639">
        <f t="shared" si="83"/>
        <v>0</v>
      </c>
      <c r="H1160" s="639"/>
      <c r="I1160" s="639"/>
      <c r="J1160" s="639"/>
      <c r="K1160" s="641"/>
      <c r="L1160" s="641"/>
      <c r="M1160" s="641"/>
      <c r="N1160" s="639"/>
      <c r="O1160" s="639"/>
    </row>
    <row r="1161" spans="1:15" ht="63">
      <c r="A1161" s="639">
        <v>94</v>
      </c>
      <c r="B1161" s="753" t="s">
        <v>1529</v>
      </c>
      <c r="C1161" s="705" t="s">
        <v>1530</v>
      </c>
      <c r="D1161" s="639" t="s">
        <v>277</v>
      </c>
      <c r="E1161" s="643">
        <v>0</v>
      </c>
      <c r="F1161" s="639">
        <v>2</v>
      </c>
      <c r="G1161" s="639">
        <f t="shared" si="83"/>
        <v>0</v>
      </c>
      <c r="H1161" s="639"/>
      <c r="I1161" s="639"/>
      <c r="J1161" s="639"/>
      <c r="K1161" s="641"/>
      <c r="L1161" s="641"/>
      <c r="M1161" s="641"/>
      <c r="N1161" s="639"/>
      <c r="O1161" s="639"/>
    </row>
    <row r="1162" spans="1:15" ht="31.5">
      <c r="A1162" s="639"/>
      <c r="B1162" s="753" t="s">
        <v>1531</v>
      </c>
      <c r="C1162" s="754" t="s">
        <v>1532</v>
      </c>
      <c r="D1162" s="215" t="s">
        <v>40</v>
      </c>
      <c r="E1162" s="643">
        <v>5894.1</v>
      </c>
      <c r="F1162" s="639">
        <f>6-3</f>
        <v>3</v>
      </c>
      <c r="G1162" s="639">
        <f t="shared" si="83"/>
        <v>17682.300000000003</v>
      </c>
      <c r="H1162" s="639"/>
      <c r="I1162" s="639"/>
      <c r="J1162" s="639"/>
      <c r="K1162" s="641"/>
      <c r="L1162" s="641"/>
      <c r="M1162" s="641"/>
      <c r="N1162" s="639"/>
      <c r="O1162" s="639"/>
    </row>
    <row r="1163" spans="1:15">
      <c r="A1163" s="639">
        <v>118</v>
      </c>
      <c r="B1163" s="753" t="s">
        <v>445</v>
      </c>
      <c r="C1163" s="705" t="s">
        <v>1533</v>
      </c>
      <c r="D1163" s="639" t="s">
        <v>208</v>
      </c>
      <c r="E1163" s="643">
        <v>529.82000000000005</v>
      </c>
      <c r="F1163" s="639">
        <v>0</v>
      </c>
      <c r="G1163" s="639">
        <f t="shared" si="83"/>
        <v>0</v>
      </c>
      <c r="H1163" s="639"/>
      <c r="I1163" s="639"/>
      <c r="J1163" s="639"/>
      <c r="K1163" s="641"/>
      <c r="L1163" s="641"/>
      <c r="M1163" s="641"/>
      <c r="N1163" s="639"/>
      <c r="O1163" s="639"/>
    </row>
    <row r="1164" spans="1:15" ht="31.5">
      <c r="A1164" s="639"/>
      <c r="B1164" s="753" t="s">
        <v>1527</v>
      </c>
      <c r="C1164" s="705" t="s">
        <v>1534</v>
      </c>
      <c r="D1164" s="639" t="s">
        <v>40</v>
      </c>
      <c r="E1164" s="643">
        <v>0</v>
      </c>
      <c r="F1164" s="639">
        <v>6</v>
      </c>
      <c r="G1164" s="639">
        <f t="shared" si="83"/>
        <v>0</v>
      </c>
      <c r="H1164" s="639"/>
      <c r="I1164" s="639"/>
      <c r="J1164" s="639"/>
      <c r="K1164" s="641"/>
      <c r="L1164" s="641"/>
      <c r="M1164" s="641"/>
      <c r="N1164" s="639"/>
      <c r="O1164" s="639"/>
    </row>
    <row r="1165" spans="1:15">
      <c r="A1165" s="639">
        <v>169</v>
      </c>
      <c r="B1165" s="753" t="s">
        <v>933</v>
      </c>
      <c r="C1165" s="705" t="s">
        <v>1535</v>
      </c>
      <c r="D1165" s="733" t="s">
        <v>892</v>
      </c>
      <c r="E1165" s="643">
        <v>73.16</v>
      </c>
      <c r="F1165" s="712">
        <f>18342-836-500-20-1881-1254-627-1254-2299-418-10-3135-50-836-209-627-418-650-30-50-440-418-418-20-418-50-30-418-300-210-80-300</f>
        <v>136</v>
      </c>
      <c r="G1165" s="639">
        <f t="shared" si="83"/>
        <v>9949.76</v>
      </c>
      <c r="H1165" s="739"/>
      <c r="I1165" s="739"/>
      <c r="J1165" s="739"/>
      <c r="K1165" s="740"/>
      <c r="L1165" s="740"/>
      <c r="M1165" s="740"/>
      <c r="N1165" s="739"/>
      <c r="O1165" s="739"/>
    </row>
    <row r="1166" spans="1:15" ht="31.5">
      <c r="A1166" s="639">
        <v>173</v>
      </c>
      <c r="B1166" s="753" t="s">
        <v>1536</v>
      </c>
      <c r="C1166" s="705" t="s">
        <v>1537</v>
      </c>
      <c r="D1166" s="733" t="s">
        <v>40</v>
      </c>
      <c r="E1166" s="643">
        <v>13847</v>
      </c>
      <c r="F1166" s="712">
        <f>3-2</f>
        <v>1</v>
      </c>
      <c r="G1166" s="639">
        <f t="shared" si="83"/>
        <v>13847</v>
      </c>
      <c r="H1166" s="739"/>
      <c r="I1166" s="739"/>
      <c r="J1166" s="739"/>
      <c r="K1166" s="740"/>
      <c r="L1166" s="740"/>
      <c r="M1166" s="740"/>
      <c r="N1166" s="739"/>
      <c r="O1166" s="739"/>
    </row>
    <row r="1167" spans="1:15" ht="31.5">
      <c r="A1167" s="639">
        <v>174</v>
      </c>
      <c r="B1167" s="753" t="s">
        <v>1538</v>
      </c>
      <c r="C1167" s="705" t="s">
        <v>1539</v>
      </c>
      <c r="D1167" s="733" t="s">
        <v>40</v>
      </c>
      <c r="E1167" s="643">
        <v>10442</v>
      </c>
      <c r="F1167" s="712">
        <f>4-2</f>
        <v>2</v>
      </c>
      <c r="G1167" s="639">
        <f t="shared" si="83"/>
        <v>20884</v>
      </c>
      <c r="H1167" s="739"/>
      <c r="I1167" s="739"/>
      <c r="J1167" s="739"/>
      <c r="K1167" s="740"/>
      <c r="L1167" s="740"/>
      <c r="M1167" s="740"/>
      <c r="N1167" s="739"/>
      <c r="O1167" s="739"/>
    </row>
    <row r="1168" spans="1:15">
      <c r="A1168" s="639">
        <v>175</v>
      </c>
      <c r="B1168" s="753" t="s">
        <v>330</v>
      </c>
      <c r="C1168" s="705" t="s">
        <v>1540</v>
      </c>
      <c r="D1168" s="733" t="s">
        <v>40</v>
      </c>
      <c r="E1168" s="643">
        <v>250</v>
      </c>
      <c r="F1168" s="712">
        <f>324-75+796-210-411-100</f>
        <v>324</v>
      </c>
      <c r="G1168" s="639">
        <f t="shared" si="83"/>
        <v>81000</v>
      </c>
      <c r="H1168" s="739"/>
      <c r="I1168" s="739"/>
      <c r="J1168" s="739"/>
      <c r="K1168" s="740"/>
      <c r="L1168" s="740"/>
      <c r="M1168" s="740"/>
      <c r="N1168" s="739"/>
      <c r="O1168" s="739"/>
    </row>
    <row r="1169" spans="1:15" ht="31.5">
      <c r="A1169" s="639"/>
      <c r="B1169" s="755"/>
      <c r="C1169" s="701" t="s">
        <v>1541</v>
      </c>
      <c r="D1169" s="733" t="s">
        <v>40</v>
      </c>
      <c r="E1169" s="643">
        <v>0</v>
      </c>
      <c r="F1169" s="712">
        <v>1</v>
      </c>
      <c r="G1169" s="639">
        <f t="shared" si="83"/>
        <v>0</v>
      </c>
      <c r="H1169" s="739"/>
      <c r="I1169" s="739"/>
      <c r="J1169" s="739"/>
      <c r="K1169" s="740"/>
      <c r="L1169" s="740"/>
      <c r="M1169" s="740"/>
      <c r="N1169" s="739"/>
      <c r="O1169" s="739"/>
    </row>
    <row r="1170" spans="1:15" ht="31.5">
      <c r="A1170" s="639"/>
      <c r="B1170" s="755"/>
      <c r="C1170" s="701" t="s">
        <v>1542</v>
      </c>
      <c r="D1170" s="733" t="s">
        <v>40</v>
      </c>
      <c r="E1170" s="643">
        <v>0</v>
      </c>
      <c r="F1170" s="712">
        <v>2</v>
      </c>
      <c r="G1170" s="639">
        <f t="shared" si="83"/>
        <v>0</v>
      </c>
      <c r="H1170" s="739"/>
      <c r="I1170" s="739"/>
      <c r="J1170" s="739"/>
      <c r="K1170" s="740"/>
      <c r="L1170" s="740"/>
      <c r="M1170" s="740"/>
      <c r="N1170" s="739"/>
      <c r="O1170" s="739"/>
    </row>
    <row r="1171" spans="1:15" ht="31.5">
      <c r="A1171" s="639"/>
      <c r="B1171" s="753" t="s">
        <v>1543</v>
      </c>
      <c r="C1171" s="701" t="s">
        <v>1544</v>
      </c>
      <c r="D1171" s="733" t="s">
        <v>40</v>
      </c>
      <c r="E1171" s="643">
        <v>0</v>
      </c>
      <c r="F1171" s="712">
        <v>2</v>
      </c>
      <c r="G1171" s="639">
        <f t="shared" si="83"/>
        <v>0</v>
      </c>
      <c r="H1171" s="739"/>
      <c r="I1171" s="739"/>
      <c r="J1171" s="739"/>
      <c r="K1171" s="740"/>
      <c r="L1171" s="740"/>
      <c r="M1171" s="740"/>
      <c r="N1171" s="739"/>
      <c r="O1171" s="739"/>
    </row>
    <row r="1172" spans="1:15" ht="31.5">
      <c r="A1172" s="639"/>
      <c r="B1172" s="753"/>
      <c r="C1172" s="701" t="s">
        <v>1545</v>
      </c>
      <c r="D1172" s="733" t="s">
        <v>40</v>
      </c>
      <c r="E1172" s="643">
        <v>0</v>
      </c>
      <c r="F1172" s="712">
        <v>2</v>
      </c>
      <c r="G1172" s="639">
        <f t="shared" si="83"/>
        <v>0</v>
      </c>
      <c r="H1172" s="739"/>
      <c r="I1172" s="739"/>
      <c r="J1172" s="739"/>
      <c r="K1172" s="740"/>
      <c r="L1172" s="740"/>
      <c r="M1172" s="740"/>
      <c r="N1172" s="739"/>
      <c r="O1172" s="739"/>
    </row>
    <row r="1173" spans="1:15" ht="31.5">
      <c r="A1173" s="639"/>
      <c r="B1173" s="753"/>
      <c r="C1173" s="701" t="s">
        <v>1546</v>
      </c>
      <c r="D1173" s="733" t="s">
        <v>40</v>
      </c>
      <c r="E1173" s="643">
        <v>0</v>
      </c>
      <c r="F1173" s="712">
        <v>2</v>
      </c>
      <c r="G1173" s="639">
        <f t="shared" si="83"/>
        <v>0</v>
      </c>
      <c r="H1173" s="739"/>
      <c r="I1173" s="739"/>
      <c r="J1173" s="739"/>
      <c r="K1173" s="740"/>
      <c r="L1173" s="740"/>
      <c r="M1173" s="740"/>
      <c r="N1173" s="739"/>
      <c r="O1173" s="739"/>
    </row>
    <row r="1174" spans="1:15" ht="31.5">
      <c r="A1174" s="639"/>
      <c r="B1174" s="755"/>
      <c r="C1174" s="701" t="s">
        <v>1547</v>
      </c>
      <c r="D1174" s="733" t="s">
        <v>40</v>
      </c>
      <c r="E1174" s="643">
        <v>0</v>
      </c>
      <c r="F1174" s="712">
        <v>1</v>
      </c>
      <c r="G1174" s="639">
        <f t="shared" si="83"/>
        <v>0</v>
      </c>
      <c r="H1174" s="739"/>
      <c r="I1174" s="739"/>
      <c r="J1174" s="739"/>
      <c r="K1174" s="740"/>
      <c r="L1174" s="740"/>
      <c r="M1174" s="740"/>
      <c r="N1174" s="739"/>
      <c r="O1174" s="739"/>
    </row>
    <row r="1175" spans="1:15" ht="31.5">
      <c r="A1175" s="639"/>
      <c r="B1175" s="753" t="s">
        <v>1548</v>
      </c>
      <c r="C1175" s="701" t="s">
        <v>1549</v>
      </c>
      <c r="D1175" s="733" t="s">
        <v>40</v>
      </c>
      <c r="E1175" s="643">
        <v>0</v>
      </c>
      <c r="F1175" s="712">
        <v>2</v>
      </c>
      <c r="G1175" s="639">
        <f t="shared" si="83"/>
        <v>0</v>
      </c>
      <c r="H1175" s="739"/>
      <c r="I1175" s="739"/>
      <c r="J1175" s="739"/>
      <c r="K1175" s="740"/>
      <c r="L1175" s="740"/>
      <c r="M1175" s="740"/>
      <c r="N1175" s="739"/>
      <c r="O1175" s="739"/>
    </row>
    <row r="1176" spans="1:15" ht="31.5">
      <c r="A1176" s="639"/>
      <c r="B1176" s="755"/>
      <c r="C1176" s="701" t="s">
        <v>1550</v>
      </c>
      <c r="D1176" s="733" t="s">
        <v>40</v>
      </c>
      <c r="E1176" s="643">
        <v>0</v>
      </c>
      <c r="F1176" s="712">
        <v>2</v>
      </c>
      <c r="G1176" s="639">
        <f t="shared" si="83"/>
        <v>0</v>
      </c>
      <c r="H1176" s="739"/>
      <c r="I1176" s="739"/>
      <c r="J1176" s="739"/>
      <c r="K1176" s="740"/>
      <c r="L1176" s="740"/>
      <c r="M1176" s="740"/>
      <c r="N1176" s="739"/>
      <c r="O1176" s="739"/>
    </row>
    <row r="1177" spans="1:15">
      <c r="A1177" s="639"/>
      <c r="B1177" s="755"/>
      <c r="C1177" s="701" t="s">
        <v>1551</v>
      </c>
      <c r="D1177" s="733" t="s">
        <v>40</v>
      </c>
      <c r="E1177" s="643">
        <v>0</v>
      </c>
      <c r="F1177" s="712">
        <v>2</v>
      </c>
      <c r="G1177" s="639">
        <f t="shared" si="83"/>
        <v>0</v>
      </c>
      <c r="H1177" s="739"/>
      <c r="I1177" s="739"/>
      <c r="J1177" s="739"/>
      <c r="K1177" s="740"/>
      <c r="L1177" s="740"/>
      <c r="M1177" s="740"/>
      <c r="N1177" s="739"/>
      <c r="O1177" s="739"/>
    </row>
    <row r="1178" spans="1:15" ht="31.5">
      <c r="A1178" s="639"/>
      <c r="B1178" s="753" t="s">
        <v>1552</v>
      </c>
      <c r="C1178" s="704" t="s">
        <v>1553</v>
      </c>
      <c r="D1178" s="733" t="s">
        <v>40</v>
      </c>
      <c r="E1178" s="643">
        <v>2360</v>
      </c>
      <c r="F1178" s="712">
        <f>4-2</f>
        <v>2</v>
      </c>
      <c r="G1178" s="639">
        <f t="shared" si="83"/>
        <v>4720</v>
      </c>
      <c r="H1178" s="739"/>
      <c r="I1178" s="739"/>
      <c r="J1178" s="739"/>
      <c r="K1178" s="740"/>
      <c r="L1178" s="740"/>
      <c r="M1178" s="740"/>
      <c r="N1178" s="739"/>
      <c r="O1178" s="739"/>
    </row>
    <row r="1179" spans="1:15" ht="31.5">
      <c r="A1179" s="639"/>
      <c r="B1179" s="753"/>
      <c r="C1179" s="701" t="s">
        <v>1554</v>
      </c>
      <c r="D1179" s="733" t="s">
        <v>40</v>
      </c>
      <c r="E1179" s="643">
        <v>2478</v>
      </c>
      <c r="F1179" s="712">
        <f>4-3-1</f>
        <v>0</v>
      </c>
      <c r="G1179" s="639">
        <f t="shared" si="83"/>
        <v>0</v>
      </c>
      <c r="H1179" s="739"/>
      <c r="I1179" s="739"/>
      <c r="J1179" s="739"/>
      <c r="K1179" s="740"/>
      <c r="L1179" s="740"/>
      <c r="M1179" s="740"/>
      <c r="N1179" s="739"/>
      <c r="O1179" s="739"/>
    </row>
    <row r="1180" spans="1:15" ht="31.5">
      <c r="A1180" s="639"/>
      <c r="B1180" s="755"/>
      <c r="C1180" s="701" t="s">
        <v>1555</v>
      </c>
      <c r="D1180" s="733" t="s">
        <v>40</v>
      </c>
      <c r="E1180" s="643">
        <v>3422</v>
      </c>
      <c r="F1180" s="712">
        <f>6-3-1-2</f>
        <v>0</v>
      </c>
      <c r="G1180" s="639">
        <f t="shared" si="83"/>
        <v>0</v>
      </c>
      <c r="H1180" s="739"/>
      <c r="I1180" s="739"/>
      <c r="J1180" s="739"/>
      <c r="K1180" s="740"/>
      <c r="L1180" s="740"/>
      <c r="M1180" s="740"/>
      <c r="N1180" s="739"/>
      <c r="O1180" s="739"/>
    </row>
    <row r="1181" spans="1:15" ht="31.5">
      <c r="A1181" s="639"/>
      <c r="B1181" s="755"/>
      <c r="C1181" s="701" t="s">
        <v>1556</v>
      </c>
      <c r="D1181" s="733" t="s">
        <v>40</v>
      </c>
      <c r="E1181" s="643">
        <v>2360</v>
      </c>
      <c r="F1181" s="712">
        <f>4-3-1</f>
        <v>0</v>
      </c>
      <c r="G1181" s="639">
        <f t="shared" si="83"/>
        <v>0</v>
      </c>
      <c r="H1181" s="739"/>
      <c r="I1181" s="739"/>
      <c r="J1181" s="739"/>
      <c r="K1181" s="740"/>
      <c r="L1181" s="740"/>
      <c r="M1181" s="740"/>
      <c r="N1181" s="739"/>
      <c r="O1181" s="739"/>
    </row>
    <row r="1182" spans="1:15" ht="31.5">
      <c r="A1182" s="639"/>
      <c r="B1182" s="755"/>
      <c r="C1182" s="701" t="s">
        <v>1557</v>
      </c>
      <c r="D1182" s="733" t="s">
        <v>40</v>
      </c>
      <c r="E1182" s="643">
        <v>3528.2</v>
      </c>
      <c r="F1182" s="712">
        <f>4-2-1-1</f>
        <v>0</v>
      </c>
      <c r="G1182" s="639">
        <f t="shared" ref="G1182:G1198" si="84">E1182*F1182</f>
        <v>0</v>
      </c>
      <c r="H1182" s="739"/>
      <c r="I1182" s="739"/>
      <c r="J1182" s="739"/>
      <c r="K1182" s="740"/>
      <c r="L1182" s="740"/>
      <c r="M1182" s="740"/>
      <c r="N1182" s="739"/>
      <c r="O1182" s="739"/>
    </row>
    <row r="1183" spans="1:15" ht="47.25">
      <c r="A1183" s="639">
        <v>183</v>
      </c>
      <c r="B1183" s="756" t="s">
        <v>1558</v>
      </c>
      <c r="C1183" s="701" t="s">
        <v>1559</v>
      </c>
      <c r="D1183" s="733" t="s">
        <v>40</v>
      </c>
      <c r="E1183" s="643">
        <v>200</v>
      </c>
      <c r="F1183" s="712">
        <v>0</v>
      </c>
      <c r="G1183" s="639">
        <f t="shared" si="84"/>
        <v>0</v>
      </c>
      <c r="H1183" s="739"/>
      <c r="I1183" s="739"/>
      <c r="J1183" s="739"/>
      <c r="K1183" s="740"/>
      <c r="L1183" s="740">
        <v>1</v>
      </c>
      <c r="M1183" s="641">
        <f>L1183*E1183</f>
        <v>200</v>
      </c>
      <c r="N1183" s="739"/>
      <c r="O1183" s="739"/>
    </row>
    <row r="1184" spans="1:15">
      <c r="A1184" s="719">
        <v>187</v>
      </c>
      <c r="B1184" s="757" t="s">
        <v>1560</v>
      </c>
      <c r="C1184" s="721" t="s">
        <v>1561</v>
      </c>
      <c r="D1184" s="639" t="s">
        <v>40</v>
      </c>
      <c r="E1184" s="643">
        <v>39441</v>
      </c>
      <c r="F1184" s="639">
        <v>1</v>
      </c>
      <c r="G1184" s="639">
        <f t="shared" si="84"/>
        <v>39441</v>
      </c>
      <c r="H1184" s="639"/>
      <c r="I1184" s="639"/>
      <c r="J1184" s="639"/>
      <c r="K1184" s="641"/>
      <c r="L1184" s="641"/>
      <c r="M1184" s="641"/>
      <c r="N1184" s="639"/>
      <c r="O1184" s="639"/>
    </row>
    <row r="1185" spans="1:15">
      <c r="A1185" s="722"/>
      <c r="B1185" s="758"/>
      <c r="C1185" s="724"/>
      <c r="D1185" s="639" t="s">
        <v>40</v>
      </c>
      <c r="E1185" s="643">
        <v>67024</v>
      </c>
      <c r="F1185" s="639">
        <v>1</v>
      </c>
      <c r="G1185" s="639">
        <f t="shared" si="84"/>
        <v>67024</v>
      </c>
      <c r="H1185" s="639"/>
      <c r="I1185" s="639"/>
      <c r="J1185" s="639"/>
      <c r="K1185" s="641"/>
      <c r="L1185" s="641"/>
      <c r="M1185" s="641"/>
      <c r="N1185" s="639"/>
      <c r="O1185" s="639"/>
    </row>
    <row r="1186" spans="1:15" ht="47.25">
      <c r="A1186" s="639">
        <v>192</v>
      </c>
      <c r="B1186" s="756" t="s">
        <v>1562</v>
      </c>
      <c r="C1186" s="701" t="s">
        <v>1563</v>
      </c>
      <c r="D1186" s="733" t="s">
        <v>37</v>
      </c>
      <c r="E1186" s="643">
        <v>0</v>
      </c>
      <c r="F1186" s="639">
        <v>3</v>
      </c>
      <c r="G1186" s="639">
        <f t="shared" si="84"/>
        <v>0</v>
      </c>
      <c r="H1186" s="639"/>
      <c r="I1186" s="639"/>
      <c r="J1186" s="639"/>
      <c r="K1186" s="641"/>
      <c r="L1186" s="641"/>
      <c r="M1186" s="641"/>
      <c r="N1186" s="639"/>
      <c r="O1186" s="639"/>
    </row>
    <row r="1187" spans="1:15" ht="31.5">
      <c r="A1187" s="639">
        <v>194</v>
      </c>
      <c r="B1187" s="756" t="s">
        <v>1564</v>
      </c>
      <c r="C1187" s="701" t="s">
        <v>1565</v>
      </c>
      <c r="D1187" s="733" t="s">
        <v>37</v>
      </c>
      <c r="E1187" s="643">
        <v>0</v>
      </c>
      <c r="F1187" s="733">
        <v>4</v>
      </c>
      <c r="G1187" s="639">
        <f t="shared" si="84"/>
        <v>0</v>
      </c>
      <c r="H1187" s="639"/>
      <c r="I1187" s="639"/>
      <c r="J1187" s="639"/>
      <c r="K1187" s="641"/>
      <c r="L1187" s="641"/>
      <c r="M1187" s="641"/>
      <c r="N1187" s="639"/>
      <c r="O1187" s="639"/>
    </row>
    <row r="1188" spans="1:15" ht="63">
      <c r="A1188" s="639">
        <v>212</v>
      </c>
      <c r="B1188" s="756" t="s">
        <v>1566</v>
      </c>
      <c r="C1188" s="701" t="s">
        <v>1567</v>
      </c>
      <c r="D1188" s="733" t="s">
        <v>37</v>
      </c>
      <c r="E1188" s="643">
        <v>24662</v>
      </c>
      <c r="F1188" s="733">
        <v>2</v>
      </c>
      <c r="G1188" s="639">
        <f t="shared" si="84"/>
        <v>49324</v>
      </c>
      <c r="H1188" s="639"/>
      <c r="I1188" s="639"/>
      <c r="J1188" s="639"/>
      <c r="K1188" s="641"/>
      <c r="L1188" s="641"/>
      <c r="M1188" s="641"/>
      <c r="N1188" s="639"/>
      <c r="O1188" s="639"/>
    </row>
    <row r="1189" spans="1:15" ht="47.25">
      <c r="A1189" s="639">
        <v>264</v>
      </c>
      <c r="B1189" s="756" t="s">
        <v>1568</v>
      </c>
      <c r="C1189" s="701" t="s">
        <v>1569</v>
      </c>
      <c r="D1189" s="733" t="s">
        <v>37</v>
      </c>
      <c r="E1189" s="643">
        <v>281075</v>
      </c>
      <c r="F1189" s="733">
        <v>3</v>
      </c>
      <c r="G1189" s="639">
        <f t="shared" si="84"/>
        <v>843225</v>
      </c>
      <c r="H1189" s="639"/>
      <c r="I1189" s="639"/>
      <c r="J1189" s="639"/>
      <c r="K1189" s="641"/>
      <c r="L1189" s="641"/>
      <c r="M1189" s="641"/>
      <c r="N1189" s="639"/>
      <c r="O1189" s="639"/>
    </row>
    <row r="1190" spans="1:15" ht="47.25">
      <c r="A1190" s="639">
        <v>264</v>
      </c>
      <c r="B1190" s="756" t="s">
        <v>1568</v>
      </c>
      <c r="C1190" s="701" t="s">
        <v>1569</v>
      </c>
      <c r="D1190" s="733" t="s">
        <v>37</v>
      </c>
      <c r="E1190" s="643">
        <v>1000</v>
      </c>
      <c r="F1190" s="733">
        <v>1</v>
      </c>
      <c r="G1190" s="639">
        <f t="shared" si="84"/>
        <v>1000</v>
      </c>
      <c r="H1190" s="639"/>
      <c r="I1190" s="639"/>
      <c r="J1190" s="639"/>
      <c r="K1190" s="641"/>
      <c r="L1190" s="641">
        <f>1+1-1</f>
        <v>1</v>
      </c>
      <c r="M1190" s="641">
        <f>L1190*E1190</f>
        <v>1000</v>
      </c>
      <c r="N1190" s="639"/>
      <c r="O1190" s="639"/>
    </row>
    <row r="1191" spans="1:15" ht="47.25">
      <c r="A1191" s="639"/>
      <c r="B1191" s="756"/>
      <c r="C1191" s="701" t="s">
        <v>1570</v>
      </c>
      <c r="D1191" s="733" t="s">
        <v>37</v>
      </c>
      <c r="E1191" s="643">
        <v>430700</v>
      </c>
      <c r="F1191" s="733">
        <v>1</v>
      </c>
      <c r="G1191" s="639">
        <f t="shared" si="84"/>
        <v>430700</v>
      </c>
      <c r="H1191" s="639"/>
      <c r="I1191" s="639"/>
      <c r="J1191" s="639"/>
      <c r="K1191" s="641"/>
      <c r="L1191" s="641"/>
      <c r="M1191" s="641"/>
      <c r="N1191" s="639"/>
      <c r="O1191" s="639"/>
    </row>
    <row r="1192" spans="1:15" ht="47.25">
      <c r="A1192" s="639">
        <v>269</v>
      </c>
      <c r="B1192" s="756" t="s">
        <v>1571</v>
      </c>
      <c r="C1192" s="701" t="s">
        <v>1572</v>
      </c>
      <c r="D1192" s="733" t="s">
        <v>37</v>
      </c>
      <c r="E1192" s="643">
        <v>354000</v>
      </c>
      <c r="F1192" s="733">
        <v>2</v>
      </c>
      <c r="G1192" s="639">
        <f t="shared" si="84"/>
        <v>708000</v>
      </c>
      <c r="H1192" s="639"/>
      <c r="I1192" s="639"/>
      <c r="J1192" s="639"/>
      <c r="K1192" s="641"/>
      <c r="L1192" s="641"/>
      <c r="M1192" s="641"/>
      <c r="N1192" s="639"/>
      <c r="O1192" s="639"/>
    </row>
    <row r="1193" spans="1:15" ht="47.25">
      <c r="A1193" s="639"/>
      <c r="B1193" s="756"/>
      <c r="C1193" s="701" t="s">
        <v>1573</v>
      </c>
      <c r="D1193" s="733" t="s">
        <v>37</v>
      </c>
      <c r="E1193" s="643">
        <v>354000</v>
      </c>
      <c r="F1193" s="733">
        <f>2-1</f>
        <v>1</v>
      </c>
      <c r="G1193" s="639">
        <f t="shared" si="84"/>
        <v>354000</v>
      </c>
      <c r="H1193" s="639"/>
      <c r="I1193" s="639"/>
      <c r="J1193" s="639"/>
      <c r="K1193" s="641"/>
      <c r="L1193" s="641"/>
      <c r="M1193" s="641"/>
      <c r="N1193" s="639"/>
      <c r="O1193" s="639"/>
    </row>
    <row r="1194" spans="1:15" ht="47.25">
      <c r="A1194" s="639"/>
      <c r="B1194" s="756"/>
      <c r="C1194" s="701" t="s">
        <v>1574</v>
      </c>
      <c r="D1194" s="733" t="s">
        <v>40</v>
      </c>
      <c r="E1194" s="643">
        <v>224200</v>
      </c>
      <c r="F1194" s="733">
        <v>1</v>
      </c>
      <c r="G1194" s="639">
        <f t="shared" si="84"/>
        <v>224200</v>
      </c>
      <c r="H1194" s="639"/>
      <c r="I1194" s="639"/>
      <c r="J1194" s="639"/>
      <c r="K1194" s="641"/>
      <c r="L1194" s="641"/>
      <c r="M1194" s="641"/>
      <c r="N1194" s="639"/>
      <c r="O1194" s="639"/>
    </row>
    <row r="1195" spans="1:15" ht="47.25">
      <c r="A1195" s="639"/>
      <c r="B1195" s="756"/>
      <c r="C1195" s="701" t="s">
        <v>1575</v>
      </c>
      <c r="D1195" s="733" t="s">
        <v>40</v>
      </c>
      <c r="E1195" s="643">
        <v>194700</v>
      </c>
      <c r="F1195" s="733">
        <v>1</v>
      </c>
      <c r="G1195" s="639">
        <f t="shared" si="84"/>
        <v>194700</v>
      </c>
      <c r="H1195" s="639"/>
      <c r="I1195" s="639"/>
      <c r="J1195" s="639"/>
      <c r="K1195" s="641"/>
      <c r="L1195" s="641"/>
      <c r="M1195" s="641"/>
      <c r="N1195" s="639"/>
      <c r="O1195" s="639"/>
    </row>
    <row r="1196" spans="1:15" ht="47.25">
      <c r="A1196" s="639">
        <v>270</v>
      </c>
      <c r="B1196" s="756" t="s">
        <v>362</v>
      </c>
      <c r="C1196" s="701" t="s">
        <v>1576</v>
      </c>
      <c r="D1196" s="733" t="s">
        <v>37</v>
      </c>
      <c r="E1196" s="643">
        <v>325518</v>
      </c>
      <c r="F1196" s="733">
        <f>2-1</f>
        <v>1</v>
      </c>
      <c r="G1196" s="639">
        <f t="shared" si="84"/>
        <v>325518</v>
      </c>
      <c r="H1196" s="639"/>
      <c r="I1196" s="639"/>
      <c r="J1196" s="639"/>
      <c r="K1196" s="641"/>
      <c r="L1196" s="641"/>
      <c r="M1196" s="641"/>
      <c r="N1196" s="639"/>
      <c r="O1196" s="639"/>
    </row>
    <row r="1197" spans="1:15" ht="47.25">
      <c r="A1197" s="639">
        <v>270</v>
      </c>
      <c r="B1197" s="756" t="s">
        <v>362</v>
      </c>
      <c r="C1197" s="701" t="s">
        <v>1576</v>
      </c>
      <c r="D1197" s="733" t="s">
        <v>40</v>
      </c>
      <c r="E1197" s="643">
        <v>1000</v>
      </c>
      <c r="F1197" s="712">
        <v>2</v>
      </c>
      <c r="G1197" s="639">
        <f t="shared" si="84"/>
        <v>2000</v>
      </c>
      <c r="H1197" s="712"/>
      <c r="I1197" s="639"/>
      <c r="J1197" s="712"/>
      <c r="K1197" s="713"/>
      <c r="L1197" s="713"/>
      <c r="M1197" s="713"/>
      <c r="N1197" s="712"/>
      <c r="O1197" s="712"/>
    </row>
    <row r="1198" spans="1:15" ht="47.25">
      <c r="A1198" s="639">
        <v>271</v>
      </c>
      <c r="B1198" s="756" t="s">
        <v>362</v>
      </c>
      <c r="C1198" s="701" t="s">
        <v>1577</v>
      </c>
      <c r="D1198" s="733" t="s">
        <v>37</v>
      </c>
      <c r="E1198" s="643">
        <v>182900</v>
      </c>
      <c r="F1198" s="733">
        <v>1</v>
      </c>
      <c r="G1198" s="639">
        <f t="shared" si="84"/>
        <v>182900</v>
      </c>
      <c r="H1198" s="639"/>
      <c r="I1198" s="639"/>
      <c r="J1198" s="639"/>
      <c r="K1198" s="641"/>
      <c r="L1198" s="641"/>
      <c r="M1198" s="641"/>
      <c r="N1198" s="639"/>
      <c r="O1198" s="639"/>
    </row>
    <row r="1199" spans="1:15" ht="47.25">
      <c r="A1199" s="659">
        <v>274</v>
      </c>
      <c r="B1199" s="756" t="s">
        <v>394</v>
      </c>
      <c r="C1199" s="665" t="s">
        <v>1578</v>
      </c>
      <c r="D1199" s="733" t="s">
        <v>37</v>
      </c>
      <c r="E1199" s="643">
        <v>212400</v>
      </c>
      <c r="F1199" s="733">
        <v>1</v>
      </c>
      <c r="G1199" s="639">
        <v>212400</v>
      </c>
      <c r="H1199" s="639"/>
      <c r="I1199" s="639"/>
      <c r="J1199" s="639"/>
      <c r="K1199" s="641"/>
      <c r="L1199" s="641"/>
      <c r="M1199" s="641"/>
      <c r="N1199" s="639"/>
      <c r="O1199" s="639"/>
    </row>
    <row r="1200" spans="1:15" ht="47.25">
      <c r="A1200" s="639">
        <v>281</v>
      </c>
      <c r="B1200" s="756" t="s">
        <v>1579</v>
      </c>
      <c r="C1200" s="701" t="s">
        <v>1580</v>
      </c>
      <c r="D1200" s="733" t="s">
        <v>37</v>
      </c>
      <c r="E1200" s="643">
        <v>64900</v>
      </c>
      <c r="F1200" s="733">
        <v>4</v>
      </c>
      <c r="G1200" s="639">
        <f t="shared" ref="G1200:G1225" si="85">E1200*F1200</f>
        <v>259600</v>
      </c>
      <c r="H1200" s="639"/>
      <c r="I1200" s="639"/>
      <c r="J1200" s="639"/>
      <c r="K1200" s="641"/>
      <c r="L1200" s="641"/>
      <c r="M1200" s="641"/>
      <c r="N1200" s="639"/>
      <c r="O1200" s="639"/>
    </row>
    <row r="1201" spans="1:15">
      <c r="A1201" s="719">
        <v>285</v>
      </c>
      <c r="B1201" s="756" t="s">
        <v>1581</v>
      </c>
      <c r="C1201" s="721" t="s">
        <v>1582</v>
      </c>
      <c r="D1201" s="733" t="s">
        <v>37</v>
      </c>
      <c r="E1201" s="643">
        <v>500</v>
      </c>
      <c r="F1201" s="733">
        <v>0</v>
      </c>
      <c r="G1201" s="639">
        <f t="shared" si="85"/>
        <v>0</v>
      </c>
      <c r="H1201" s="639"/>
      <c r="I1201" s="639"/>
      <c r="J1201" s="639"/>
      <c r="K1201" s="641"/>
      <c r="L1201" s="641">
        <f>15+1+1-15</f>
        <v>2</v>
      </c>
      <c r="M1201" s="641">
        <f>L1201*E1201</f>
        <v>1000</v>
      </c>
      <c r="N1201" s="639"/>
      <c r="O1201" s="639"/>
    </row>
    <row r="1202" spans="1:15">
      <c r="A1202" s="759"/>
      <c r="B1202" s="756" t="s">
        <v>1581</v>
      </c>
      <c r="C1202" s="760"/>
      <c r="D1202" s="733" t="s">
        <v>37</v>
      </c>
      <c r="E1202" s="643">
        <v>47200</v>
      </c>
      <c r="F1202" s="733">
        <f>2-1</f>
        <v>1</v>
      </c>
      <c r="G1202" s="639">
        <f t="shared" si="85"/>
        <v>47200</v>
      </c>
      <c r="H1202" s="639"/>
      <c r="I1202" s="639"/>
      <c r="J1202" s="639"/>
      <c r="K1202" s="641"/>
      <c r="L1202" s="641"/>
      <c r="M1202" s="641"/>
      <c r="N1202" s="639"/>
      <c r="O1202" s="639"/>
    </row>
    <row r="1203" spans="1:15">
      <c r="A1203" s="676">
        <v>288</v>
      </c>
      <c r="B1203" s="761" t="s">
        <v>367</v>
      </c>
      <c r="C1203" s="667" t="s">
        <v>1583</v>
      </c>
      <c r="D1203" s="733" t="s">
        <v>37</v>
      </c>
      <c r="E1203" s="643">
        <v>47200</v>
      </c>
      <c r="F1203" s="733">
        <v>1</v>
      </c>
      <c r="G1203" s="639">
        <f t="shared" si="85"/>
        <v>47200</v>
      </c>
      <c r="H1203" s="639"/>
      <c r="I1203" s="639"/>
      <c r="J1203" s="639"/>
      <c r="K1203" s="641"/>
      <c r="L1203" s="641"/>
      <c r="M1203" s="641"/>
      <c r="N1203" s="639"/>
      <c r="O1203" s="639"/>
    </row>
    <row r="1204" spans="1:15">
      <c r="A1204" s="680"/>
      <c r="B1204" s="761" t="s">
        <v>367</v>
      </c>
      <c r="C1204" s="669"/>
      <c r="D1204" s="733" t="s">
        <v>37</v>
      </c>
      <c r="E1204" s="643">
        <v>52864</v>
      </c>
      <c r="F1204" s="733">
        <v>1</v>
      </c>
      <c r="G1204" s="639">
        <f t="shared" si="85"/>
        <v>52864</v>
      </c>
      <c r="H1204" s="639"/>
      <c r="I1204" s="639"/>
      <c r="J1204" s="639"/>
      <c r="K1204" s="641"/>
      <c r="L1204" s="641"/>
      <c r="M1204" s="641"/>
      <c r="N1204" s="639"/>
      <c r="O1204" s="639"/>
    </row>
    <row r="1205" spans="1:15">
      <c r="A1205" s="747"/>
      <c r="B1205" s="761" t="s">
        <v>367</v>
      </c>
      <c r="C1205" s="671"/>
      <c r="D1205" s="733" t="s">
        <v>37</v>
      </c>
      <c r="E1205" s="643">
        <v>58646</v>
      </c>
      <c r="F1205" s="733">
        <v>2</v>
      </c>
      <c r="G1205" s="639">
        <f t="shared" si="85"/>
        <v>117292</v>
      </c>
      <c r="H1205" s="639"/>
      <c r="I1205" s="639"/>
      <c r="J1205" s="639"/>
      <c r="K1205" s="641"/>
      <c r="L1205" s="641"/>
      <c r="M1205" s="641"/>
      <c r="N1205" s="639"/>
      <c r="O1205" s="639"/>
    </row>
    <row r="1206" spans="1:15" ht="47.25">
      <c r="A1206" s="659"/>
      <c r="B1206" s="755"/>
      <c r="C1206" s="665" t="s">
        <v>1584</v>
      </c>
      <c r="D1206" s="733" t="s">
        <v>40</v>
      </c>
      <c r="E1206" s="643">
        <v>59000</v>
      </c>
      <c r="F1206" s="733">
        <f>2</f>
        <v>2</v>
      </c>
      <c r="G1206" s="639">
        <f t="shared" si="85"/>
        <v>118000</v>
      </c>
      <c r="H1206" s="639"/>
      <c r="I1206" s="639"/>
      <c r="J1206" s="639"/>
      <c r="K1206" s="641"/>
      <c r="L1206" s="641"/>
      <c r="M1206" s="641"/>
      <c r="N1206" s="639"/>
      <c r="O1206" s="639"/>
    </row>
    <row r="1207" spans="1:15" ht="47.25">
      <c r="A1207" s="659"/>
      <c r="B1207" s="755"/>
      <c r="C1207" s="665" t="s">
        <v>1585</v>
      </c>
      <c r="D1207" s="733" t="s">
        <v>40</v>
      </c>
      <c r="E1207" s="643">
        <v>58882</v>
      </c>
      <c r="F1207" s="733">
        <f>2</f>
        <v>2</v>
      </c>
      <c r="G1207" s="639">
        <f t="shared" si="85"/>
        <v>117764</v>
      </c>
      <c r="H1207" s="639"/>
      <c r="I1207" s="639"/>
      <c r="J1207" s="639"/>
      <c r="K1207" s="641"/>
      <c r="L1207" s="641"/>
      <c r="M1207" s="641"/>
      <c r="N1207" s="639"/>
      <c r="O1207" s="639"/>
    </row>
    <row r="1208" spans="1:15" ht="31.5">
      <c r="A1208" s="639">
        <v>328</v>
      </c>
      <c r="B1208" s="755" t="s">
        <v>1586</v>
      </c>
      <c r="C1208" s="665" t="s">
        <v>1587</v>
      </c>
      <c r="D1208" s="639" t="s">
        <v>37</v>
      </c>
      <c r="E1208" s="643">
        <v>0</v>
      </c>
      <c r="F1208" s="639">
        <v>0</v>
      </c>
      <c r="G1208" s="639">
        <f t="shared" si="85"/>
        <v>0</v>
      </c>
      <c r="H1208" s="639"/>
      <c r="I1208" s="639"/>
      <c r="J1208" s="639"/>
      <c r="K1208" s="641"/>
      <c r="L1208" s="641"/>
      <c r="M1208" s="641"/>
      <c r="N1208" s="639"/>
      <c r="O1208" s="639"/>
    </row>
    <row r="1209" spans="1:15" ht="31.5">
      <c r="A1209" s="639">
        <v>329</v>
      </c>
      <c r="B1209" s="755" t="s">
        <v>1588</v>
      </c>
      <c r="C1209" s="665" t="s">
        <v>1589</v>
      </c>
      <c r="D1209" s="639" t="s">
        <v>37</v>
      </c>
      <c r="E1209" s="742"/>
      <c r="F1209" s="659">
        <f>2-2</f>
        <v>0</v>
      </c>
      <c r="G1209" s="639">
        <f t="shared" si="85"/>
        <v>0</v>
      </c>
      <c r="H1209" s="659"/>
      <c r="I1209" s="659"/>
      <c r="J1209" s="659"/>
      <c r="K1209" s="659"/>
      <c r="L1209" s="659"/>
      <c r="M1209" s="659"/>
      <c r="N1209" s="659"/>
      <c r="O1209" s="659"/>
    </row>
    <row r="1210" spans="1:15" ht="63">
      <c r="A1210" s="659">
        <v>340</v>
      </c>
      <c r="B1210" s="755" t="s">
        <v>1590</v>
      </c>
      <c r="C1210" s="665" t="s">
        <v>1591</v>
      </c>
      <c r="D1210" s="659" t="s">
        <v>40</v>
      </c>
      <c r="E1210" s="659">
        <v>942.82</v>
      </c>
      <c r="F1210" s="659">
        <f>6-3-3</f>
        <v>0</v>
      </c>
      <c r="G1210" s="639">
        <f t="shared" si="85"/>
        <v>0</v>
      </c>
      <c r="H1210" s="659"/>
      <c r="I1210" s="659"/>
      <c r="J1210" s="659"/>
      <c r="K1210" s="659"/>
      <c r="L1210" s="659"/>
      <c r="M1210" s="659"/>
      <c r="N1210" s="659"/>
      <c r="O1210" s="659"/>
    </row>
    <row r="1211" spans="1:15" ht="31.5">
      <c r="A1211" s="639"/>
      <c r="B1211" s="755"/>
      <c r="C1211" s="701" t="s">
        <v>1592</v>
      </c>
      <c r="D1211" s="639" t="s">
        <v>40</v>
      </c>
      <c r="E1211" s="643">
        <v>0</v>
      </c>
      <c r="F1211" s="639">
        <v>0</v>
      </c>
      <c r="G1211" s="639">
        <f t="shared" si="85"/>
        <v>0</v>
      </c>
      <c r="H1211" s="639"/>
      <c r="I1211" s="639"/>
      <c r="J1211" s="639"/>
      <c r="K1211" s="641"/>
      <c r="L1211" s="641"/>
      <c r="M1211" s="641"/>
      <c r="N1211" s="639"/>
      <c r="O1211" s="639"/>
    </row>
    <row r="1212" spans="1:15" ht="31.5">
      <c r="A1212" s="639"/>
      <c r="B1212" s="755"/>
      <c r="C1212" s="701" t="s">
        <v>1593</v>
      </c>
      <c r="D1212" s="639" t="s">
        <v>40</v>
      </c>
      <c r="E1212" s="643">
        <v>0</v>
      </c>
      <c r="F1212" s="639">
        <v>0</v>
      </c>
      <c r="G1212" s="639">
        <f t="shared" si="85"/>
        <v>0</v>
      </c>
      <c r="H1212" s="639"/>
      <c r="I1212" s="639"/>
      <c r="J1212" s="639"/>
      <c r="K1212" s="641"/>
      <c r="L1212" s="641"/>
      <c r="M1212" s="641"/>
      <c r="N1212" s="639"/>
      <c r="O1212" s="639"/>
    </row>
    <row r="1213" spans="1:15" ht="31.5">
      <c r="A1213" s="639"/>
      <c r="B1213" s="755"/>
      <c r="C1213" s="701" t="s">
        <v>1594</v>
      </c>
      <c r="D1213" s="639" t="s">
        <v>37</v>
      </c>
      <c r="E1213" s="643">
        <v>0</v>
      </c>
      <c r="F1213" s="639">
        <v>0</v>
      </c>
      <c r="G1213" s="639">
        <f t="shared" si="85"/>
        <v>0</v>
      </c>
      <c r="H1213" s="639"/>
      <c r="I1213" s="639"/>
      <c r="J1213" s="639"/>
      <c r="K1213" s="641"/>
      <c r="L1213" s="641"/>
      <c r="M1213" s="641"/>
      <c r="N1213" s="639"/>
      <c r="O1213" s="639"/>
    </row>
    <row r="1214" spans="1:15" ht="31.5">
      <c r="A1214" s="639"/>
      <c r="B1214" s="755"/>
      <c r="C1214" s="701" t="s">
        <v>1595</v>
      </c>
      <c r="D1214" s="639" t="s">
        <v>40</v>
      </c>
      <c r="E1214" s="643">
        <v>0</v>
      </c>
      <c r="F1214" s="639">
        <v>0</v>
      </c>
      <c r="G1214" s="639">
        <f t="shared" si="85"/>
        <v>0</v>
      </c>
      <c r="H1214" s="639"/>
      <c r="I1214" s="639"/>
      <c r="J1214" s="639"/>
      <c r="K1214" s="641"/>
      <c r="L1214" s="641"/>
      <c r="M1214" s="641"/>
      <c r="N1214" s="639"/>
      <c r="O1214" s="639"/>
    </row>
    <row r="1215" spans="1:15" ht="47.25">
      <c r="A1215" s="639"/>
      <c r="B1215" s="755"/>
      <c r="C1215" s="701" t="s">
        <v>1596</v>
      </c>
      <c r="D1215" s="639" t="s">
        <v>40</v>
      </c>
      <c r="E1215" s="643">
        <v>2566</v>
      </c>
      <c r="F1215" s="639">
        <v>12</v>
      </c>
      <c r="G1215" s="639">
        <f t="shared" si="85"/>
        <v>30792</v>
      </c>
      <c r="H1215" s="639"/>
      <c r="I1215" s="639"/>
      <c r="J1215" s="639"/>
      <c r="K1215" s="641"/>
      <c r="L1215" s="641"/>
      <c r="M1215" s="641"/>
      <c r="N1215" s="639"/>
      <c r="O1215" s="639"/>
    </row>
    <row r="1216" spans="1:15" ht="47.25">
      <c r="A1216" s="639"/>
      <c r="B1216" s="755"/>
      <c r="C1216" s="701" t="s">
        <v>1597</v>
      </c>
      <c r="D1216" s="639" t="s">
        <v>40</v>
      </c>
      <c r="E1216" s="643">
        <v>0</v>
      </c>
      <c r="F1216" s="639">
        <v>0</v>
      </c>
      <c r="G1216" s="639">
        <f t="shared" si="85"/>
        <v>0</v>
      </c>
      <c r="H1216" s="639"/>
      <c r="I1216" s="639"/>
      <c r="J1216" s="639"/>
      <c r="K1216" s="641"/>
      <c r="L1216" s="641"/>
      <c r="M1216" s="641"/>
      <c r="N1216" s="639"/>
      <c r="O1216" s="639"/>
    </row>
    <row r="1217" spans="1:15" ht="31.5">
      <c r="A1217" s="639"/>
      <c r="B1217" s="755"/>
      <c r="C1217" s="701" t="s">
        <v>1598</v>
      </c>
      <c r="D1217" s="639" t="s">
        <v>40</v>
      </c>
      <c r="E1217" s="643">
        <v>3068</v>
      </c>
      <c r="F1217" s="639">
        <f>12-9-3</f>
        <v>0</v>
      </c>
      <c r="G1217" s="639">
        <f t="shared" si="85"/>
        <v>0</v>
      </c>
      <c r="H1217" s="639"/>
      <c r="I1217" s="639"/>
      <c r="J1217" s="639"/>
      <c r="K1217" s="641"/>
      <c r="L1217" s="641"/>
      <c r="M1217" s="641"/>
      <c r="N1217" s="639"/>
      <c r="O1217" s="639"/>
    </row>
    <row r="1218" spans="1:15" ht="63">
      <c r="A1218" s="639">
        <v>387</v>
      </c>
      <c r="B1218" s="761" t="s">
        <v>1599</v>
      </c>
      <c r="C1218" s="701" t="s">
        <v>1600</v>
      </c>
      <c r="D1218" s="639" t="s">
        <v>37</v>
      </c>
      <c r="E1218" s="659">
        <v>354000</v>
      </c>
      <c r="F1218" s="659">
        <f>2-1</f>
        <v>1</v>
      </c>
      <c r="G1218" s="639">
        <f t="shared" si="85"/>
        <v>354000</v>
      </c>
      <c r="H1218" s="639"/>
      <c r="I1218" s="639"/>
      <c r="J1218" s="639"/>
      <c r="K1218" s="641"/>
      <c r="L1218" s="641"/>
      <c r="M1218" s="641"/>
      <c r="N1218" s="639"/>
      <c r="O1218" s="639"/>
    </row>
    <row r="1219" spans="1:15" ht="63">
      <c r="A1219" s="639"/>
      <c r="B1219" s="761" t="s">
        <v>403</v>
      </c>
      <c r="C1219" s="665" t="s">
        <v>1601</v>
      </c>
      <c r="D1219" s="639" t="s">
        <v>37</v>
      </c>
      <c r="E1219" s="659">
        <v>212400</v>
      </c>
      <c r="F1219" s="659">
        <v>1</v>
      </c>
      <c r="G1219" s="639">
        <f t="shared" si="85"/>
        <v>212400</v>
      </c>
      <c r="H1219" s="639"/>
      <c r="I1219" s="639"/>
      <c r="J1219" s="639"/>
      <c r="K1219" s="641"/>
      <c r="L1219" s="641"/>
      <c r="M1219" s="641"/>
      <c r="N1219" s="639"/>
      <c r="O1219" s="639"/>
    </row>
    <row r="1220" spans="1:15" ht="63">
      <c r="A1220" s="659">
        <v>388</v>
      </c>
      <c r="B1220" s="761" t="s">
        <v>1602</v>
      </c>
      <c r="C1220" s="665" t="s">
        <v>1603</v>
      </c>
      <c r="D1220" s="639" t="s">
        <v>37</v>
      </c>
      <c r="E1220" s="659">
        <v>212400</v>
      </c>
      <c r="F1220" s="659">
        <v>1</v>
      </c>
      <c r="G1220" s="639">
        <f t="shared" si="85"/>
        <v>212400</v>
      </c>
      <c r="H1220" s="639"/>
      <c r="I1220" s="639"/>
      <c r="J1220" s="639"/>
      <c r="K1220" s="641"/>
      <c r="L1220" s="641"/>
      <c r="M1220" s="641"/>
      <c r="N1220" s="639"/>
      <c r="O1220" s="639"/>
    </row>
    <row r="1221" spans="1:15">
      <c r="A1221" s="719">
        <v>392</v>
      </c>
      <c r="B1221" s="757" t="s">
        <v>451</v>
      </c>
      <c r="C1221" s="721" t="s">
        <v>1604</v>
      </c>
      <c r="D1221" s="733" t="s">
        <v>40</v>
      </c>
      <c r="E1221" s="643">
        <v>52784.800000000003</v>
      </c>
      <c r="F1221" s="733">
        <v>5</v>
      </c>
      <c r="G1221" s="639">
        <f t="shared" si="85"/>
        <v>263924</v>
      </c>
      <c r="H1221" s="712"/>
      <c r="I1221" s="712"/>
      <c r="J1221" s="712"/>
      <c r="K1221" s="713"/>
      <c r="L1221" s="713"/>
      <c r="M1221" s="713"/>
      <c r="N1221" s="712"/>
      <c r="O1221" s="712"/>
    </row>
    <row r="1222" spans="1:15">
      <c r="A1222" s="722"/>
      <c r="B1222" s="758"/>
      <c r="C1222" s="724"/>
      <c r="D1222" s="733" t="s">
        <v>40</v>
      </c>
      <c r="E1222" s="643">
        <v>53153.1</v>
      </c>
      <c r="F1222" s="733">
        <v>7</v>
      </c>
      <c r="G1222" s="639">
        <f t="shared" si="85"/>
        <v>372071.7</v>
      </c>
      <c r="H1222" s="712"/>
      <c r="I1222" s="712"/>
      <c r="J1222" s="712"/>
      <c r="K1222" s="713"/>
      <c r="L1222" s="713"/>
      <c r="M1222" s="713"/>
      <c r="N1222" s="712"/>
      <c r="O1222" s="712"/>
    </row>
    <row r="1223" spans="1:15">
      <c r="A1223" s="639">
        <v>396</v>
      </c>
      <c r="B1223" s="761" t="s">
        <v>1605</v>
      </c>
      <c r="C1223" s="716" t="s">
        <v>1606</v>
      </c>
      <c r="D1223" s="733" t="s">
        <v>40</v>
      </c>
      <c r="E1223" s="643">
        <v>206750</v>
      </c>
      <c r="F1223" s="733">
        <v>1</v>
      </c>
      <c r="G1223" s="639">
        <f t="shared" si="85"/>
        <v>206750</v>
      </c>
      <c r="H1223" s="712"/>
      <c r="I1223" s="712"/>
      <c r="J1223" s="712"/>
      <c r="K1223" s="713"/>
      <c r="L1223" s="713"/>
      <c r="M1223" s="713"/>
      <c r="N1223" s="712"/>
      <c r="O1223" s="712"/>
    </row>
    <row r="1224" spans="1:15">
      <c r="A1224" s="639"/>
      <c r="B1224" s="761" t="s">
        <v>1605</v>
      </c>
      <c r="C1224" s="716"/>
      <c r="D1224" s="733" t="s">
        <v>40</v>
      </c>
      <c r="E1224" s="643">
        <v>1000</v>
      </c>
      <c r="F1224" s="733">
        <f>6-2+3</f>
        <v>7</v>
      </c>
      <c r="G1224" s="639">
        <f t="shared" si="85"/>
        <v>7000</v>
      </c>
      <c r="H1224" s="712"/>
      <c r="I1224" s="712"/>
      <c r="J1224" s="712"/>
      <c r="K1224" s="713"/>
      <c r="L1224" s="713"/>
      <c r="M1224" s="713"/>
      <c r="N1224" s="712"/>
      <c r="O1224" s="712"/>
    </row>
    <row r="1225" spans="1:15" ht="31.5">
      <c r="A1225" s="639">
        <v>397</v>
      </c>
      <c r="B1225" s="761" t="s">
        <v>669</v>
      </c>
      <c r="C1225" s="708" t="s">
        <v>1607</v>
      </c>
      <c r="D1225" s="762" t="s">
        <v>40</v>
      </c>
      <c r="E1225" s="763">
        <v>1000</v>
      </c>
      <c r="F1225" s="764">
        <f>6+3</f>
        <v>9</v>
      </c>
      <c r="G1225" s="646">
        <f t="shared" si="85"/>
        <v>9000</v>
      </c>
      <c r="H1225" s="764"/>
      <c r="I1225" s="764"/>
      <c r="J1225" s="764"/>
      <c r="K1225" s="765"/>
      <c r="L1225" s="765"/>
      <c r="M1225" s="765"/>
      <c r="N1225" s="764"/>
      <c r="O1225" s="764"/>
    </row>
    <row r="1226" spans="1:15">
      <c r="A1226" s="639"/>
      <c r="B1226" s="658"/>
      <c r="C1226" s="701"/>
      <c r="D1226" s="733"/>
      <c r="E1226" s="643"/>
      <c r="F1226" s="712"/>
      <c r="G1226" s="712"/>
      <c r="H1226" s="712"/>
      <c r="I1226" s="712"/>
      <c r="J1226" s="712"/>
      <c r="K1226" s="713"/>
      <c r="L1226" s="713"/>
      <c r="M1226" s="713"/>
      <c r="N1226" s="712"/>
      <c r="O1226" s="712"/>
    </row>
    <row r="1227" spans="1:15" ht="31.5">
      <c r="A1227" s="639">
        <v>12</v>
      </c>
      <c r="B1227" s="766" t="s">
        <v>1608</v>
      </c>
      <c r="C1227" s="701" t="s">
        <v>1609</v>
      </c>
      <c r="D1227" s="639" t="s">
        <v>40</v>
      </c>
      <c r="E1227" s="657">
        <v>200</v>
      </c>
      <c r="F1227" s="639"/>
      <c r="G1227" s="639"/>
      <c r="H1227" s="639"/>
      <c r="I1227" s="639"/>
      <c r="J1227" s="639"/>
      <c r="K1227" s="641"/>
      <c r="L1227" s="641">
        <f>3+109-3</f>
        <v>109</v>
      </c>
      <c r="M1227" s="641">
        <f>L1227*E1227</f>
        <v>21800</v>
      </c>
      <c r="N1227" s="639"/>
      <c r="O1227" s="639"/>
    </row>
    <row r="1228" spans="1:15" ht="47.25">
      <c r="A1228" s="639">
        <v>33</v>
      </c>
      <c r="B1228" s="766" t="s">
        <v>1610</v>
      </c>
      <c r="C1228" s="701" t="s">
        <v>1611</v>
      </c>
      <c r="D1228" s="639" t="s">
        <v>40</v>
      </c>
      <c r="E1228" s="657">
        <v>10000</v>
      </c>
      <c r="F1228" s="639">
        <v>2</v>
      </c>
      <c r="G1228" s="767">
        <f>E1228*F1228</f>
        <v>20000</v>
      </c>
      <c r="H1228" s="639"/>
      <c r="I1228" s="639"/>
      <c r="J1228" s="639"/>
      <c r="K1228" s="641"/>
      <c r="L1228" s="641"/>
      <c r="M1228" s="641"/>
      <c r="N1228" s="639"/>
      <c r="O1228" s="639"/>
    </row>
    <row r="1229" spans="1:15">
      <c r="A1229" s="639"/>
      <c r="B1229" s="698"/>
      <c r="C1229" s="701"/>
      <c r="D1229" s="639"/>
      <c r="E1229" s="657"/>
      <c r="F1229" s="639"/>
      <c r="G1229" s="639"/>
      <c r="H1229" s="639"/>
      <c r="I1229" s="639"/>
      <c r="J1229" s="639"/>
      <c r="K1229" s="641"/>
      <c r="L1229" s="641"/>
      <c r="M1229" s="641"/>
      <c r="N1229" s="639"/>
      <c r="O1229" s="639"/>
    </row>
    <row r="1230" spans="1:15">
      <c r="A1230" s="639">
        <v>1</v>
      </c>
      <c r="B1230" s="768" t="s">
        <v>982</v>
      </c>
      <c r="C1230" s="701" t="s">
        <v>1612</v>
      </c>
      <c r="D1230" s="639" t="s">
        <v>40</v>
      </c>
      <c r="E1230" s="657">
        <v>100</v>
      </c>
      <c r="F1230" s="639">
        <v>8</v>
      </c>
      <c r="G1230" s="639">
        <f>E1230*F1230</f>
        <v>800</v>
      </c>
      <c r="H1230" s="639"/>
      <c r="I1230" s="639"/>
      <c r="J1230" s="639"/>
      <c r="K1230" s="641"/>
      <c r="L1230" s="641"/>
      <c r="M1230" s="641"/>
      <c r="N1230" s="639"/>
      <c r="O1230" s="639"/>
    </row>
    <row r="1231" spans="1:15">
      <c r="A1231" s="769" t="s">
        <v>1613</v>
      </c>
      <c r="B1231" s="770"/>
      <c r="C1231" s="771"/>
      <c r="D1231" s="771"/>
      <c r="E1231" s="772"/>
      <c r="F1231" s="773"/>
      <c r="G1231" s="774">
        <f t="shared" ref="G1231:K1231" si="86">SUM(G952:G1230)</f>
        <v>12506826.871099997</v>
      </c>
      <c r="H1231" s="773"/>
      <c r="I1231" s="774">
        <f t="shared" si="86"/>
        <v>70000</v>
      </c>
      <c r="J1231" s="773"/>
      <c r="K1231" s="774">
        <f t="shared" si="86"/>
        <v>0</v>
      </c>
      <c r="L1231" s="773"/>
      <c r="M1231" s="774">
        <f>SUM(M952:M1230)</f>
        <v>3820702.6169600002</v>
      </c>
      <c r="N1231" s="773"/>
      <c r="O1231" s="774">
        <f>SUM(O952:O1230)</f>
        <v>0</v>
      </c>
    </row>
    <row r="1232" spans="1:15">
      <c r="A1232" s="775"/>
      <c r="B1232" s="776"/>
      <c r="C1232" s="777"/>
      <c r="D1232" s="775"/>
      <c r="E1232" s="778"/>
      <c r="F1232" s="775"/>
      <c r="G1232" s="775"/>
      <c r="H1232" s="775"/>
      <c r="I1232" s="775"/>
      <c r="J1232" s="775"/>
      <c r="K1232" s="775"/>
      <c r="L1232" s="775"/>
      <c r="M1232" s="775"/>
      <c r="N1232" s="775"/>
      <c r="O1232" s="775"/>
    </row>
    <row r="1233" spans="1:15">
      <c r="A1233" s="775"/>
      <c r="B1233" s="776"/>
      <c r="C1233" s="777"/>
      <c r="D1233" s="775"/>
      <c r="E1233" s="778"/>
      <c r="F1233" s="775"/>
      <c r="G1233" s="775"/>
      <c r="H1233" s="775"/>
      <c r="I1233" s="775"/>
      <c r="J1233" s="775"/>
      <c r="K1233" s="775"/>
      <c r="L1233" s="775"/>
      <c r="M1233" s="775"/>
      <c r="N1233" s="775"/>
      <c r="O1233" s="775"/>
    </row>
    <row r="1234" spans="1:15">
      <c r="A1234" s="775"/>
      <c r="B1234" s="776"/>
      <c r="C1234" s="777"/>
      <c r="D1234" s="775"/>
      <c r="E1234" s="778"/>
      <c r="F1234" s="775"/>
      <c r="G1234" s="775"/>
      <c r="H1234" s="775"/>
      <c r="I1234" s="775"/>
      <c r="J1234" s="775"/>
      <c r="K1234" s="775"/>
      <c r="L1234" s="775"/>
      <c r="M1234" s="779"/>
      <c r="N1234" s="779"/>
      <c r="O1234" s="780"/>
    </row>
    <row r="1235" spans="1:15">
      <c r="A1235" s="775"/>
      <c r="B1235" s="776"/>
      <c r="C1235" s="777"/>
      <c r="D1235" s="775"/>
      <c r="E1235" s="775"/>
      <c r="F1235" s="775"/>
      <c r="G1235" s="775"/>
      <c r="H1235" s="775"/>
      <c r="I1235" s="775"/>
      <c r="J1235" s="775"/>
      <c r="K1235" s="775"/>
      <c r="L1235" s="775"/>
      <c r="M1235" s="775"/>
      <c r="N1235" s="775"/>
      <c r="O1235" s="775"/>
    </row>
    <row r="1236" spans="1:15">
      <c r="A1236" s="775"/>
      <c r="B1236" s="776"/>
      <c r="C1236" s="777"/>
      <c r="D1236" s="775"/>
      <c r="E1236" s="775"/>
      <c r="F1236" s="775"/>
      <c r="G1236" s="775"/>
      <c r="H1236" s="775"/>
      <c r="I1236" s="775"/>
      <c r="J1236" s="775"/>
      <c r="K1236" s="775"/>
      <c r="L1236" s="775"/>
      <c r="M1236" s="775"/>
      <c r="N1236" s="775"/>
      <c r="O1236" s="775"/>
    </row>
    <row r="1237" spans="1:15">
      <c r="A1237" s="775"/>
      <c r="B1237" s="776"/>
      <c r="C1237" s="777"/>
      <c r="D1237" s="775"/>
      <c r="E1237" s="775"/>
      <c r="F1237" s="775"/>
      <c r="G1237" s="775"/>
      <c r="H1237" s="775"/>
      <c r="I1237" s="775"/>
      <c r="J1237" s="775"/>
      <c r="K1237" s="775"/>
      <c r="L1237" s="775"/>
      <c r="M1237" s="775"/>
      <c r="N1237" s="775"/>
      <c r="O1237" s="775"/>
    </row>
    <row r="1238" spans="1:15">
      <c r="A1238" s="630" t="s">
        <v>787</v>
      </c>
      <c r="B1238" s="781" t="s">
        <v>221</v>
      </c>
      <c r="C1238" s="630" t="s">
        <v>1269</v>
      </c>
      <c r="D1238" s="620" t="s">
        <v>119</v>
      </c>
      <c r="E1238" s="622" t="s">
        <v>1270</v>
      </c>
      <c r="F1238" s="623" t="s">
        <v>121</v>
      </c>
      <c r="G1238" s="624"/>
      <c r="H1238" s="625" t="s">
        <v>1271</v>
      </c>
      <c r="I1238" s="626"/>
      <c r="J1238" s="623" t="s">
        <v>1</v>
      </c>
      <c r="K1238" s="627"/>
      <c r="L1238" s="628" t="s">
        <v>0</v>
      </c>
      <c r="M1238" s="629"/>
      <c r="N1238" s="630" t="s">
        <v>932</v>
      </c>
      <c r="O1238" s="630"/>
    </row>
    <row r="1239" spans="1:15" ht="47.25">
      <c r="A1239" s="630"/>
      <c r="B1239" s="781"/>
      <c r="C1239" s="630"/>
      <c r="D1239" s="631"/>
      <c r="E1239" s="633"/>
      <c r="F1239" s="634" t="s">
        <v>125</v>
      </c>
      <c r="G1239" s="635" t="s">
        <v>126</v>
      </c>
      <c r="H1239" s="634" t="s">
        <v>125</v>
      </c>
      <c r="I1239" s="635" t="s">
        <v>126</v>
      </c>
      <c r="J1239" s="634" t="s">
        <v>125</v>
      </c>
      <c r="K1239" s="635" t="s">
        <v>126</v>
      </c>
      <c r="L1239" s="634" t="s">
        <v>125</v>
      </c>
      <c r="M1239" s="635" t="s">
        <v>126</v>
      </c>
      <c r="N1239" s="634" t="s">
        <v>125</v>
      </c>
      <c r="O1239" s="635" t="s">
        <v>126</v>
      </c>
    </row>
    <row r="1240" spans="1:15">
      <c r="A1240" s="782" t="s">
        <v>1614</v>
      </c>
      <c r="B1240" s="783"/>
      <c r="C1240" s="782"/>
      <c r="D1240" s="782"/>
      <c r="E1240" s="782"/>
      <c r="F1240" s="782"/>
      <c r="G1240" s="782"/>
      <c r="H1240" s="782"/>
      <c r="I1240" s="782"/>
      <c r="J1240" s="782"/>
      <c r="K1240" s="784"/>
      <c r="L1240" s="784"/>
      <c r="M1240" s="785"/>
      <c r="N1240" s="786"/>
      <c r="O1240" s="786"/>
    </row>
    <row r="1241" spans="1:15" ht="16.5">
      <c r="A1241" s="731">
        <v>1</v>
      </c>
      <c r="B1241" s="787" t="s">
        <v>1061</v>
      </c>
      <c r="C1241" s="701" t="s">
        <v>1615</v>
      </c>
      <c r="D1241" s="639" t="s">
        <v>40</v>
      </c>
      <c r="E1241" s="788">
        <v>14057.9</v>
      </c>
      <c r="F1241" s="639">
        <v>8</v>
      </c>
      <c r="G1241" s="639">
        <f t="shared" ref="G1241:G1250" si="87">E1241*F1241</f>
        <v>112463.2</v>
      </c>
      <c r="H1241" s="639"/>
      <c r="I1241" s="639"/>
      <c r="J1241" s="639"/>
      <c r="K1241" s="641"/>
      <c r="L1241" s="641"/>
      <c r="M1241" s="641"/>
      <c r="N1241" s="639"/>
      <c r="O1241" s="639"/>
    </row>
    <row r="1242" spans="1:15" ht="16.5">
      <c r="A1242" s="731">
        <v>2</v>
      </c>
      <c r="B1242" s="787" t="s">
        <v>1616</v>
      </c>
      <c r="C1242" s="701" t="s">
        <v>1617</v>
      </c>
      <c r="D1242" s="639" t="s">
        <v>40</v>
      </c>
      <c r="E1242" s="788">
        <v>1250</v>
      </c>
      <c r="F1242" s="639">
        <v>1</v>
      </c>
      <c r="G1242" s="639">
        <f t="shared" si="87"/>
        <v>1250</v>
      </c>
      <c r="H1242" s="639"/>
      <c r="I1242" s="639"/>
      <c r="J1242" s="639"/>
      <c r="K1242" s="641"/>
      <c r="L1242" s="641"/>
      <c r="M1242" s="641"/>
      <c r="N1242" s="639"/>
      <c r="O1242" s="639"/>
    </row>
    <row r="1243" spans="1:15" ht="16.5">
      <c r="A1243" s="731"/>
      <c r="B1243" s="787"/>
      <c r="C1243" s="789" t="s">
        <v>1618</v>
      </c>
      <c r="D1243" s="639"/>
      <c r="E1243" s="788"/>
      <c r="F1243" s="639"/>
      <c r="G1243" s="639"/>
      <c r="H1243" s="639"/>
      <c r="I1243" s="639"/>
      <c r="J1243" s="639"/>
      <c r="K1243" s="641"/>
      <c r="L1243" s="641"/>
      <c r="M1243" s="641"/>
      <c r="N1243" s="639"/>
      <c r="O1243" s="639"/>
    </row>
    <row r="1244" spans="1:15" ht="16.5">
      <c r="A1244" s="731">
        <v>5</v>
      </c>
      <c r="B1244" s="787" t="s">
        <v>1619</v>
      </c>
      <c r="C1244" s="701" t="s">
        <v>1620</v>
      </c>
      <c r="D1244" s="639" t="s">
        <v>40</v>
      </c>
      <c r="E1244" s="788">
        <v>7665</v>
      </c>
      <c r="F1244" s="639">
        <v>7</v>
      </c>
      <c r="G1244" s="639">
        <f t="shared" si="87"/>
        <v>53655</v>
      </c>
      <c r="H1244" s="639"/>
      <c r="I1244" s="639"/>
      <c r="J1244" s="639"/>
      <c r="K1244" s="641"/>
      <c r="L1244" s="641"/>
      <c r="M1244" s="641"/>
      <c r="N1244" s="639"/>
      <c r="O1244" s="639"/>
    </row>
    <row r="1245" spans="1:15" ht="16.5">
      <c r="A1245" s="731">
        <v>7</v>
      </c>
      <c r="B1245" s="787" t="s">
        <v>1621</v>
      </c>
      <c r="C1245" s="701" t="s">
        <v>1622</v>
      </c>
      <c r="D1245" s="639" t="s">
        <v>40</v>
      </c>
      <c r="E1245" s="788">
        <v>4945</v>
      </c>
      <c r="F1245" s="639">
        <v>2</v>
      </c>
      <c r="G1245" s="639">
        <f t="shared" si="87"/>
        <v>9890</v>
      </c>
      <c r="H1245" s="639"/>
      <c r="I1245" s="639"/>
      <c r="J1245" s="639"/>
      <c r="K1245" s="641"/>
      <c r="L1245" s="641"/>
      <c r="M1245" s="641"/>
      <c r="N1245" s="639"/>
      <c r="O1245" s="639"/>
    </row>
    <row r="1246" spans="1:15" ht="16.5">
      <c r="A1246" s="731">
        <v>9</v>
      </c>
      <c r="B1246" s="787" t="s">
        <v>1623</v>
      </c>
      <c r="C1246" s="701" t="s">
        <v>1624</v>
      </c>
      <c r="D1246" s="639" t="s">
        <v>40</v>
      </c>
      <c r="E1246" s="788">
        <v>3436.43</v>
      </c>
      <c r="F1246" s="639">
        <v>1</v>
      </c>
      <c r="G1246" s="639">
        <f t="shared" si="87"/>
        <v>3436.43</v>
      </c>
      <c r="H1246" s="639"/>
      <c r="I1246" s="639"/>
      <c r="J1246" s="639"/>
      <c r="K1246" s="641"/>
      <c r="L1246" s="641"/>
      <c r="M1246" s="641"/>
      <c r="N1246" s="639"/>
      <c r="O1246" s="639"/>
    </row>
    <row r="1247" spans="1:15" ht="16.5">
      <c r="A1247" s="731"/>
      <c r="B1247" s="787" t="s">
        <v>1625</v>
      </c>
      <c r="C1247" s="701" t="s">
        <v>1626</v>
      </c>
      <c r="D1247" s="639" t="s">
        <v>40</v>
      </c>
      <c r="E1247" s="788">
        <v>2225</v>
      </c>
      <c r="F1247" s="639">
        <v>11</v>
      </c>
      <c r="G1247" s="639">
        <f t="shared" si="87"/>
        <v>24475</v>
      </c>
      <c r="H1247" s="639"/>
      <c r="I1247" s="639"/>
      <c r="J1247" s="639"/>
      <c r="K1247" s="641"/>
      <c r="L1247" s="641">
        <v>3</v>
      </c>
      <c r="M1247" s="641">
        <f>L1247*E1247</f>
        <v>6675</v>
      </c>
      <c r="N1247" s="639"/>
      <c r="O1247" s="639"/>
    </row>
    <row r="1248" spans="1:15" ht="16.5">
      <c r="A1248" s="731"/>
      <c r="B1248" s="787" t="s">
        <v>1625</v>
      </c>
      <c r="C1248" s="701" t="s">
        <v>1627</v>
      </c>
      <c r="D1248" s="639" t="s">
        <v>40</v>
      </c>
      <c r="E1248" s="788">
        <v>10447.5</v>
      </c>
      <c r="F1248" s="639">
        <v>2</v>
      </c>
      <c r="G1248" s="639">
        <f t="shared" si="87"/>
        <v>20895</v>
      </c>
      <c r="H1248" s="639"/>
      <c r="I1248" s="639"/>
      <c r="J1248" s="639"/>
      <c r="K1248" s="641"/>
      <c r="L1248" s="641"/>
      <c r="M1248" s="641"/>
      <c r="N1248" s="639"/>
      <c r="O1248" s="639"/>
    </row>
    <row r="1249" spans="1:15" ht="16.5">
      <c r="A1249" s="731"/>
      <c r="B1249" s="787" t="s">
        <v>1038</v>
      </c>
      <c r="C1249" s="701" t="s">
        <v>1628</v>
      </c>
      <c r="D1249" s="639" t="s">
        <v>40</v>
      </c>
      <c r="E1249" s="788">
        <v>12769.42</v>
      </c>
      <c r="F1249" s="639">
        <v>4</v>
      </c>
      <c r="G1249" s="639">
        <f t="shared" si="87"/>
        <v>51077.68</v>
      </c>
      <c r="H1249" s="639"/>
      <c r="I1249" s="639"/>
      <c r="J1249" s="639"/>
      <c r="K1249" s="641"/>
      <c r="L1249" s="641"/>
      <c r="M1249" s="641"/>
      <c r="N1249" s="639"/>
      <c r="O1249" s="639"/>
    </row>
    <row r="1250" spans="1:15" ht="31.5">
      <c r="A1250" s="731"/>
      <c r="B1250" s="787" t="s">
        <v>1629</v>
      </c>
      <c r="C1250" s="701" t="s">
        <v>1630</v>
      </c>
      <c r="D1250" s="639" t="s">
        <v>40</v>
      </c>
      <c r="E1250" s="788">
        <v>6913.17</v>
      </c>
      <c r="F1250" s="639">
        <v>8</v>
      </c>
      <c r="G1250" s="639">
        <f t="shared" si="87"/>
        <v>55305.36</v>
      </c>
      <c r="H1250" s="639"/>
      <c r="I1250" s="639"/>
      <c r="J1250" s="639"/>
      <c r="K1250" s="641"/>
      <c r="L1250" s="641"/>
      <c r="M1250" s="641"/>
      <c r="N1250" s="639"/>
      <c r="O1250" s="639"/>
    </row>
    <row r="1251" spans="1:15" ht="16.5">
      <c r="A1251" s="731"/>
      <c r="B1251" s="787"/>
      <c r="C1251" s="789" t="s">
        <v>1631</v>
      </c>
      <c r="D1251" s="639"/>
      <c r="E1251" s="788"/>
      <c r="F1251" s="639"/>
      <c r="G1251" s="639"/>
      <c r="H1251" s="639"/>
      <c r="I1251" s="639"/>
      <c r="J1251" s="639"/>
      <c r="K1251" s="641"/>
      <c r="L1251" s="641"/>
      <c r="M1251" s="641"/>
      <c r="N1251" s="639"/>
      <c r="O1251" s="639"/>
    </row>
    <row r="1252" spans="1:15" ht="16.5">
      <c r="A1252" s="731">
        <v>10</v>
      </c>
      <c r="B1252" s="787" t="s">
        <v>1632</v>
      </c>
      <c r="C1252" s="701" t="s">
        <v>1051</v>
      </c>
      <c r="D1252" s="639" t="s">
        <v>40</v>
      </c>
      <c r="E1252" s="788">
        <v>5693</v>
      </c>
      <c r="F1252" s="639">
        <v>4</v>
      </c>
      <c r="G1252" s="639">
        <f t="shared" ref="G1252:G1260" si="88">E1252*F1252</f>
        <v>22772</v>
      </c>
      <c r="H1252" s="639"/>
      <c r="I1252" s="639"/>
      <c r="J1252" s="639"/>
      <c r="K1252" s="641"/>
      <c r="L1252" s="641"/>
      <c r="M1252" s="641"/>
      <c r="N1252" s="639"/>
      <c r="O1252" s="639"/>
    </row>
    <row r="1253" spans="1:15" ht="16.5">
      <c r="A1253" s="731">
        <v>11</v>
      </c>
      <c r="B1253" s="787" t="s">
        <v>1633</v>
      </c>
      <c r="C1253" s="701" t="s">
        <v>1634</v>
      </c>
      <c r="D1253" s="639" t="s">
        <v>40</v>
      </c>
      <c r="E1253" s="788">
        <v>8987</v>
      </c>
      <c r="F1253" s="639">
        <v>3</v>
      </c>
      <c r="G1253" s="639">
        <f t="shared" si="88"/>
        <v>26961</v>
      </c>
      <c r="H1253" s="639"/>
      <c r="I1253" s="639"/>
      <c r="J1253" s="639"/>
      <c r="K1253" s="641"/>
      <c r="L1253" s="641"/>
      <c r="M1253" s="641"/>
      <c r="N1253" s="639"/>
      <c r="O1253" s="639"/>
    </row>
    <row r="1254" spans="1:15" ht="31.5">
      <c r="A1254" s="731">
        <v>13</v>
      </c>
      <c r="B1254" s="787" t="s">
        <v>1635</v>
      </c>
      <c r="C1254" s="701" t="s">
        <v>1636</v>
      </c>
      <c r="D1254" s="639" t="s">
        <v>40</v>
      </c>
      <c r="E1254" s="788">
        <v>1250</v>
      </c>
      <c r="F1254" s="639">
        <v>1</v>
      </c>
      <c r="G1254" s="639">
        <f t="shared" si="88"/>
        <v>1250</v>
      </c>
      <c r="H1254" s="639"/>
      <c r="I1254" s="639"/>
      <c r="J1254" s="639"/>
      <c r="K1254" s="641"/>
      <c r="L1254" s="641"/>
      <c r="M1254" s="641"/>
      <c r="N1254" s="639"/>
      <c r="O1254" s="639"/>
    </row>
    <row r="1255" spans="1:15" ht="16.5">
      <c r="A1255" s="731">
        <v>14</v>
      </c>
      <c r="B1255" s="787" t="s">
        <v>745</v>
      </c>
      <c r="C1255" s="701" t="s">
        <v>1637</v>
      </c>
      <c r="D1255" s="639" t="s">
        <v>40</v>
      </c>
      <c r="E1255" s="788">
        <v>7524.85</v>
      </c>
      <c r="F1255" s="639">
        <v>2</v>
      </c>
      <c r="G1255" s="639">
        <f t="shared" si="88"/>
        <v>15049.7</v>
      </c>
      <c r="H1255" s="639"/>
      <c r="I1255" s="639"/>
      <c r="J1255" s="639"/>
      <c r="K1255" s="641"/>
      <c r="L1255" s="641"/>
      <c r="M1255" s="641"/>
      <c r="N1255" s="639"/>
      <c r="O1255" s="639"/>
    </row>
    <row r="1256" spans="1:15" ht="16.5">
      <c r="A1256" s="731">
        <v>15</v>
      </c>
      <c r="B1256" s="787" t="s">
        <v>1638</v>
      </c>
      <c r="C1256" s="701" t="s">
        <v>1639</v>
      </c>
      <c r="D1256" s="639" t="s">
        <v>40</v>
      </c>
      <c r="E1256" s="788">
        <v>11640</v>
      </c>
      <c r="F1256" s="639">
        <v>6</v>
      </c>
      <c r="G1256" s="639">
        <f t="shared" si="88"/>
        <v>69840</v>
      </c>
      <c r="H1256" s="639"/>
      <c r="I1256" s="639"/>
      <c r="J1256" s="639"/>
      <c r="K1256" s="641"/>
      <c r="L1256" s="641"/>
      <c r="M1256" s="641"/>
      <c r="N1256" s="639"/>
      <c r="O1256" s="639"/>
    </row>
    <row r="1257" spans="1:15" ht="16.5">
      <c r="A1257" s="731"/>
      <c r="B1257" s="787" t="s">
        <v>1640</v>
      </c>
      <c r="C1257" s="701" t="s">
        <v>1641</v>
      </c>
      <c r="D1257" s="639" t="s">
        <v>40</v>
      </c>
      <c r="E1257" s="788">
        <v>11497</v>
      </c>
      <c r="F1257" s="639">
        <v>2</v>
      </c>
      <c r="G1257" s="639">
        <f t="shared" si="88"/>
        <v>22994</v>
      </c>
      <c r="H1257" s="639"/>
      <c r="I1257" s="639"/>
      <c r="J1257" s="639"/>
      <c r="K1257" s="641"/>
      <c r="L1257" s="641"/>
      <c r="M1257" s="641"/>
      <c r="N1257" s="639"/>
      <c r="O1257" s="639"/>
    </row>
    <row r="1258" spans="1:15" ht="16.5">
      <c r="A1258" s="731"/>
      <c r="B1258" s="787" t="s">
        <v>1642</v>
      </c>
      <c r="C1258" s="701" t="s">
        <v>1643</v>
      </c>
      <c r="D1258" s="639" t="s">
        <v>40</v>
      </c>
      <c r="E1258" s="788">
        <v>11361</v>
      </c>
      <c r="F1258" s="639">
        <v>1</v>
      </c>
      <c r="G1258" s="639">
        <f t="shared" si="88"/>
        <v>11361</v>
      </c>
      <c r="H1258" s="639"/>
      <c r="I1258" s="639"/>
      <c r="J1258" s="639"/>
      <c r="K1258" s="641"/>
      <c r="L1258" s="641"/>
      <c r="M1258" s="641"/>
      <c r="N1258" s="639"/>
      <c r="O1258" s="639"/>
    </row>
    <row r="1259" spans="1:15" ht="16.5">
      <c r="A1259" s="731"/>
      <c r="B1259" s="787" t="s">
        <v>1644</v>
      </c>
      <c r="C1259" s="701" t="s">
        <v>1645</v>
      </c>
      <c r="D1259" s="639" t="s">
        <v>40</v>
      </c>
      <c r="E1259" s="788">
        <v>46712</v>
      </c>
      <c r="F1259" s="639">
        <v>1</v>
      </c>
      <c r="G1259" s="639">
        <f t="shared" si="88"/>
        <v>46712</v>
      </c>
      <c r="H1259" s="639"/>
      <c r="I1259" s="639"/>
      <c r="J1259" s="639"/>
      <c r="K1259" s="641"/>
      <c r="L1259" s="641"/>
      <c r="M1259" s="641"/>
      <c r="N1259" s="639"/>
      <c r="O1259" s="639"/>
    </row>
    <row r="1260" spans="1:15" ht="16.5">
      <c r="A1260" s="731"/>
      <c r="B1260" s="787" t="s">
        <v>1646</v>
      </c>
      <c r="C1260" s="701" t="s">
        <v>1647</v>
      </c>
      <c r="D1260" s="639" t="s">
        <v>40</v>
      </c>
      <c r="E1260" s="788">
        <v>13623</v>
      </c>
      <c r="F1260" s="639">
        <v>1</v>
      </c>
      <c r="G1260" s="639">
        <f t="shared" si="88"/>
        <v>13623</v>
      </c>
      <c r="H1260" s="639"/>
      <c r="I1260" s="639"/>
      <c r="J1260" s="639"/>
      <c r="K1260" s="641"/>
      <c r="L1260" s="641"/>
      <c r="M1260" s="641"/>
      <c r="N1260" s="639"/>
      <c r="O1260" s="639"/>
    </row>
    <row r="1261" spans="1:15" ht="16.5">
      <c r="A1261" s="731"/>
      <c r="B1261" s="790"/>
      <c r="C1261" s="789" t="s">
        <v>1648</v>
      </c>
      <c r="D1261" s="639"/>
      <c r="E1261" s="788"/>
      <c r="F1261" s="639"/>
      <c r="G1261" s="639"/>
      <c r="H1261" s="639"/>
      <c r="I1261" s="639"/>
      <c r="J1261" s="639"/>
      <c r="K1261" s="641"/>
      <c r="L1261" s="641"/>
      <c r="M1261" s="641"/>
      <c r="N1261" s="639"/>
      <c r="O1261" s="639"/>
    </row>
    <row r="1262" spans="1:15" ht="47.25">
      <c r="A1262" s="731"/>
      <c r="B1262" s="787"/>
      <c r="C1262" s="701" t="s">
        <v>1649</v>
      </c>
      <c r="D1262" s="639"/>
      <c r="E1262" s="788"/>
      <c r="F1262" s="639"/>
      <c r="G1262" s="639"/>
      <c r="H1262" s="639"/>
      <c r="I1262" s="639"/>
      <c r="J1262" s="639"/>
      <c r="K1262" s="641"/>
      <c r="L1262" s="641"/>
      <c r="M1262" s="641"/>
      <c r="N1262" s="639"/>
      <c r="O1262" s="639"/>
    </row>
    <row r="1263" spans="1:15" ht="47.25">
      <c r="A1263" s="731">
        <v>22</v>
      </c>
      <c r="B1263" s="787" t="s">
        <v>1650</v>
      </c>
      <c r="C1263" s="701" t="s">
        <v>1651</v>
      </c>
      <c r="D1263" s="639" t="s">
        <v>40</v>
      </c>
      <c r="E1263" s="788">
        <v>53727.25</v>
      </c>
      <c r="F1263" s="639">
        <v>2</v>
      </c>
      <c r="G1263" s="639">
        <f t="shared" ref="G1263:G1266" si="89">E1263*F1263</f>
        <v>107454.5</v>
      </c>
      <c r="H1263" s="639"/>
      <c r="I1263" s="639"/>
      <c r="J1263" s="639"/>
      <c r="K1263" s="641"/>
      <c r="L1263" s="641"/>
      <c r="M1263" s="641"/>
      <c r="N1263" s="639"/>
      <c r="O1263" s="639"/>
    </row>
    <row r="1264" spans="1:15" ht="16.5">
      <c r="A1264" s="731">
        <v>23</v>
      </c>
      <c r="B1264" s="787" t="s">
        <v>1652</v>
      </c>
      <c r="C1264" s="701" t="s">
        <v>1653</v>
      </c>
      <c r="D1264" s="639" t="s">
        <v>40</v>
      </c>
      <c r="E1264" s="788">
        <v>43584</v>
      </c>
      <c r="F1264" s="639">
        <v>1</v>
      </c>
      <c r="G1264" s="639">
        <f t="shared" si="89"/>
        <v>43584</v>
      </c>
      <c r="H1264" s="639"/>
      <c r="I1264" s="639"/>
      <c r="J1264" s="639"/>
      <c r="K1264" s="641"/>
      <c r="L1264" s="641"/>
      <c r="M1264" s="641"/>
      <c r="N1264" s="639"/>
      <c r="O1264" s="639"/>
    </row>
    <row r="1265" spans="1:15" ht="16.5">
      <c r="A1265" s="731"/>
      <c r="B1265" s="790"/>
      <c r="C1265" s="789" t="s">
        <v>1654</v>
      </c>
      <c r="D1265" s="639"/>
      <c r="E1265" s="788"/>
      <c r="F1265" s="639"/>
      <c r="G1265" s="639"/>
      <c r="H1265" s="639"/>
      <c r="I1265" s="639"/>
      <c r="J1265" s="639"/>
      <c r="K1265" s="641"/>
      <c r="L1265" s="641"/>
      <c r="M1265" s="641"/>
      <c r="N1265" s="639"/>
      <c r="O1265" s="639"/>
    </row>
    <row r="1266" spans="1:15" ht="16.5">
      <c r="A1266" s="731"/>
      <c r="B1266" s="790" t="s">
        <v>1119</v>
      </c>
      <c r="C1266" s="701" t="s">
        <v>1655</v>
      </c>
      <c r="D1266" s="639" t="s">
        <v>46</v>
      </c>
      <c r="E1266" s="788">
        <v>60.072727</v>
      </c>
      <c r="F1266" s="639">
        <v>220</v>
      </c>
      <c r="G1266" s="662">
        <f t="shared" si="89"/>
        <v>13215.99994</v>
      </c>
      <c r="H1266" s="639"/>
      <c r="I1266" s="639"/>
      <c r="J1266" s="639"/>
      <c r="K1266" s="641"/>
      <c r="L1266" s="641"/>
      <c r="M1266" s="641"/>
      <c r="N1266" s="639"/>
      <c r="O1266" s="639"/>
    </row>
    <row r="1267" spans="1:15" ht="16.5">
      <c r="A1267" s="731"/>
      <c r="B1267" s="790"/>
      <c r="C1267" s="789" t="s">
        <v>1656</v>
      </c>
      <c r="D1267" s="639"/>
      <c r="E1267" s="788"/>
      <c r="F1267" s="639"/>
      <c r="G1267" s="639"/>
      <c r="H1267" s="639"/>
      <c r="I1267" s="639"/>
      <c r="J1267" s="639"/>
      <c r="K1267" s="641"/>
      <c r="L1267" s="641"/>
      <c r="M1267" s="641"/>
      <c r="N1267" s="639"/>
      <c r="O1267" s="639"/>
    </row>
    <row r="1268" spans="1:15" ht="16.5">
      <c r="A1268" s="731">
        <v>94</v>
      </c>
      <c r="B1268" s="790" t="s">
        <v>1657</v>
      </c>
      <c r="C1268" s="701" t="s">
        <v>1658</v>
      </c>
      <c r="D1268" s="639" t="s">
        <v>40</v>
      </c>
      <c r="E1268" s="788">
        <v>9200</v>
      </c>
      <c r="F1268" s="639">
        <v>1</v>
      </c>
      <c r="G1268" s="662">
        <f t="shared" ref="G1268:G1286" si="90">E1268*F1268</f>
        <v>9200</v>
      </c>
      <c r="H1268" s="639"/>
      <c r="I1268" s="639"/>
      <c r="J1268" s="639"/>
      <c r="K1268" s="641"/>
      <c r="L1268" s="641"/>
      <c r="M1268" s="641"/>
      <c r="N1268" s="639"/>
      <c r="O1268" s="639"/>
    </row>
    <row r="1269" spans="1:15" ht="31.5">
      <c r="A1269" s="731">
        <v>103</v>
      </c>
      <c r="B1269" s="790" t="s">
        <v>1659</v>
      </c>
      <c r="C1269" s="701" t="s">
        <v>1660</v>
      </c>
      <c r="D1269" s="639" t="s">
        <v>40</v>
      </c>
      <c r="E1269" s="788">
        <v>0</v>
      </c>
      <c r="F1269" s="639">
        <v>1</v>
      </c>
      <c r="G1269" s="662">
        <f t="shared" si="90"/>
        <v>0</v>
      </c>
      <c r="H1269" s="639"/>
      <c r="I1269" s="639"/>
      <c r="J1269" s="639"/>
      <c r="K1269" s="641"/>
      <c r="L1269" s="641"/>
      <c r="M1269" s="641"/>
      <c r="N1269" s="639"/>
      <c r="O1269" s="639"/>
    </row>
    <row r="1270" spans="1:15" ht="31.5">
      <c r="A1270" s="731">
        <v>104</v>
      </c>
      <c r="B1270" s="790" t="s">
        <v>1661</v>
      </c>
      <c r="C1270" s="701" t="s">
        <v>1662</v>
      </c>
      <c r="D1270" s="639" t="s">
        <v>40</v>
      </c>
      <c r="E1270" s="788">
        <v>0</v>
      </c>
      <c r="F1270" s="639">
        <v>4</v>
      </c>
      <c r="G1270" s="662">
        <f t="shared" si="90"/>
        <v>0</v>
      </c>
      <c r="H1270" s="639"/>
      <c r="I1270" s="639"/>
      <c r="J1270" s="639"/>
      <c r="K1270" s="641"/>
      <c r="L1270" s="641"/>
      <c r="M1270" s="641"/>
      <c r="N1270" s="639"/>
      <c r="O1270" s="639"/>
    </row>
    <row r="1271" spans="1:15" ht="31.5">
      <c r="A1271" s="731">
        <v>108</v>
      </c>
      <c r="B1271" s="790" t="s">
        <v>1663</v>
      </c>
      <c r="C1271" s="701" t="s">
        <v>1664</v>
      </c>
      <c r="D1271" s="639" t="s">
        <v>40</v>
      </c>
      <c r="E1271" s="788">
        <v>0</v>
      </c>
      <c r="F1271" s="639">
        <v>2</v>
      </c>
      <c r="G1271" s="662">
        <f t="shared" si="90"/>
        <v>0</v>
      </c>
      <c r="H1271" s="639"/>
      <c r="I1271" s="639"/>
      <c r="J1271" s="639"/>
      <c r="K1271" s="641"/>
      <c r="L1271" s="641"/>
      <c r="M1271" s="641"/>
      <c r="N1271" s="639"/>
      <c r="O1271" s="639"/>
    </row>
    <row r="1272" spans="1:15" ht="31.5">
      <c r="A1272" s="731">
        <v>125</v>
      </c>
      <c r="B1272" s="790" t="s">
        <v>1665</v>
      </c>
      <c r="C1272" s="701" t="s">
        <v>1666</v>
      </c>
      <c r="D1272" s="639" t="s">
        <v>40</v>
      </c>
      <c r="E1272" s="788">
        <v>11340</v>
      </c>
      <c r="F1272" s="639">
        <v>1</v>
      </c>
      <c r="G1272" s="662">
        <f t="shared" si="90"/>
        <v>11340</v>
      </c>
      <c r="H1272" s="639"/>
      <c r="I1272" s="639"/>
      <c r="J1272" s="639"/>
      <c r="K1272" s="641"/>
      <c r="L1272" s="641"/>
      <c r="M1272" s="641"/>
      <c r="N1272" s="639"/>
      <c r="O1272" s="639"/>
    </row>
    <row r="1273" spans="1:15" ht="31.5">
      <c r="A1273" s="731">
        <v>134</v>
      </c>
      <c r="B1273" s="790" t="s">
        <v>1040</v>
      </c>
      <c r="C1273" s="701" t="s">
        <v>1667</v>
      </c>
      <c r="D1273" s="639" t="s">
        <v>40</v>
      </c>
      <c r="E1273" s="788">
        <v>806.25</v>
      </c>
      <c r="F1273" s="639">
        <v>8</v>
      </c>
      <c r="G1273" s="662">
        <f t="shared" si="90"/>
        <v>6450</v>
      </c>
      <c r="H1273" s="639"/>
      <c r="I1273" s="639"/>
      <c r="J1273" s="639"/>
      <c r="K1273" s="641"/>
      <c r="L1273" s="641"/>
      <c r="M1273" s="641"/>
      <c r="N1273" s="639"/>
      <c r="O1273" s="639"/>
    </row>
    <row r="1274" spans="1:15" ht="31.5">
      <c r="A1274" s="731">
        <v>144</v>
      </c>
      <c r="B1274" s="790" t="s">
        <v>1023</v>
      </c>
      <c r="C1274" s="701" t="s">
        <v>1668</v>
      </c>
      <c r="D1274" s="639" t="s">
        <v>40</v>
      </c>
      <c r="E1274" s="788">
        <v>0</v>
      </c>
      <c r="F1274" s="639">
        <v>1</v>
      </c>
      <c r="G1274" s="662">
        <f t="shared" si="90"/>
        <v>0</v>
      </c>
      <c r="H1274" s="639"/>
      <c r="I1274" s="639"/>
      <c r="J1274" s="639"/>
      <c r="K1274" s="641"/>
      <c r="L1274" s="641"/>
      <c r="M1274" s="641"/>
      <c r="N1274" s="639"/>
      <c r="O1274" s="639"/>
    </row>
    <row r="1275" spans="1:15" ht="31.5">
      <c r="A1275" s="731">
        <v>146</v>
      </c>
      <c r="B1275" s="790" t="s">
        <v>1669</v>
      </c>
      <c r="C1275" s="701" t="s">
        <v>1670</v>
      </c>
      <c r="D1275" s="639" t="s">
        <v>40</v>
      </c>
      <c r="E1275" s="788">
        <v>0</v>
      </c>
      <c r="F1275" s="639">
        <v>4</v>
      </c>
      <c r="G1275" s="662">
        <f t="shared" si="90"/>
        <v>0</v>
      </c>
      <c r="H1275" s="639"/>
      <c r="I1275" s="639"/>
      <c r="J1275" s="639"/>
      <c r="K1275" s="641"/>
      <c r="L1275" s="641"/>
      <c r="M1275" s="641"/>
      <c r="N1275" s="639"/>
      <c r="O1275" s="639"/>
    </row>
    <row r="1276" spans="1:15" ht="16.5">
      <c r="A1276" s="731">
        <v>147</v>
      </c>
      <c r="B1276" s="790" t="s">
        <v>1671</v>
      </c>
      <c r="C1276" s="701" t="s">
        <v>1672</v>
      </c>
      <c r="D1276" s="639" t="s">
        <v>40</v>
      </c>
      <c r="E1276" s="788">
        <v>0</v>
      </c>
      <c r="F1276" s="639">
        <v>6</v>
      </c>
      <c r="G1276" s="662">
        <f t="shared" si="90"/>
        <v>0</v>
      </c>
      <c r="H1276" s="639"/>
      <c r="I1276" s="639"/>
      <c r="J1276" s="639"/>
      <c r="K1276" s="641"/>
      <c r="L1276" s="641"/>
      <c r="M1276" s="641"/>
      <c r="N1276" s="639"/>
      <c r="O1276" s="639"/>
    </row>
    <row r="1277" spans="1:15" ht="16.5">
      <c r="A1277" s="731">
        <f t="shared" ref="A1277:A1305" si="91">A1276+1</f>
        <v>148</v>
      </c>
      <c r="B1277" s="790" t="s">
        <v>1673</v>
      </c>
      <c r="C1277" s="701" t="s">
        <v>1674</v>
      </c>
      <c r="D1277" s="639" t="s">
        <v>40</v>
      </c>
      <c r="E1277" s="788">
        <v>0</v>
      </c>
      <c r="F1277" s="639">
        <v>1</v>
      </c>
      <c r="G1277" s="662">
        <f t="shared" si="90"/>
        <v>0</v>
      </c>
      <c r="H1277" s="639"/>
      <c r="I1277" s="639"/>
      <c r="J1277" s="639"/>
      <c r="K1277" s="641"/>
      <c r="L1277" s="641"/>
      <c r="M1277" s="641"/>
      <c r="N1277" s="639"/>
      <c r="O1277" s="639"/>
    </row>
    <row r="1278" spans="1:15" ht="31.5">
      <c r="A1278" s="731">
        <f t="shared" si="91"/>
        <v>149</v>
      </c>
      <c r="B1278" s="790" t="s">
        <v>1675</v>
      </c>
      <c r="C1278" s="701" t="s">
        <v>1676</v>
      </c>
      <c r="D1278" s="639" t="s">
        <v>40</v>
      </c>
      <c r="E1278" s="788">
        <v>0</v>
      </c>
      <c r="F1278" s="639">
        <v>1</v>
      </c>
      <c r="G1278" s="662">
        <f t="shared" si="90"/>
        <v>0</v>
      </c>
      <c r="H1278" s="639"/>
      <c r="I1278" s="639"/>
      <c r="J1278" s="639"/>
      <c r="K1278" s="641"/>
      <c r="L1278" s="641"/>
      <c r="M1278" s="641"/>
      <c r="N1278" s="639"/>
      <c r="O1278" s="639"/>
    </row>
    <row r="1279" spans="1:15" ht="31.5">
      <c r="A1279" s="731">
        <f t="shared" si="91"/>
        <v>150</v>
      </c>
      <c r="B1279" s="790" t="s">
        <v>1677</v>
      </c>
      <c r="C1279" s="701" t="s">
        <v>1678</v>
      </c>
      <c r="D1279" s="639" t="s">
        <v>40</v>
      </c>
      <c r="E1279" s="788">
        <v>0</v>
      </c>
      <c r="F1279" s="639">
        <v>2</v>
      </c>
      <c r="G1279" s="662">
        <f t="shared" si="90"/>
        <v>0</v>
      </c>
      <c r="H1279" s="639"/>
      <c r="I1279" s="639"/>
      <c r="J1279" s="639"/>
      <c r="K1279" s="641"/>
      <c r="L1279" s="641"/>
      <c r="M1279" s="641"/>
      <c r="N1279" s="639"/>
      <c r="O1279" s="639"/>
    </row>
    <row r="1280" spans="1:15" ht="16.5">
      <c r="A1280" s="731">
        <f t="shared" si="91"/>
        <v>151</v>
      </c>
      <c r="B1280" s="790" t="s">
        <v>1679</v>
      </c>
      <c r="C1280" s="701" t="s">
        <v>1680</v>
      </c>
      <c r="D1280" s="639" t="s">
        <v>40</v>
      </c>
      <c r="E1280" s="788">
        <v>0</v>
      </c>
      <c r="F1280" s="639">
        <v>1</v>
      </c>
      <c r="G1280" s="662">
        <f t="shared" si="90"/>
        <v>0</v>
      </c>
      <c r="H1280" s="639"/>
      <c r="I1280" s="639"/>
      <c r="J1280" s="639"/>
      <c r="K1280" s="641"/>
      <c r="L1280" s="641"/>
      <c r="M1280" s="641"/>
      <c r="N1280" s="639"/>
      <c r="O1280" s="639"/>
    </row>
    <row r="1281" spans="1:15" ht="16.5">
      <c r="A1281" s="731">
        <f t="shared" si="91"/>
        <v>152</v>
      </c>
      <c r="B1281" s="790" t="s">
        <v>1681</v>
      </c>
      <c r="C1281" s="701" t="s">
        <v>1682</v>
      </c>
      <c r="D1281" s="639" t="s">
        <v>40</v>
      </c>
      <c r="E1281" s="788">
        <v>0</v>
      </c>
      <c r="F1281" s="639">
        <v>1</v>
      </c>
      <c r="G1281" s="662">
        <f t="shared" si="90"/>
        <v>0</v>
      </c>
      <c r="H1281" s="639"/>
      <c r="I1281" s="639"/>
      <c r="J1281" s="639"/>
      <c r="K1281" s="641"/>
      <c r="L1281" s="641"/>
      <c r="M1281" s="641"/>
      <c r="N1281" s="639"/>
      <c r="O1281" s="639"/>
    </row>
    <row r="1282" spans="1:15" ht="16.5">
      <c r="A1282" s="731">
        <f t="shared" si="91"/>
        <v>153</v>
      </c>
      <c r="B1282" s="790" t="s">
        <v>1683</v>
      </c>
      <c r="C1282" s="701" t="s">
        <v>1684</v>
      </c>
      <c r="D1282" s="639" t="s">
        <v>40</v>
      </c>
      <c r="E1282" s="788">
        <v>0</v>
      </c>
      <c r="F1282" s="639">
        <v>2</v>
      </c>
      <c r="G1282" s="662">
        <f t="shared" si="90"/>
        <v>0</v>
      </c>
      <c r="H1282" s="639"/>
      <c r="I1282" s="639"/>
      <c r="J1282" s="639"/>
      <c r="K1282" s="641"/>
      <c r="L1282" s="641"/>
      <c r="M1282" s="641"/>
      <c r="N1282" s="639"/>
      <c r="O1282" s="639"/>
    </row>
    <row r="1283" spans="1:15" ht="16.5">
      <c r="A1283" s="731">
        <f t="shared" si="91"/>
        <v>154</v>
      </c>
      <c r="B1283" s="790" t="s">
        <v>1685</v>
      </c>
      <c r="C1283" s="701" t="s">
        <v>1686</v>
      </c>
      <c r="D1283" s="639" t="s">
        <v>40</v>
      </c>
      <c r="E1283" s="788">
        <v>0</v>
      </c>
      <c r="F1283" s="639">
        <v>1</v>
      </c>
      <c r="G1283" s="662">
        <f t="shared" si="90"/>
        <v>0</v>
      </c>
      <c r="H1283" s="639"/>
      <c r="I1283" s="639"/>
      <c r="J1283" s="639"/>
      <c r="K1283" s="641"/>
      <c r="L1283" s="641"/>
      <c r="M1283" s="641"/>
      <c r="N1283" s="639"/>
      <c r="O1283" s="639"/>
    </row>
    <row r="1284" spans="1:15" ht="16.5">
      <c r="A1284" s="731">
        <f t="shared" si="91"/>
        <v>155</v>
      </c>
      <c r="B1284" s="790" t="s">
        <v>1687</v>
      </c>
      <c r="C1284" s="701" t="s">
        <v>1688</v>
      </c>
      <c r="D1284" s="639" t="s">
        <v>40</v>
      </c>
      <c r="E1284" s="788">
        <v>618</v>
      </c>
      <c r="F1284" s="639">
        <v>1</v>
      </c>
      <c r="G1284" s="662">
        <f t="shared" si="90"/>
        <v>618</v>
      </c>
      <c r="H1284" s="639"/>
      <c r="I1284" s="639"/>
      <c r="J1284" s="639"/>
      <c r="K1284" s="641"/>
      <c r="L1284" s="641"/>
      <c r="M1284" s="641"/>
      <c r="N1284" s="639"/>
      <c r="O1284" s="639"/>
    </row>
    <row r="1285" spans="1:15" ht="16.5">
      <c r="A1285" s="731">
        <f t="shared" si="91"/>
        <v>156</v>
      </c>
      <c r="B1285" s="790" t="s">
        <v>739</v>
      </c>
      <c r="C1285" s="701" t="s">
        <v>1689</v>
      </c>
      <c r="D1285" s="639" t="s">
        <v>40</v>
      </c>
      <c r="E1285" s="788">
        <v>7316</v>
      </c>
      <c r="F1285" s="639">
        <v>2</v>
      </c>
      <c r="G1285" s="662">
        <f t="shared" si="90"/>
        <v>14632</v>
      </c>
      <c r="H1285" s="639"/>
      <c r="I1285" s="639"/>
      <c r="J1285" s="639"/>
      <c r="K1285" s="641"/>
      <c r="L1285" s="641"/>
      <c r="M1285" s="641"/>
      <c r="N1285" s="639"/>
      <c r="O1285" s="639"/>
    </row>
    <row r="1286" spans="1:15" ht="16.5">
      <c r="A1286" s="731">
        <f t="shared" si="91"/>
        <v>157</v>
      </c>
      <c r="B1286" s="790" t="s">
        <v>1690</v>
      </c>
      <c r="C1286" s="701" t="s">
        <v>1691</v>
      </c>
      <c r="D1286" s="639" t="s">
        <v>40</v>
      </c>
      <c r="E1286" s="788">
        <v>17231.2</v>
      </c>
      <c r="F1286" s="639">
        <v>1</v>
      </c>
      <c r="G1286" s="662">
        <f t="shared" si="90"/>
        <v>17231.2</v>
      </c>
      <c r="H1286" s="639"/>
      <c r="I1286" s="639"/>
      <c r="J1286" s="639"/>
      <c r="K1286" s="641"/>
      <c r="L1286" s="641"/>
      <c r="M1286" s="641"/>
      <c r="N1286" s="639"/>
      <c r="O1286" s="639"/>
    </row>
    <row r="1287" spans="1:15" ht="16.5">
      <c r="A1287" s="731">
        <f t="shared" si="91"/>
        <v>158</v>
      </c>
      <c r="B1287" s="790" t="s">
        <v>1692</v>
      </c>
      <c r="C1287" s="701" t="s">
        <v>1693</v>
      </c>
      <c r="D1287" s="639" t="s">
        <v>40</v>
      </c>
      <c r="E1287" s="788">
        <v>29290</v>
      </c>
      <c r="F1287" s="215"/>
      <c r="G1287" s="215"/>
      <c r="H1287" s="639"/>
      <c r="I1287" s="639"/>
      <c r="J1287" s="639"/>
      <c r="K1287" s="639"/>
      <c r="L1287" s="639">
        <v>2</v>
      </c>
      <c r="M1287" s="682">
        <f t="shared" ref="M1287:M1291" si="92">L1287*E1287</f>
        <v>58580</v>
      </c>
      <c r="N1287" s="639"/>
      <c r="O1287" s="639"/>
    </row>
    <row r="1288" spans="1:15" ht="16.5">
      <c r="A1288" s="731">
        <f t="shared" si="91"/>
        <v>159</v>
      </c>
      <c r="B1288" s="790" t="s">
        <v>1694</v>
      </c>
      <c r="C1288" s="701" t="s">
        <v>1695</v>
      </c>
      <c r="D1288" s="639" t="s">
        <v>40</v>
      </c>
      <c r="E1288" s="788">
        <v>3700</v>
      </c>
      <c r="F1288" s="215"/>
      <c r="G1288" s="215"/>
      <c r="H1288" s="639"/>
      <c r="I1288" s="639"/>
      <c r="J1288" s="639"/>
      <c r="K1288" s="639"/>
      <c r="L1288" s="639">
        <v>2</v>
      </c>
      <c r="M1288" s="682">
        <f t="shared" si="92"/>
        <v>7400</v>
      </c>
      <c r="N1288" s="639"/>
      <c r="O1288" s="639"/>
    </row>
    <row r="1289" spans="1:15" ht="16.5">
      <c r="A1289" s="731">
        <f t="shared" si="91"/>
        <v>160</v>
      </c>
      <c r="B1289" s="790" t="s">
        <v>1696</v>
      </c>
      <c r="C1289" s="701" t="s">
        <v>1697</v>
      </c>
      <c r="D1289" s="639" t="s">
        <v>40</v>
      </c>
      <c r="E1289" s="788">
        <v>6864</v>
      </c>
      <c r="F1289" s="215"/>
      <c r="G1289" s="215"/>
      <c r="H1289" s="639"/>
      <c r="I1289" s="639"/>
      <c r="J1289" s="639"/>
      <c r="K1289" s="639"/>
      <c r="L1289" s="639">
        <v>2</v>
      </c>
      <c r="M1289" s="682">
        <f t="shared" si="92"/>
        <v>13728</v>
      </c>
      <c r="N1289" s="639"/>
      <c r="O1289" s="639"/>
    </row>
    <row r="1290" spans="1:15" ht="16.5">
      <c r="A1290" s="731">
        <f t="shared" si="91"/>
        <v>161</v>
      </c>
      <c r="B1290" s="790" t="s">
        <v>1698</v>
      </c>
      <c r="C1290" s="701" t="s">
        <v>1699</v>
      </c>
      <c r="D1290" s="639" t="s">
        <v>40</v>
      </c>
      <c r="E1290" s="788">
        <v>5250</v>
      </c>
      <c r="F1290" s="215"/>
      <c r="G1290" s="215"/>
      <c r="H1290" s="639"/>
      <c r="I1290" s="639"/>
      <c r="J1290" s="639"/>
      <c r="K1290" s="639"/>
      <c r="L1290" s="639">
        <v>1</v>
      </c>
      <c r="M1290" s="682">
        <f t="shared" si="92"/>
        <v>5250</v>
      </c>
      <c r="N1290" s="639"/>
      <c r="O1290" s="639"/>
    </row>
    <row r="1291" spans="1:15" ht="16.5">
      <c r="A1291" s="731">
        <f t="shared" si="91"/>
        <v>162</v>
      </c>
      <c r="B1291" s="790" t="s">
        <v>1700</v>
      </c>
      <c r="C1291" s="701" t="s">
        <v>1701</v>
      </c>
      <c r="D1291" s="639" t="s">
        <v>40</v>
      </c>
      <c r="E1291" s="788">
        <v>18200</v>
      </c>
      <c r="F1291" s="215"/>
      <c r="G1291" s="215"/>
      <c r="H1291" s="639"/>
      <c r="I1291" s="639"/>
      <c r="J1291" s="639"/>
      <c r="K1291" s="639"/>
      <c r="L1291" s="639">
        <v>1</v>
      </c>
      <c r="M1291" s="682">
        <f t="shared" si="92"/>
        <v>18200</v>
      </c>
      <c r="N1291" s="639"/>
      <c r="O1291" s="639"/>
    </row>
    <row r="1292" spans="1:15" ht="16.5">
      <c r="A1292" s="731">
        <f t="shared" si="91"/>
        <v>163</v>
      </c>
      <c r="B1292" s="790" t="s">
        <v>1702</v>
      </c>
      <c r="C1292" s="701" t="s">
        <v>1703</v>
      </c>
      <c r="D1292" s="639" t="s">
        <v>40</v>
      </c>
      <c r="E1292" s="788">
        <v>26105</v>
      </c>
      <c r="F1292" s="639">
        <v>1</v>
      </c>
      <c r="G1292" s="662">
        <f t="shared" ref="G1292:G1306" si="93">E1292*F1292</f>
        <v>26105</v>
      </c>
      <c r="H1292" s="639"/>
      <c r="I1292" s="639"/>
      <c r="J1292" s="639"/>
      <c r="K1292" s="641"/>
      <c r="L1292" s="641"/>
      <c r="M1292" s="641"/>
      <c r="N1292" s="639"/>
      <c r="O1292" s="639"/>
    </row>
    <row r="1293" spans="1:15" ht="16.5">
      <c r="A1293" s="731">
        <f t="shared" si="91"/>
        <v>164</v>
      </c>
      <c r="B1293" s="790" t="s">
        <v>1704</v>
      </c>
      <c r="C1293" s="701" t="s">
        <v>1705</v>
      </c>
      <c r="D1293" s="639" t="s">
        <v>40</v>
      </c>
      <c r="E1293" s="788">
        <v>1350</v>
      </c>
      <c r="F1293" s="639">
        <v>3</v>
      </c>
      <c r="G1293" s="662">
        <f t="shared" si="93"/>
        <v>4050</v>
      </c>
      <c r="H1293" s="639"/>
      <c r="I1293" s="639"/>
      <c r="J1293" s="639"/>
      <c r="K1293" s="641"/>
      <c r="L1293" s="641"/>
      <c r="M1293" s="641"/>
      <c r="N1293" s="639"/>
      <c r="O1293" s="639"/>
    </row>
    <row r="1294" spans="1:15" ht="16.5">
      <c r="A1294" s="731">
        <f t="shared" si="91"/>
        <v>165</v>
      </c>
      <c r="B1294" s="790" t="s">
        <v>1706</v>
      </c>
      <c r="C1294" s="701" t="s">
        <v>1707</v>
      </c>
      <c r="D1294" s="639" t="s">
        <v>40</v>
      </c>
      <c r="E1294" s="788">
        <v>1800</v>
      </c>
      <c r="F1294" s="639">
        <v>3</v>
      </c>
      <c r="G1294" s="662">
        <f t="shared" si="93"/>
        <v>5400</v>
      </c>
      <c r="H1294" s="639"/>
      <c r="I1294" s="639"/>
      <c r="J1294" s="639"/>
      <c r="K1294" s="641"/>
      <c r="L1294" s="641"/>
      <c r="M1294" s="641"/>
      <c r="N1294" s="639"/>
      <c r="O1294" s="639"/>
    </row>
    <row r="1295" spans="1:15" ht="16.5">
      <c r="A1295" s="731">
        <f t="shared" si="91"/>
        <v>166</v>
      </c>
      <c r="B1295" s="790" t="s">
        <v>1708</v>
      </c>
      <c r="C1295" s="701" t="s">
        <v>1709</v>
      </c>
      <c r="D1295" s="639" t="s">
        <v>40</v>
      </c>
      <c r="E1295" s="788">
        <v>3375</v>
      </c>
      <c r="F1295" s="639">
        <v>2</v>
      </c>
      <c r="G1295" s="662">
        <f t="shared" si="93"/>
        <v>6750</v>
      </c>
      <c r="H1295" s="639"/>
      <c r="I1295" s="639"/>
      <c r="J1295" s="639"/>
      <c r="K1295" s="641"/>
      <c r="L1295" s="641"/>
      <c r="M1295" s="641"/>
      <c r="N1295" s="639"/>
      <c r="O1295" s="639"/>
    </row>
    <row r="1296" spans="1:15" ht="16.5">
      <c r="A1296" s="731">
        <f t="shared" si="91"/>
        <v>167</v>
      </c>
      <c r="B1296" s="790" t="s">
        <v>1710</v>
      </c>
      <c r="C1296" s="701" t="s">
        <v>1711</v>
      </c>
      <c r="D1296" s="639" t="s">
        <v>40</v>
      </c>
      <c r="E1296" s="788">
        <v>5107.5</v>
      </c>
      <c r="F1296" s="639">
        <v>1</v>
      </c>
      <c r="G1296" s="662">
        <f t="shared" si="93"/>
        <v>5107.5</v>
      </c>
      <c r="H1296" s="639"/>
      <c r="I1296" s="639"/>
      <c r="J1296" s="639"/>
      <c r="K1296" s="641"/>
      <c r="L1296" s="641"/>
      <c r="M1296" s="641"/>
      <c r="N1296" s="639"/>
      <c r="O1296" s="639"/>
    </row>
    <row r="1297" spans="1:15" ht="16.5">
      <c r="A1297" s="731">
        <f t="shared" si="91"/>
        <v>168</v>
      </c>
      <c r="B1297" s="790" t="s">
        <v>1712</v>
      </c>
      <c r="C1297" s="701" t="s">
        <v>1713</v>
      </c>
      <c r="D1297" s="639" t="s">
        <v>40</v>
      </c>
      <c r="E1297" s="788">
        <v>14755</v>
      </c>
      <c r="F1297" s="639">
        <v>1</v>
      </c>
      <c r="G1297" s="662">
        <f t="shared" si="93"/>
        <v>14755</v>
      </c>
      <c r="H1297" s="639"/>
      <c r="I1297" s="639"/>
      <c r="J1297" s="639"/>
      <c r="K1297" s="641"/>
      <c r="L1297" s="641"/>
      <c r="M1297" s="641"/>
      <c r="N1297" s="639"/>
      <c r="O1297" s="639"/>
    </row>
    <row r="1298" spans="1:15" ht="16.5">
      <c r="A1298" s="731">
        <f t="shared" si="91"/>
        <v>169</v>
      </c>
      <c r="B1298" s="790" t="s">
        <v>1714</v>
      </c>
      <c r="C1298" s="701" t="s">
        <v>1715</v>
      </c>
      <c r="D1298" s="639" t="s">
        <v>40</v>
      </c>
      <c r="E1298" s="788">
        <v>12733</v>
      </c>
      <c r="F1298" s="639">
        <v>1</v>
      </c>
      <c r="G1298" s="662">
        <f t="shared" si="93"/>
        <v>12733</v>
      </c>
      <c r="H1298" s="639"/>
      <c r="I1298" s="639"/>
      <c r="J1298" s="639"/>
      <c r="K1298" s="641"/>
      <c r="L1298" s="641"/>
      <c r="M1298" s="641"/>
      <c r="N1298" s="639"/>
      <c r="O1298" s="639"/>
    </row>
    <row r="1299" spans="1:15" ht="16.5">
      <c r="A1299" s="731">
        <f t="shared" si="91"/>
        <v>170</v>
      </c>
      <c r="B1299" s="790" t="s">
        <v>1716</v>
      </c>
      <c r="C1299" s="701" t="s">
        <v>1717</v>
      </c>
      <c r="D1299" s="639" t="s">
        <v>40</v>
      </c>
      <c r="E1299" s="788">
        <v>7393</v>
      </c>
      <c r="F1299" s="639">
        <v>5</v>
      </c>
      <c r="G1299" s="662">
        <f t="shared" si="93"/>
        <v>36965</v>
      </c>
      <c r="H1299" s="639"/>
      <c r="I1299" s="639"/>
      <c r="J1299" s="639"/>
      <c r="K1299" s="641"/>
      <c r="L1299" s="641"/>
      <c r="M1299" s="641"/>
      <c r="N1299" s="639"/>
      <c r="O1299" s="639"/>
    </row>
    <row r="1300" spans="1:15" ht="16.5">
      <c r="A1300" s="731">
        <f t="shared" si="91"/>
        <v>171</v>
      </c>
      <c r="B1300" s="790" t="s">
        <v>1718</v>
      </c>
      <c r="C1300" s="701" t="s">
        <v>1719</v>
      </c>
      <c r="D1300" s="639" t="s">
        <v>40</v>
      </c>
      <c r="E1300" s="788">
        <v>3198.5</v>
      </c>
      <c r="F1300" s="639">
        <v>4</v>
      </c>
      <c r="G1300" s="662">
        <f t="shared" si="93"/>
        <v>12794</v>
      </c>
      <c r="H1300" s="639"/>
      <c r="I1300" s="639"/>
      <c r="J1300" s="639"/>
      <c r="K1300" s="641"/>
      <c r="L1300" s="641"/>
      <c r="M1300" s="641"/>
      <c r="N1300" s="639"/>
      <c r="O1300" s="639"/>
    </row>
    <row r="1301" spans="1:15" ht="16.5">
      <c r="A1301" s="731">
        <f t="shared" si="91"/>
        <v>172</v>
      </c>
      <c r="B1301" s="790" t="s">
        <v>1043</v>
      </c>
      <c r="C1301" s="701" t="s">
        <v>1720</v>
      </c>
      <c r="D1301" s="639" t="s">
        <v>40</v>
      </c>
      <c r="E1301" s="788">
        <v>11852.7</v>
      </c>
      <c r="F1301" s="639">
        <v>1</v>
      </c>
      <c r="G1301" s="662">
        <f t="shared" si="93"/>
        <v>11852.7</v>
      </c>
      <c r="H1301" s="639"/>
      <c r="I1301" s="639"/>
      <c r="J1301" s="639"/>
      <c r="K1301" s="641"/>
      <c r="L1301" s="641"/>
      <c r="M1301" s="641"/>
      <c r="N1301" s="639"/>
      <c r="O1301" s="639"/>
    </row>
    <row r="1302" spans="1:15" ht="16.5">
      <c r="A1302" s="731">
        <f t="shared" si="91"/>
        <v>173</v>
      </c>
      <c r="B1302" s="790" t="s">
        <v>1721</v>
      </c>
      <c r="C1302" s="701" t="s">
        <v>1722</v>
      </c>
      <c r="D1302" s="639" t="s">
        <v>40</v>
      </c>
      <c r="E1302" s="788">
        <v>3784.2</v>
      </c>
      <c r="F1302" s="639">
        <v>1</v>
      </c>
      <c r="G1302" s="662">
        <f t="shared" si="93"/>
        <v>3784.2</v>
      </c>
      <c r="H1302" s="639"/>
      <c r="I1302" s="639"/>
      <c r="J1302" s="639"/>
      <c r="K1302" s="641"/>
      <c r="L1302" s="641"/>
      <c r="M1302" s="641"/>
      <c r="N1302" s="639"/>
      <c r="O1302" s="639"/>
    </row>
    <row r="1303" spans="1:15" ht="16.5">
      <c r="A1303" s="731">
        <f t="shared" si="91"/>
        <v>174</v>
      </c>
      <c r="B1303" s="790" t="s">
        <v>1723</v>
      </c>
      <c r="C1303" s="701" t="s">
        <v>1724</v>
      </c>
      <c r="D1303" s="639" t="s">
        <v>40</v>
      </c>
      <c r="E1303" s="788">
        <v>111684</v>
      </c>
      <c r="F1303" s="639">
        <v>1</v>
      </c>
      <c r="G1303" s="662">
        <f t="shared" si="93"/>
        <v>111684</v>
      </c>
      <c r="H1303" s="639"/>
      <c r="I1303" s="639"/>
      <c r="J1303" s="639"/>
      <c r="K1303" s="641"/>
      <c r="L1303" s="641"/>
      <c r="M1303" s="641"/>
      <c r="N1303" s="639"/>
      <c r="O1303" s="639"/>
    </row>
    <row r="1304" spans="1:15" ht="47.25">
      <c r="A1304" s="731">
        <f t="shared" si="91"/>
        <v>175</v>
      </c>
      <c r="B1304" s="790" t="s">
        <v>937</v>
      </c>
      <c r="C1304" s="701" t="s">
        <v>1725</v>
      </c>
      <c r="D1304" s="639" t="s">
        <v>40</v>
      </c>
      <c r="E1304" s="788">
        <v>108415</v>
      </c>
      <c r="F1304" s="639">
        <v>1</v>
      </c>
      <c r="G1304" s="662">
        <f t="shared" si="93"/>
        <v>108415</v>
      </c>
      <c r="H1304" s="639"/>
      <c r="I1304" s="639"/>
      <c r="J1304" s="639"/>
      <c r="K1304" s="641"/>
      <c r="L1304" s="641"/>
      <c r="M1304" s="641"/>
      <c r="N1304" s="639"/>
      <c r="O1304" s="639"/>
    </row>
    <row r="1305" spans="1:15" ht="16.5">
      <c r="A1305" s="731">
        <f t="shared" si="91"/>
        <v>176</v>
      </c>
      <c r="B1305" s="790" t="s">
        <v>1726</v>
      </c>
      <c r="C1305" s="701" t="s">
        <v>1727</v>
      </c>
      <c r="D1305" s="639" t="s">
        <v>40</v>
      </c>
      <c r="E1305" s="788">
        <v>10760</v>
      </c>
      <c r="F1305" s="639">
        <v>5</v>
      </c>
      <c r="G1305" s="662">
        <f t="shared" si="93"/>
        <v>53800</v>
      </c>
      <c r="H1305" s="639"/>
      <c r="I1305" s="639"/>
      <c r="J1305" s="639"/>
      <c r="K1305" s="641"/>
      <c r="L1305" s="641"/>
      <c r="M1305" s="641"/>
      <c r="N1305" s="639"/>
      <c r="O1305" s="639"/>
    </row>
    <row r="1306" spans="1:15" ht="16.5">
      <c r="A1306" s="731"/>
      <c r="B1306" s="790" t="s">
        <v>1728</v>
      </c>
      <c r="C1306" s="701" t="s">
        <v>1729</v>
      </c>
      <c r="D1306" s="639" t="s">
        <v>40</v>
      </c>
      <c r="E1306" s="788">
        <v>56523</v>
      </c>
      <c r="F1306" s="639">
        <v>1</v>
      </c>
      <c r="G1306" s="662">
        <f t="shared" si="93"/>
        <v>56523</v>
      </c>
      <c r="H1306" s="639"/>
      <c r="I1306" s="639"/>
      <c r="J1306" s="639"/>
      <c r="K1306" s="641"/>
      <c r="L1306" s="641"/>
      <c r="M1306" s="641"/>
      <c r="N1306" s="639"/>
      <c r="O1306" s="639"/>
    </row>
    <row r="1307" spans="1:15" ht="16.5">
      <c r="A1307" s="731"/>
      <c r="B1307" s="790" t="s">
        <v>1730</v>
      </c>
      <c r="C1307" s="701" t="s">
        <v>1731</v>
      </c>
      <c r="D1307" s="639" t="s">
        <v>40</v>
      </c>
      <c r="E1307" s="788">
        <v>4500</v>
      </c>
      <c r="F1307" s="639"/>
      <c r="G1307" s="639"/>
      <c r="H1307" s="639"/>
      <c r="I1307" s="639"/>
      <c r="J1307" s="639"/>
      <c r="K1307" s="641"/>
      <c r="L1307" s="641">
        <v>1</v>
      </c>
      <c r="M1307" s="682">
        <f t="shared" ref="M1307:M1312" si="94">L1307*E1307</f>
        <v>4500</v>
      </c>
      <c r="N1307" s="639"/>
      <c r="O1307" s="639"/>
    </row>
    <row r="1308" spans="1:15" ht="16.5">
      <c r="A1308" s="731"/>
      <c r="B1308" s="790" t="s">
        <v>1732</v>
      </c>
      <c r="C1308" s="701" t="s">
        <v>1733</v>
      </c>
      <c r="D1308" s="639" t="s">
        <v>40</v>
      </c>
      <c r="E1308" s="788">
        <v>4550</v>
      </c>
      <c r="F1308" s="639"/>
      <c r="G1308" s="639"/>
      <c r="H1308" s="639"/>
      <c r="I1308" s="639"/>
      <c r="J1308" s="639"/>
      <c r="K1308" s="641"/>
      <c r="L1308" s="641">
        <v>1</v>
      </c>
      <c r="M1308" s="682">
        <f t="shared" si="94"/>
        <v>4550</v>
      </c>
      <c r="N1308" s="639"/>
      <c r="O1308" s="639"/>
    </row>
    <row r="1309" spans="1:15" ht="16.5">
      <c r="A1309" s="731"/>
      <c r="B1309" s="790" t="s">
        <v>1732</v>
      </c>
      <c r="C1309" s="701" t="s">
        <v>1734</v>
      </c>
      <c r="D1309" s="639" t="s">
        <v>40</v>
      </c>
      <c r="E1309" s="788">
        <v>3000</v>
      </c>
      <c r="F1309" s="639"/>
      <c r="G1309" s="639"/>
      <c r="H1309" s="639"/>
      <c r="I1309" s="639"/>
      <c r="J1309" s="639"/>
      <c r="K1309" s="641"/>
      <c r="L1309" s="641">
        <v>1</v>
      </c>
      <c r="M1309" s="682">
        <f t="shared" si="94"/>
        <v>3000</v>
      </c>
      <c r="N1309" s="639"/>
      <c r="O1309" s="639"/>
    </row>
    <row r="1310" spans="1:15" ht="31.5">
      <c r="A1310" s="731">
        <f>A1305+1</f>
        <v>177</v>
      </c>
      <c r="B1310" s="790" t="s">
        <v>1735</v>
      </c>
      <c r="C1310" s="701" t="s">
        <v>1736</v>
      </c>
      <c r="D1310" s="639" t="s">
        <v>40</v>
      </c>
      <c r="E1310" s="788">
        <v>7500</v>
      </c>
      <c r="F1310" s="639"/>
      <c r="G1310" s="639"/>
      <c r="H1310" s="639"/>
      <c r="I1310" s="639"/>
      <c r="J1310" s="639"/>
      <c r="K1310" s="641"/>
      <c r="L1310" s="641">
        <v>1</v>
      </c>
      <c r="M1310" s="682">
        <f t="shared" si="94"/>
        <v>7500</v>
      </c>
      <c r="N1310" s="639"/>
      <c r="O1310" s="639"/>
    </row>
    <row r="1311" spans="1:15" ht="31.5">
      <c r="A1311" s="731">
        <f t="shared" ref="A1311:A1315" si="95">A1310+1</f>
        <v>178</v>
      </c>
      <c r="B1311" s="790" t="s">
        <v>1737</v>
      </c>
      <c r="C1311" s="701" t="s">
        <v>1738</v>
      </c>
      <c r="D1311" s="639" t="s">
        <v>40</v>
      </c>
      <c r="E1311" s="788">
        <v>5300</v>
      </c>
      <c r="F1311" s="639"/>
      <c r="G1311" s="639"/>
      <c r="H1311" s="639"/>
      <c r="I1311" s="639"/>
      <c r="J1311" s="639"/>
      <c r="K1311" s="641"/>
      <c r="L1311" s="641">
        <v>1</v>
      </c>
      <c r="M1311" s="682">
        <f t="shared" si="94"/>
        <v>5300</v>
      </c>
      <c r="N1311" s="639"/>
      <c r="O1311" s="639"/>
    </row>
    <row r="1312" spans="1:15" ht="31.5">
      <c r="A1312" s="731">
        <f t="shared" si="95"/>
        <v>179</v>
      </c>
      <c r="B1312" s="790" t="s">
        <v>1739</v>
      </c>
      <c r="C1312" s="701" t="s">
        <v>1740</v>
      </c>
      <c r="D1312" s="639" t="s">
        <v>40</v>
      </c>
      <c r="E1312" s="788">
        <v>10000</v>
      </c>
      <c r="F1312" s="639"/>
      <c r="G1312" s="639"/>
      <c r="H1312" s="639"/>
      <c r="I1312" s="639"/>
      <c r="J1312" s="639"/>
      <c r="K1312" s="641"/>
      <c r="L1312" s="641">
        <v>1</v>
      </c>
      <c r="M1312" s="682">
        <f t="shared" si="94"/>
        <v>10000</v>
      </c>
      <c r="N1312" s="639"/>
      <c r="O1312" s="639"/>
    </row>
    <row r="1313" spans="1:15" ht="31.5">
      <c r="A1313" s="731">
        <f t="shared" si="95"/>
        <v>180</v>
      </c>
      <c r="B1313" s="790" t="s">
        <v>1741</v>
      </c>
      <c r="C1313" s="701" t="s">
        <v>1742</v>
      </c>
      <c r="D1313" s="639" t="s">
        <v>40</v>
      </c>
      <c r="E1313" s="788">
        <v>36102</v>
      </c>
      <c r="F1313" s="639">
        <v>2</v>
      </c>
      <c r="G1313" s="662">
        <f t="shared" ref="G1313:G1333" si="96">E1313*F1313</f>
        <v>72204</v>
      </c>
      <c r="H1313" s="639"/>
      <c r="I1313" s="639"/>
      <c r="J1313" s="639"/>
      <c r="K1313" s="641"/>
      <c r="L1313" s="641"/>
      <c r="M1313" s="641"/>
      <c r="N1313" s="639"/>
      <c r="O1313" s="639"/>
    </row>
    <row r="1314" spans="1:15" ht="16.5">
      <c r="A1314" s="731">
        <f t="shared" si="95"/>
        <v>181</v>
      </c>
      <c r="B1314" s="790" t="s">
        <v>1743</v>
      </c>
      <c r="C1314" s="701" t="s">
        <v>1744</v>
      </c>
      <c r="D1314" s="639" t="s">
        <v>40</v>
      </c>
      <c r="E1314" s="788">
        <v>8644</v>
      </c>
      <c r="F1314" s="791"/>
      <c r="G1314" s="215"/>
      <c r="H1314" s="639"/>
      <c r="I1314" s="639"/>
      <c r="J1314" s="639"/>
      <c r="K1314" s="639"/>
      <c r="L1314" s="639">
        <v>1</v>
      </c>
      <c r="M1314" s="682">
        <f>L1314*E1314</f>
        <v>8644</v>
      </c>
      <c r="N1314" s="639"/>
      <c r="O1314" s="639"/>
    </row>
    <row r="1315" spans="1:15" ht="16.5">
      <c r="A1315" s="731">
        <f t="shared" si="95"/>
        <v>182</v>
      </c>
      <c r="B1315" s="790" t="s">
        <v>1745</v>
      </c>
      <c r="C1315" s="701" t="s">
        <v>1746</v>
      </c>
      <c r="D1315" s="639" t="s">
        <v>40</v>
      </c>
      <c r="E1315" s="788">
        <v>2775</v>
      </c>
      <c r="F1315" s="639">
        <v>1</v>
      </c>
      <c r="G1315" s="662">
        <f t="shared" si="96"/>
        <v>2775</v>
      </c>
      <c r="H1315" s="639"/>
      <c r="I1315" s="639"/>
      <c r="J1315" s="639"/>
      <c r="K1315" s="641"/>
      <c r="L1315" s="641"/>
      <c r="M1315" s="641"/>
      <c r="N1315" s="639"/>
      <c r="O1315" s="639"/>
    </row>
    <row r="1316" spans="1:15" ht="16.5">
      <c r="A1316" s="731"/>
      <c r="B1316" s="790" t="s">
        <v>1747</v>
      </c>
      <c r="C1316" s="701" t="s">
        <v>1748</v>
      </c>
      <c r="D1316" s="639" t="s">
        <v>40</v>
      </c>
      <c r="E1316" s="788">
        <v>86111</v>
      </c>
      <c r="F1316" s="639">
        <v>1</v>
      </c>
      <c r="G1316" s="662">
        <f t="shared" si="96"/>
        <v>86111</v>
      </c>
      <c r="H1316" s="639"/>
      <c r="I1316" s="639"/>
      <c r="J1316" s="639"/>
      <c r="K1316" s="641"/>
      <c r="L1316" s="641"/>
      <c r="M1316" s="641"/>
      <c r="N1316" s="639"/>
      <c r="O1316" s="639"/>
    </row>
    <row r="1317" spans="1:15" ht="31.5">
      <c r="A1317" s="731">
        <f>A1315+1</f>
        <v>183</v>
      </c>
      <c r="B1317" s="790" t="s">
        <v>282</v>
      </c>
      <c r="C1317" s="701" t="s">
        <v>1749</v>
      </c>
      <c r="D1317" s="639" t="s">
        <v>40</v>
      </c>
      <c r="E1317" s="788">
        <v>77172</v>
      </c>
      <c r="F1317" s="639">
        <v>1</v>
      </c>
      <c r="G1317" s="662">
        <f t="shared" si="96"/>
        <v>77172</v>
      </c>
      <c r="H1317" s="639"/>
      <c r="I1317" s="639"/>
      <c r="J1317" s="639"/>
      <c r="K1317" s="641"/>
      <c r="L1317" s="641"/>
      <c r="M1317" s="641"/>
      <c r="N1317" s="639"/>
      <c r="O1317" s="639"/>
    </row>
    <row r="1318" spans="1:15" ht="63">
      <c r="A1318" s="731">
        <f t="shared" ref="A1318:A1323" si="97">A1317+1</f>
        <v>184</v>
      </c>
      <c r="B1318" s="790" t="s">
        <v>1750</v>
      </c>
      <c r="C1318" s="701" t="s">
        <v>1751</v>
      </c>
      <c r="D1318" s="639" t="s">
        <v>40</v>
      </c>
      <c r="E1318" s="788">
        <v>7994.5</v>
      </c>
      <c r="F1318" s="639">
        <v>1</v>
      </c>
      <c r="G1318" s="662">
        <f t="shared" si="96"/>
        <v>7994.5</v>
      </c>
      <c r="H1318" s="639"/>
      <c r="I1318" s="639"/>
      <c r="J1318" s="639"/>
      <c r="K1318" s="641"/>
      <c r="L1318" s="641"/>
      <c r="M1318" s="641"/>
      <c r="N1318" s="639"/>
      <c r="O1318" s="639"/>
    </row>
    <row r="1319" spans="1:15" ht="63">
      <c r="A1319" s="731">
        <f t="shared" si="97"/>
        <v>185</v>
      </c>
      <c r="B1319" s="790" t="s">
        <v>288</v>
      </c>
      <c r="C1319" s="701" t="s">
        <v>1752</v>
      </c>
      <c r="D1319" s="639" t="s">
        <v>40</v>
      </c>
      <c r="E1319" s="788">
        <v>7994.5</v>
      </c>
      <c r="F1319" s="639">
        <v>1</v>
      </c>
      <c r="G1319" s="662">
        <f t="shared" si="96"/>
        <v>7994.5</v>
      </c>
      <c r="H1319" s="639"/>
      <c r="I1319" s="639"/>
      <c r="J1319" s="639"/>
      <c r="K1319" s="641"/>
      <c r="L1319" s="641"/>
      <c r="M1319" s="641"/>
      <c r="N1319" s="639"/>
      <c r="O1319" s="639"/>
    </row>
    <row r="1320" spans="1:15" ht="47.25">
      <c r="A1320" s="731">
        <f t="shared" si="97"/>
        <v>186</v>
      </c>
      <c r="B1320" s="790" t="s">
        <v>298</v>
      </c>
      <c r="C1320" s="701" t="s">
        <v>1753</v>
      </c>
      <c r="D1320" s="639" t="s">
        <v>40</v>
      </c>
      <c r="E1320" s="788">
        <v>3953</v>
      </c>
      <c r="F1320" s="639">
        <v>2</v>
      </c>
      <c r="G1320" s="662">
        <f t="shared" si="96"/>
        <v>7906</v>
      </c>
      <c r="H1320" s="639"/>
      <c r="I1320" s="639"/>
      <c r="J1320" s="639"/>
      <c r="K1320" s="641"/>
      <c r="L1320" s="641"/>
      <c r="M1320" s="641"/>
      <c r="N1320" s="639"/>
      <c r="O1320" s="639"/>
    </row>
    <row r="1321" spans="1:15" ht="16.5">
      <c r="A1321" s="731">
        <f t="shared" si="97"/>
        <v>187</v>
      </c>
      <c r="B1321" s="790" t="s">
        <v>308</v>
      </c>
      <c r="C1321" s="701" t="s">
        <v>1754</v>
      </c>
      <c r="D1321" s="639" t="s">
        <v>40</v>
      </c>
      <c r="E1321" s="788">
        <v>206.5</v>
      </c>
      <c r="F1321" s="639">
        <v>2</v>
      </c>
      <c r="G1321" s="662">
        <f t="shared" si="96"/>
        <v>413</v>
      </c>
      <c r="H1321" s="639"/>
      <c r="I1321" s="639"/>
      <c r="J1321" s="639"/>
      <c r="K1321" s="641"/>
      <c r="L1321" s="641"/>
      <c r="M1321" s="641"/>
      <c r="N1321" s="639"/>
      <c r="O1321" s="639"/>
    </row>
    <row r="1322" spans="1:15" ht="16.5">
      <c r="A1322" s="731">
        <f t="shared" si="97"/>
        <v>188</v>
      </c>
      <c r="B1322" s="790" t="s">
        <v>1755</v>
      </c>
      <c r="C1322" s="701" t="s">
        <v>1756</v>
      </c>
      <c r="D1322" s="639" t="s">
        <v>40</v>
      </c>
      <c r="E1322" s="788">
        <v>413</v>
      </c>
      <c r="F1322" s="639">
        <v>2</v>
      </c>
      <c r="G1322" s="662">
        <f t="shared" si="96"/>
        <v>826</v>
      </c>
      <c r="H1322" s="639"/>
      <c r="I1322" s="639"/>
      <c r="J1322" s="639"/>
      <c r="K1322" s="641"/>
      <c r="L1322" s="641"/>
      <c r="M1322" s="641"/>
      <c r="N1322" s="639"/>
      <c r="O1322" s="639"/>
    </row>
    <row r="1323" spans="1:15" ht="31.5">
      <c r="A1323" s="731">
        <f t="shared" si="97"/>
        <v>189</v>
      </c>
      <c r="B1323" s="790" t="s">
        <v>727</v>
      </c>
      <c r="C1323" s="701" t="s">
        <v>1757</v>
      </c>
      <c r="D1323" s="639" t="s">
        <v>40</v>
      </c>
      <c r="E1323" s="788">
        <v>171.1</v>
      </c>
      <c r="F1323" s="639">
        <v>10</v>
      </c>
      <c r="G1323" s="662">
        <f t="shared" si="96"/>
        <v>1711</v>
      </c>
      <c r="H1323" s="639"/>
      <c r="I1323" s="639"/>
      <c r="J1323" s="639"/>
      <c r="K1323" s="641"/>
      <c r="L1323" s="641"/>
      <c r="M1323" s="641"/>
      <c r="N1323" s="639"/>
      <c r="O1323" s="639"/>
    </row>
    <row r="1324" spans="1:15" ht="16.5">
      <c r="A1324" s="731">
        <v>190</v>
      </c>
      <c r="B1324" s="790" t="s">
        <v>1758</v>
      </c>
      <c r="C1324" s="701" t="s">
        <v>1759</v>
      </c>
      <c r="D1324" s="639" t="s">
        <v>40</v>
      </c>
      <c r="E1324" s="788">
        <v>0</v>
      </c>
      <c r="F1324" s="639">
        <v>1</v>
      </c>
      <c r="G1324" s="662">
        <f t="shared" si="96"/>
        <v>0</v>
      </c>
      <c r="H1324" s="639"/>
      <c r="I1324" s="639"/>
      <c r="J1324" s="639"/>
      <c r="K1324" s="641"/>
      <c r="L1324" s="641"/>
      <c r="M1324" s="641"/>
      <c r="N1324" s="639"/>
      <c r="O1324" s="639"/>
    </row>
    <row r="1325" spans="1:15" ht="31.5">
      <c r="A1325" s="731">
        <v>191</v>
      </c>
      <c r="B1325" s="790" t="s">
        <v>1760</v>
      </c>
      <c r="C1325" s="701" t="s">
        <v>1761</v>
      </c>
      <c r="D1325" s="639" t="s">
        <v>40</v>
      </c>
      <c r="E1325" s="788">
        <v>6753</v>
      </c>
      <c r="F1325" s="639">
        <v>1</v>
      </c>
      <c r="G1325" s="662">
        <f t="shared" si="96"/>
        <v>6753</v>
      </c>
      <c r="H1325" s="639"/>
      <c r="I1325" s="639"/>
      <c r="J1325" s="639"/>
      <c r="K1325" s="641"/>
      <c r="L1325" s="641"/>
      <c r="M1325" s="641"/>
      <c r="N1325" s="639"/>
      <c r="O1325" s="639"/>
    </row>
    <row r="1326" spans="1:15" ht="31.5">
      <c r="A1326" s="731"/>
      <c r="B1326" s="790" t="s">
        <v>1043</v>
      </c>
      <c r="C1326" s="701" t="s">
        <v>1762</v>
      </c>
      <c r="D1326" s="639" t="s">
        <v>40</v>
      </c>
      <c r="E1326" s="788">
        <v>29169.9</v>
      </c>
      <c r="F1326" s="639">
        <v>4</v>
      </c>
      <c r="G1326" s="662">
        <f t="shared" si="96"/>
        <v>116679.6</v>
      </c>
      <c r="H1326" s="639"/>
      <c r="I1326" s="639"/>
      <c r="J1326" s="639"/>
      <c r="K1326" s="641"/>
      <c r="L1326" s="641"/>
      <c r="M1326" s="641"/>
      <c r="N1326" s="639"/>
      <c r="O1326" s="639"/>
    </row>
    <row r="1327" spans="1:15" ht="31.5">
      <c r="A1327" s="731"/>
      <c r="B1327" s="790" t="s">
        <v>1045</v>
      </c>
      <c r="C1327" s="701" t="s">
        <v>1763</v>
      </c>
      <c r="D1327" s="639" t="s">
        <v>40</v>
      </c>
      <c r="E1327" s="788">
        <v>28650.82</v>
      </c>
      <c r="F1327" s="639">
        <v>2</v>
      </c>
      <c r="G1327" s="662">
        <f t="shared" si="96"/>
        <v>57301.64</v>
      </c>
      <c r="H1327" s="639"/>
      <c r="I1327" s="639"/>
      <c r="J1327" s="639"/>
      <c r="K1327" s="641"/>
      <c r="L1327" s="641"/>
      <c r="M1327" s="641"/>
      <c r="N1327" s="639"/>
      <c r="O1327" s="639"/>
    </row>
    <row r="1328" spans="1:15" ht="31.5">
      <c r="A1328" s="731"/>
      <c r="B1328" s="790" t="s">
        <v>1747</v>
      </c>
      <c r="C1328" s="701" t="s">
        <v>1764</v>
      </c>
      <c r="D1328" s="639" t="s">
        <v>40</v>
      </c>
      <c r="E1328" s="788">
        <v>194600</v>
      </c>
      <c r="F1328" s="639">
        <v>1</v>
      </c>
      <c r="G1328" s="662">
        <f t="shared" si="96"/>
        <v>194600</v>
      </c>
      <c r="H1328" s="639"/>
      <c r="I1328" s="639"/>
      <c r="J1328" s="639"/>
      <c r="K1328" s="641"/>
      <c r="L1328" s="641"/>
      <c r="M1328" s="641"/>
      <c r="N1328" s="639"/>
      <c r="O1328" s="639"/>
    </row>
    <row r="1329" spans="1:15" ht="16.5">
      <c r="A1329" s="731"/>
      <c r="B1329" s="790" t="s">
        <v>990</v>
      </c>
      <c r="C1329" s="701" t="s">
        <v>991</v>
      </c>
      <c r="D1329" s="639" t="s">
        <v>40</v>
      </c>
      <c r="E1329" s="788">
        <v>49206</v>
      </c>
      <c r="F1329" s="639">
        <v>1</v>
      </c>
      <c r="G1329" s="662">
        <f t="shared" si="96"/>
        <v>49206</v>
      </c>
      <c r="H1329" s="639"/>
      <c r="I1329" s="639"/>
      <c r="J1329" s="639"/>
      <c r="K1329" s="641"/>
      <c r="L1329" s="641"/>
      <c r="M1329" s="641"/>
      <c r="N1329" s="639"/>
      <c r="O1329" s="639"/>
    </row>
    <row r="1330" spans="1:15" ht="16.5">
      <c r="A1330" s="731"/>
      <c r="B1330" s="790" t="s">
        <v>1765</v>
      </c>
      <c r="C1330" s="701" t="s">
        <v>765</v>
      </c>
      <c r="D1330" s="639" t="s">
        <v>40</v>
      </c>
      <c r="E1330" s="788">
        <v>7906</v>
      </c>
      <c r="F1330" s="639">
        <v>1</v>
      </c>
      <c r="G1330" s="662">
        <f t="shared" si="96"/>
        <v>7906</v>
      </c>
      <c r="H1330" s="639"/>
      <c r="I1330" s="639"/>
      <c r="J1330" s="639"/>
      <c r="K1330" s="641"/>
      <c r="L1330" s="641"/>
      <c r="M1330" s="641"/>
      <c r="N1330" s="639"/>
      <c r="O1330" s="639"/>
    </row>
    <row r="1331" spans="1:15" ht="16.5">
      <c r="A1331" s="731"/>
      <c r="B1331" s="790" t="s">
        <v>1650</v>
      </c>
      <c r="C1331" s="701" t="s">
        <v>1766</v>
      </c>
      <c r="D1331" s="639" t="s">
        <v>40</v>
      </c>
      <c r="E1331" s="788">
        <v>34456</v>
      </c>
      <c r="F1331" s="639">
        <v>1</v>
      </c>
      <c r="G1331" s="662">
        <f t="shared" si="96"/>
        <v>34456</v>
      </c>
      <c r="H1331" s="639"/>
      <c r="I1331" s="639"/>
      <c r="J1331" s="639"/>
      <c r="K1331" s="641"/>
      <c r="L1331" s="641"/>
      <c r="M1331" s="641"/>
      <c r="N1331" s="639"/>
      <c r="O1331" s="639"/>
    </row>
    <row r="1332" spans="1:15" ht="16.5">
      <c r="A1332" s="731"/>
      <c r="B1332" s="790" t="s">
        <v>1767</v>
      </c>
      <c r="C1332" s="701" t="s">
        <v>1768</v>
      </c>
      <c r="D1332" s="639" t="s">
        <v>40</v>
      </c>
      <c r="E1332" s="788">
        <v>22184</v>
      </c>
      <c r="F1332" s="639">
        <v>2</v>
      </c>
      <c r="G1332" s="662">
        <f t="shared" si="96"/>
        <v>44368</v>
      </c>
      <c r="H1332" s="639"/>
      <c r="I1332" s="639"/>
      <c r="J1332" s="639"/>
      <c r="K1332" s="641"/>
      <c r="L1332" s="641"/>
      <c r="M1332" s="641"/>
      <c r="N1332" s="639"/>
      <c r="O1332" s="639"/>
    </row>
    <row r="1333" spans="1:15" ht="31.5">
      <c r="A1333" s="731"/>
      <c r="B1333" s="790" t="s">
        <v>1769</v>
      </c>
      <c r="C1333" s="701" t="s">
        <v>1770</v>
      </c>
      <c r="D1333" s="639" t="s">
        <v>40</v>
      </c>
      <c r="E1333" s="788">
        <v>5500</v>
      </c>
      <c r="F1333" s="639">
        <v>1</v>
      </c>
      <c r="G1333" s="662">
        <f t="shared" si="96"/>
        <v>5500</v>
      </c>
      <c r="H1333" s="639"/>
      <c r="I1333" s="639"/>
      <c r="J1333" s="639"/>
      <c r="K1333" s="641"/>
      <c r="L1333" s="641"/>
      <c r="M1333" s="641"/>
      <c r="N1333" s="639"/>
      <c r="O1333" s="639"/>
    </row>
    <row r="1334" spans="1:15">
      <c r="A1334" s="769" t="s">
        <v>1613</v>
      </c>
      <c r="B1334" s="770"/>
      <c r="C1334" s="771"/>
      <c r="D1334" s="771"/>
      <c r="E1334" s="772"/>
      <c r="F1334" s="773"/>
      <c r="G1334" s="774">
        <f t="shared" ref="G1334:K1334" si="98">SUM(G1241:G1333)</f>
        <v>2039331.7099399997</v>
      </c>
      <c r="H1334" s="773"/>
      <c r="I1334" s="774">
        <f t="shared" si="98"/>
        <v>0</v>
      </c>
      <c r="J1334" s="773"/>
      <c r="K1334" s="774">
        <f t="shared" si="98"/>
        <v>0</v>
      </c>
      <c r="L1334" s="773"/>
      <c r="M1334" s="774">
        <f>SUM(M1241:M1333)</f>
        <v>153327</v>
      </c>
      <c r="N1334" s="773"/>
      <c r="O1334" s="774">
        <f>SUM(O1241:O1333)</f>
        <v>0</v>
      </c>
    </row>
    <row r="1335" spans="1:15">
      <c r="A1335" s="792"/>
      <c r="B1335" s="793"/>
      <c r="C1335" s="792"/>
      <c r="D1335" s="794"/>
      <c r="E1335" s="795"/>
      <c r="F1335" s="791"/>
      <c r="G1335" s="791"/>
      <c r="H1335" s="791"/>
      <c r="I1335" s="791"/>
      <c r="J1335" s="791"/>
      <c r="K1335" s="791"/>
      <c r="L1335" s="791"/>
      <c r="M1335" s="791"/>
      <c r="N1335" s="791"/>
      <c r="O1335" s="796"/>
    </row>
    <row r="1336" spans="1:15">
      <c r="A1336" s="792"/>
      <c r="B1336" s="793"/>
      <c r="C1336" s="792"/>
      <c r="D1336" s="794"/>
      <c r="E1336" s="795"/>
      <c r="F1336" s="791"/>
      <c r="G1336" s="791"/>
      <c r="H1336" s="791"/>
      <c r="I1336" s="791"/>
      <c r="J1336" s="791"/>
      <c r="K1336" s="791"/>
      <c r="L1336" s="791"/>
      <c r="M1336" s="791"/>
      <c r="N1336" s="791"/>
      <c r="O1336" s="796"/>
    </row>
    <row r="1337" spans="1:15">
      <c r="A1337" s="792"/>
      <c r="B1337" s="793"/>
      <c r="C1337" s="792"/>
      <c r="D1337" s="794"/>
      <c r="E1337" s="795"/>
      <c r="F1337" s="791"/>
      <c r="G1337" s="791"/>
      <c r="H1337" s="791"/>
      <c r="I1337" s="791"/>
      <c r="J1337" s="791"/>
      <c r="K1337" s="791"/>
      <c r="L1337" s="791"/>
      <c r="M1337" s="791"/>
      <c r="N1337" s="791"/>
      <c r="O1337" s="796"/>
    </row>
    <row r="1338" spans="1:15">
      <c r="A1338" s="792"/>
      <c r="B1338" s="793"/>
      <c r="C1338" s="792"/>
      <c r="D1338" s="794"/>
      <c r="E1338" s="795"/>
      <c r="F1338" s="791"/>
      <c r="G1338" s="791"/>
      <c r="H1338" s="791"/>
      <c r="I1338" s="791"/>
      <c r="J1338" s="791"/>
      <c r="K1338" s="791"/>
      <c r="L1338" s="791"/>
      <c r="M1338" s="791"/>
      <c r="N1338" s="791"/>
      <c r="O1338" s="796"/>
    </row>
    <row r="1340" spans="1:15">
      <c r="A1340" s="797" t="s">
        <v>1771</v>
      </c>
      <c r="B1340" s="797"/>
      <c r="C1340" s="797"/>
      <c r="D1340" s="797"/>
      <c r="E1340" s="797"/>
      <c r="F1340" s="797"/>
      <c r="G1340" s="797"/>
      <c r="H1340" s="797"/>
      <c r="I1340" s="797"/>
      <c r="J1340" s="797"/>
      <c r="K1340" s="797"/>
    </row>
    <row r="1341" spans="1:15">
      <c r="A1341" s="797"/>
      <c r="B1341" s="797"/>
      <c r="C1341" s="797"/>
      <c r="D1341" s="797"/>
      <c r="E1341" s="797"/>
      <c r="F1341" s="797"/>
      <c r="G1341" s="797"/>
      <c r="H1341" s="797"/>
      <c r="I1341" s="797"/>
      <c r="J1341" s="797"/>
      <c r="K1341" s="797"/>
    </row>
    <row r="1342" spans="1:15">
      <c r="A1342" s="798"/>
      <c r="B1342" s="103"/>
      <c r="C1342" s="103"/>
      <c r="D1342" s="103"/>
      <c r="E1342" s="103"/>
      <c r="F1342" s="103"/>
      <c r="G1342" s="103"/>
      <c r="H1342" s="103"/>
      <c r="I1342" s="103"/>
      <c r="J1342" s="103"/>
      <c r="K1342" s="103"/>
    </row>
    <row r="1343" spans="1:15">
      <c r="A1343" s="799" t="s">
        <v>1772</v>
      </c>
      <c r="B1343" s="800"/>
      <c r="C1343" s="800"/>
      <c r="D1343" s="104"/>
      <c r="E1343" s="103"/>
      <c r="F1343" s="103"/>
      <c r="G1343" s="799" t="s">
        <v>1773</v>
      </c>
      <c r="H1343" s="800"/>
      <c r="I1343" s="800"/>
      <c r="J1343" s="800"/>
      <c r="K1343" s="103"/>
    </row>
    <row r="1344" spans="1:15">
      <c r="A1344" s="801" t="s">
        <v>1774</v>
      </c>
      <c r="B1344" s="802"/>
      <c r="C1344" s="802"/>
      <c r="D1344" s="104"/>
      <c r="E1344" s="103"/>
      <c r="F1344" s="103"/>
      <c r="G1344" s="103"/>
      <c r="H1344" s="801" t="s">
        <v>1775</v>
      </c>
      <c r="I1344" s="802"/>
      <c r="J1344" s="802"/>
      <c r="K1344" s="103"/>
    </row>
    <row r="1345" spans="1:11">
      <c r="A1345" s="803" t="s">
        <v>220</v>
      </c>
      <c r="B1345" s="106" t="s">
        <v>221</v>
      </c>
      <c r="C1345" s="106" t="s">
        <v>222</v>
      </c>
      <c r="D1345" s="106" t="s">
        <v>119</v>
      </c>
      <c r="E1345" s="106" t="s">
        <v>223</v>
      </c>
      <c r="F1345" s="804"/>
      <c r="G1345" s="804"/>
      <c r="H1345" s="804"/>
      <c r="I1345" s="804"/>
      <c r="J1345" s="805" t="s">
        <v>1776</v>
      </c>
      <c r="K1345" s="806" t="s">
        <v>225</v>
      </c>
    </row>
    <row r="1346" spans="1:11" ht="25.5">
      <c r="A1346" s="804"/>
      <c r="B1346" s="804"/>
      <c r="C1346" s="804"/>
      <c r="D1346" s="804"/>
      <c r="E1346" s="807" t="s">
        <v>121</v>
      </c>
      <c r="F1346" s="808" t="s">
        <v>226</v>
      </c>
      <c r="G1346" s="808" t="s">
        <v>1</v>
      </c>
      <c r="H1346" s="808" t="s">
        <v>227</v>
      </c>
      <c r="I1346" s="807" t="s">
        <v>228</v>
      </c>
      <c r="J1346" s="804"/>
      <c r="K1346" s="804"/>
    </row>
    <row r="1347" spans="1:11">
      <c r="A1347" s="809" t="s">
        <v>1777</v>
      </c>
      <c r="B1347" s="810"/>
      <c r="C1347" s="811"/>
      <c r="D1347" s="811"/>
      <c r="E1347" s="807"/>
      <c r="F1347" s="808"/>
      <c r="G1347" s="808"/>
      <c r="H1347" s="807"/>
      <c r="I1347" s="807"/>
      <c r="J1347" s="811"/>
      <c r="K1347" s="811"/>
    </row>
    <row r="1348" spans="1:11">
      <c r="A1348" s="812">
        <v>1</v>
      </c>
      <c r="B1348" s="813" t="s">
        <v>334</v>
      </c>
      <c r="C1348" s="814" t="s">
        <v>1778</v>
      </c>
      <c r="D1348" s="815" t="s">
        <v>4</v>
      </c>
      <c r="E1348" s="816"/>
      <c r="F1348" s="812"/>
      <c r="G1348" s="812"/>
      <c r="H1348" s="816">
        <v>2.83</v>
      </c>
      <c r="I1348" s="812"/>
      <c r="J1348" s="817">
        <v>108393.303</v>
      </c>
      <c r="K1348" s="812">
        <f t="shared" ref="K1348:K1366" si="99">(E1348+F1348+G1348+H1348+I1348)*J1348</f>
        <v>306753.04749000003</v>
      </c>
    </row>
    <row r="1349" spans="1:11">
      <c r="A1349" s="812">
        <v>2</v>
      </c>
      <c r="B1349" s="813" t="s">
        <v>1779</v>
      </c>
      <c r="C1349" s="814" t="s">
        <v>1780</v>
      </c>
      <c r="D1349" s="815" t="s">
        <v>4</v>
      </c>
      <c r="E1349" s="816"/>
      <c r="F1349" s="812"/>
      <c r="G1349" s="812"/>
      <c r="H1349" s="816">
        <v>0.62572000000000005</v>
      </c>
      <c r="I1349" s="812"/>
      <c r="J1349" s="817">
        <v>67296</v>
      </c>
      <c r="K1349" s="812">
        <f t="shared" si="99"/>
        <v>42108.453120000006</v>
      </c>
    </row>
    <row r="1350" spans="1:11">
      <c r="A1350" s="812">
        <v>3</v>
      </c>
      <c r="B1350" s="813" t="s">
        <v>1781</v>
      </c>
      <c r="C1350" s="814" t="s">
        <v>1782</v>
      </c>
      <c r="D1350" s="815" t="s">
        <v>4</v>
      </c>
      <c r="E1350" s="816"/>
      <c r="F1350" s="812"/>
      <c r="G1350" s="812"/>
      <c r="H1350" s="816">
        <v>1.99247</v>
      </c>
      <c r="I1350" s="812"/>
      <c r="J1350" s="817">
        <v>67296</v>
      </c>
      <c r="K1350" s="812">
        <f t="shared" si="99"/>
        <v>134085.26112000001</v>
      </c>
    </row>
    <row r="1351" spans="1:11" ht="25.5">
      <c r="A1351" s="812">
        <v>4</v>
      </c>
      <c r="B1351" s="813" t="s">
        <v>1783</v>
      </c>
      <c r="C1351" s="814" t="s">
        <v>1784</v>
      </c>
      <c r="D1351" s="815" t="s">
        <v>208</v>
      </c>
      <c r="E1351" s="818"/>
      <c r="F1351" s="812"/>
      <c r="G1351" s="812"/>
      <c r="H1351" s="818">
        <v>240.92</v>
      </c>
      <c r="I1351" s="812"/>
      <c r="J1351" s="818">
        <v>30</v>
      </c>
      <c r="K1351" s="819">
        <f t="shared" si="99"/>
        <v>7227.5999999999995</v>
      </c>
    </row>
    <row r="1352" spans="1:11">
      <c r="A1352" s="812">
        <v>5</v>
      </c>
      <c r="B1352" s="813" t="s">
        <v>332</v>
      </c>
      <c r="C1352" s="814" t="s">
        <v>1785</v>
      </c>
      <c r="D1352" s="815" t="s">
        <v>4</v>
      </c>
      <c r="E1352" s="816"/>
      <c r="F1352" s="812"/>
      <c r="G1352" s="812"/>
      <c r="H1352" s="812">
        <v>1.5</v>
      </c>
      <c r="I1352" s="812"/>
      <c r="J1352" s="817">
        <v>38480</v>
      </c>
      <c r="K1352" s="812">
        <f t="shared" si="99"/>
        <v>57720</v>
      </c>
    </row>
    <row r="1353" spans="1:11" ht="25.5">
      <c r="A1353" s="812">
        <v>6</v>
      </c>
      <c r="B1353" s="820" t="s">
        <v>1786</v>
      </c>
      <c r="C1353" s="814" t="s">
        <v>1787</v>
      </c>
      <c r="D1353" s="821" t="s">
        <v>40</v>
      </c>
      <c r="E1353" s="816"/>
      <c r="F1353" s="812"/>
      <c r="G1353" s="812"/>
      <c r="H1353" s="820">
        <v>4</v>
      </c>
      <c r="I1353" s="812"/>
      <c r="J1353" s="822">
        <v>9363.75</v>
      </c>
      <c r="K1353" s="812">
        <f t="shared" si="99"/>
        <v>37455</v>
      </c>
    </row>
    <row r="1354" spans="1:11">
      <c r="A1354" s="812">
        <v>7</v>
      </c>
      <c r="B1354" s="813" t="s">
        <v>237</v>
      </c>
      <c r="C1354" s="814" t="s">
        <v>1788</v>
      </c>
      <c r="D1354" s="815" t="s">
        <v>40</v>
      </c>
      <c r="E1354" s="816"/>
      <c r="F1354" s="812"/>
      <c r="G1354" s="812"/>
      <c r="H1354" s="820">
        <v>368</v>
      </c>
      <c r="I1354" s="812"/>
      <c r="J1354" s="817">
        <v>280</v>
      </c>
      <c r="K1354" s="812">
        <f t="shared" si="99"/>
        <v>103040</v>
      </c>
    </row>
    <row r="1355" spans="1:11" ht="25.5">
      <c r="A1355" s="812">
        <v>8</v>
      </c>
      <c r="B1355" s="813" t="s">
        <v>1394</v>
      </c>
      <c r="C1355" s="823" t="s">
        <v>1789</v>
      </c>
      <c r="D1355" s="816" t="s">
        <v>40</v>
      </c>
      <c r="E1355" s="816"/>
      <c r="F1355" s="812"/>
      <c r="G1355" s="812"/>
      <c r="H1355" s="820">
        <v>46</v>
      </c>
      <c r="I1355" s="812"/>
      <c r="J1355" s="824">
        <v>2340</v>
      </c>
      <c r="K1355" s="812">
        <f t="shared" si="99"/>
        <v>107640</v>
      </c>
    </row>
    <row r="1356" spans="1:11" ht="25.5">
      <c r="A1356" s="812">
        <v>9</v>
      </c>
      <c r="B1356" s="813" t="s">
        <v>248</v>
      </c>
      <c r="C1356" s="823" t="s">
        <v>1790</v>
      </c>
      <c r="D1356" s="816" t="s">
        <v>40</v>
      </c>
      <c r="E1356" s="816"/>
      <c r="F1356" s="812"/>
      <c r="G1356" s="812"/>
      <c r="H1356" s="820">
        <v>6</v>
      </c>
      <c r="I1356" s="812"/>
      <c r="J1356" s="825">
        <v>3977.0277999999998</v>
      </c>
      <c r="K1356" s="812">
        <f t="shared" si="99"/>
        <v>23862.166799999999</v>
      </c>
    </row>
    <row r="1357" spans="1:11" ht="25.5">
      <c r="A1357" s="812">
        <v>10</v>
      </c>
      <c r="B1357" s="813" t="s">
        <v>1402</v>
      </c>
      <c r="C1357" s="823" t="s">
        <v>1791</v>
      </c>
      <c r="D1357" s="816" t="s">
        <v>40</v>
      </c>
      <c r="E1357" s="816"/>
      <c r="F1357" s="812"/>
      <c r="G1357" s="812"/>
      <c r="H1357" s="812">
        <v>19</v>
      </c>
      <c r="I1357" s="812"/>
      <c r="J1357" s="824">
        <v>1133</v>
      </c>
      <c r="K1357" s="812">
        <f t="shared" si="99"/>
        <v>21527</v>
      </c>
    </row>
    <row r="1358" spans="1:11">
      <c r="A1358" s="812">
        <v>11</v>
      </c>
      <c r="B1358" s="826" t="s">
        <v>396</v>
      </c>
      <c r="C1358" s="827" t="s">
        <v>1792</v>
      </c>
      <c r="D1358" s="828" t="s">
        <v>40</v>
      </c>
      <c r="E1358" s="829">
        <v>14</v>
      </c>
      <c r="F1358" s="830"/>
      <c r="G1358" s="830"/>
      <c r="H1358" s="830"/>
      <c r="I1358" s="829"/>
      <c r="J1358" s="831">
        <v>1500</v>
      </c>
      <c r="K1358" s="819">
        <f t="shared" si="99"/>
        <v>21000</v>
      </c>
    </row>
    <row r="1359" spans="1:11">
      <c r="A1359" s="812">
        <v>12</v>
      </c>
      <c r="B1359" s="826" t="s">
        <v>42</v>
      </c>
      <c r="C1359" s="827" t="s">
        <v>1793</v>
      </c>
      <c r="D1359" s="828" t="s">
        <v>40</v>
      </c>
      <c r="E1359" s="829">
        <v>9</v>
      </c>
      <c r="F1359" s="830"/>
      <c r="G1359" s="830"/>
      <c r="H1359" s="830"/>
      <c r="I1359" s="829"/>
      <c r="J1359" s="831">
        <v>500</v>
      </c>
      <c r="K1359" s="819">
        <f t="shared" si="99"/>
        <v>4500</v>
      </c>
    </row>
    <row r="1360" spans="1:11" ht="25.5">
      <c r="A1360" s="812">
        <v>13</v>
      </c>
      <c r="B1360" s="813" t="s">
        <v>1794</v>
      </c>
      <c r="C1360" s="814" t="s">
        <v>1795</v>
      </c>
      <c r="D1360" s="815" t="s">
        <v>40</v>
      </c>
      <c r="E1360" s="816">
        <v>1</v>
      </c>
      <c r="F1360" s="812"/>
      <c r="G1360" s="812"/>
      <c r="H1360" s="812"/>
      <c r="I1360" s="812"/>
      <c r="J1360" s="817">
        <v>100000</v>
      </c>
      <c r="K1360" s="812">
        <f t="shared" si="99"/>
        <v>100000</v>
      </c>
    </row>
    <row r="1361" spans="1:11" ht="25.5">
      <c r="A1361" s="812">
        <v>14</v>
      </c>
      <c r="B1361" s="813" t="s">
        <v>1796</v>
      </c>
      <c r="C1361" s="814" t="s">
        <v>1797</v>
      </c>
      <c r="D1361" s="815" t="s">
        <v>40</v>
      </c>
      <c r="E1361" s="816"/>
      <c r="F1361" s="812"/>
      <c r="G1361" s="812"/>
      <c r="H1361" s="812">
        <v>1</v>
      </c>
      <c r="I1361" s="812"/>
      <c r="J1361" s="817">
        <v>15000</v>
      </c>
      <c r="K1361" s="812">
        <f t="shared" si="99"/>
        <v>15000</v>
      </c>
    </row>
    <row r="1362" spans="1:11" ht="26.25">
      <c r="A1362" s="812">
        <v>15</v>
      </c>
      <c r="B1362" s="832" t="s">
        <v>394</v>
      </c>
      <c r="C1362" s="833" t="s">
        <v>1798</v>
      </c>
      <c r="D1362" s="815" t="s">
        <v>40</v>
      </c>
      <c r="E1362" s="818">
        <v>1</v>
      </c>
      <c r="F1362" s="812"/>
      <c r="G1362" s="812"/>
      <c r="H1362" s="812"/>
      <c r="I1362" s="812"/>
      <c r="J1362" s="817">
        <v>178180</v>
      </c>
      <c r="K1362" s="819">
        <f t="shared" si="99"/>
        <v>178180</v>
      </c>
    </row>
    <row r="1363" spans="1:11">
      <c r="A1363" s="812">
        <v>16</v>
      </c>
      <c r="B1363" s="813" t="s">
        <v>681</v>
      </c>
      <c r="C1363" s="814" t="s">
        <v>1799</v>
      </c>
      <c r="D1363" s="815" t="s">
        <v>40</v>
      </c>
      <c r="E1363" s="816">
        <v>1</v>
      </c>
      <c r="F1363" s="812"/>
      <c r="G1363" s="812"/>
      <c r="H1363" s="812"/>
      <c r="I1363" s="812"/>
      <c r="J1363" s="817">
        <v>56455</v>
      </c>
      <c r="K1363" s="812">
        <f t="shared" si="99"/>
        <v>56455</v>
      </c>
    </row>
    <row r="1364" spans="1:11">
      <c r="A1364" s="812">
        <v>17</v>
      </c>
      <c r="B1364" s="813" t="s">
        <v>1800</v>
      </c>
      <c r="C1364" s="814" t="s">
        <v>1801</v>
      </c>
      <c r="D1364" s="815" t="s">
        <v>40</v>
      </c>
      <c r="E1364" s="816">
        <v>1</v>
      </c>
      <c r="F1364" s="812"/>
      <c r="G1364" s="812"/>
      <c r="H1364" s="820"/>
      <c r="I1364" s="812"/>
      <c r="J1364" s="817">
        <v>25470</v>
      </c>
      <c r="K1364" s="812">
        <f t="shared" si="99"/>
        <v>25470</v>
      </c>
    </row>
    <row r="1365" spans="1:11" ht="25.5">
      <c r="A1365" s="812">
        <v>18</v>
      </c>
      <c r="B1365" s="813" t="s">
        <v>349</v>
      </c>
      <c r="C1365" s="814" t="s">
        <v>1802</v>
      </c>
      <c r="D1365" s="815" t="s">
        <v>40</v>
      </c>
      <c r="E1365" s="816">
        <v>6</v>
      </c>
      <c r="F1365" s="812"/>
      <c r="G1365" s="812"/>
      <c r="H1365" s="820"/>
      <c r="I1365" s="812"/>
      <c r="J1365" s="817">
        <v>19000</v>
      </c>
      <c r="K1365" s="812">
        <f t="shared" si="99"/>
        <v>114000</v>
      </c>
    </row>
    <row r="1366" spans="1:11" ht="26.25">
      <c r="A1366" s="812">
        <v>19</v>
      </c>
      <c r="B1366" s="813" t="s">
        <v>1244</v>
      </c>
      <c r="C1366" s="833" t="s">
        <v>1803</v>
      </c>
      <c r="D1366" s="815" t="s">
        <v>40</v>
      </c>
      <c r="E1366" s="818"/>
      <c r="F1366" s="812"/>
      <c r="G1366" s="812">
        <v>5</v>
      </c>
      <c r="H1366" s="812"/>
      <c r="I1366" s="812"/>
      <c r="J1366" s="831">
        <v>15000</v>
      </c>
      <c r="K1366" s="819">
        <f t="shared" si="99"/>
        <v>75000</v>
      </c>
    </row>
    <row r="1367" spans="1:11">
      <c r="A1367" s="834" t="s">
        <v>1804</v>
      </c>
      <c r="B1367" s="835"/>
      <c r="C1367" s="827"/>
      <c r="D1367" s="828"/>
      <c r="E1367" s="829"/>
      <c r="F1367" s="830"/>
      <c r="G1367" s="830"/>
      <c r="H1367" s="830"/>
      <c r="I1367" s="829"/>
      <c r="J1367" s="831"/>
      <c r="K1367" s="819"/>
    </row>
    <row r="1368" spans="1:11">
      <c r="A1368" s="812">
        <v>1</v>
      </c>
      <c r="B1368" s="813" t="s">
        <v>324</v>
      </c>
      <c r="C1368" s="836" t="s">
        <v>1805</v>
      </c>
      <c r="D1368" s="815" t="s">
        <v>46</v>
      </c>
      <c r="E1368" s="816">
        <v>160</v>
      </c>
      <c r="F1368" s="812"/>
      <c r="G1368" s="812"/>
      <c r="H1368" s="812"/>
      <c r="I1368" s="812"/>
      <c r="J1368" s="817">
        <v>118</v>
      </c>
      <c r="K1368" s="812">
        <f t="shared" ref="K1368:K1483" si="100">(E1368+F1368+G1368+H1368+I1368)*J1368</f>
        <v>18880</v>
      </c>
    </row>
    <row r="1369" spans="1:11">
      <c r="A1369" s="812">
        <v>2</v>
      </c>
      <c r="B1369" s="813" t="s">
        <v>532</v>
      </c>
      <c r="C1369" s="836" t="s">
        <v>1806</v>
      </c>
      <c r="D1369" s="821" t="s">
        <v>46</v>
      </c>
      <c r="E1369" s="816">
        <v>1410</v>
      </c>
      <c r="F1369" s="812"/>
      <c r="G1369" s="812"/>
      <c r="H1369" s="812"/>
      <c r="I1369" s="812"/>
      <c r="J1369" s="837">
        <v>15.3225</v>
      </c>
      <c r="K1369" s="812">
        <f t="shared" si="100"/>
        <v>21604.724999999999</v>
      </c>
    </row>
    <row r="1370" spans="1:11">
      <c r="A1370" s="812">
        <v>3</v>
      </c>
      <c r="B1370" s="820" t="s">
        <v>1807</v>
      </c>
      <c r="C1370" s="836" t="s">
        <v>1808</v>
      </c>
      <c r="D1370" s="821" t="s">
        <v>277</v>
      </c>
      <c r="E1370" s="816">
        <v>5</v>
      </c>
      <c r="F1370" s="812"/>
      <c r="G1370" s="812"/>
      <c r="H1370" s="838"/>
      <c r="I1370" s="812"/>
      <c r="J1370" s="822">
        <v>807.60500000000002</v>
      </c>
      <c r="K1370" s="812">
        <f t="shared" si="100"/>
        <v>4038.0250000000001</v>
      </c>
    </row>
    <row r="1371" spans="1:11">
      <c r="A1371" s="812">
        <v>4</v>
      </c>
      <c r="B1371" s="826" t="s">
        <v>1809</v>
      </c>
      <c r="C1371" s="836" t="s">
        <v>1810</v>
      </c>
      <c r="D1371" s="815" t="s">
        <v>46</v>
      </c>
      <c r="E1371" s="818">
        <v>234</v>
      </c>
      <c r="F1371" s="812"/>
      <c r="G1371" s="812"/>
      <c r="H1371" s="812"/>
      <c r="I1371" s="812"/>
      <c r="J1371" s="818">
        <v>40.86</v>
      </c>
      <c r="K1371" s="812">
        <f t="shared" si="100"/>
        <v>9561.24</v>
      </c>
    </row>
    <row r="1372" spans="1:11" ht="25.5">
      <c r="A1372" s="812">
        <v>5</v>
      </c>
      <c r="B1372" s="839" t="s">
        <v>360</v>
      </c>
      <c r="C1372" s="840" t="s">
        <v>1811</v>
      </c>
      <c r="D1372" s="841" t="s">
        <v>1812</v>
      </c>
      <c r="E1372" s="829">
        <v>0.43</v>
      </c>
      <c r="F1372" s="830"/>
      <c r="G1372" s="830"/>
      <c r="H1372" s="830"/>
      <c r="I1372" s="829"/>
      <c r="J1372" s="831">
        <v>239776</v>
      </c>
      <c r="K1372" s="819">
        <f>(E1372+F1372+G1372+H1372+I1372)*J1372</f>
        <v>103103.67999999999</v>
      </c>
    </row>
    <row r="1373" spans="1:11" ht="25.5">
      <c r="A1373" s="812">
        <v>6</v>
      </c>
      <c r="B1373" s="839" t="s">
        <v>1813</v>
      </c>
      <c r="C1373" s="840" t="s">
        <v>1814</v>
      </c>
      <c r="D1373" s="841" t="s">
        <v>1812</v>
      </c>
      <c r="E1373" s="829">
        <v>0.39</v>
      </c>
      <c r="F1373" s="830"/>
      <c r="G1373" s="830"/>
      <c r="H1373" s="830"/>
      <c r="I1373" s="829"/>
      <c r="J1373" s="831">
        <v>555201.80000000005</v>
      </c>
      <c r="K1373" s="819">
        <f t="shared" si="100"/>
        <v>216528.70200000002</v>
      </c>
    </row>
    <row r="1374" spans="1:11" ht="25.5">
      <c r="A1374" s="812">
        <v>7</v>
      </c>
      <c r="B1374" s="839" t="s">
        <v>1815</v>
      </c>
      <c r="C1374" s="840" t="s">
        <v>1816</v>
      </c>
      <c r="D1374" s="841" t="s">
        <v>1812</v>
      </c>
      <c r="E1374" s="829">
        <v>0.3</v>
      </c>
      <c r="F1374" s="830"/>
      <c r="G1374" s="830"/>
      <c r="H1374" s="830"/>
      <c r="I1374" s="829"/>
      <c r="J1374" s="831">
        <v>206298.22</v>
      </c>
      <c r="K1374" s="819">
        <f t="shared" si="100"/>
        <v>61889.466</v>
      </c>
    </row>
    <row r="1375" spans="1:11" ht="51">
      <c r="A1375" s="812">
        <v>8</v>
      </c>
      <c r="B1375" s="839" t="s">
        <v>1817</v>
      </c>
      <c r="C1375" s="840" t="s">
        <v>1818</v>
      </c>
      <c r="D1375" s="842" t="s">
        <v>40</v>
      </c>
      <c r="E1375" s="829">
        <v>1</v>
      </c>
      <c r="F1375" s="830"/>
      <c r="G1375" s="830"/>
      <c r="H1375" s="830"/>
      <c r="I1375" s="829"/>
      <c r="J1375" s="831">
        <v>69561</v>
      </c>
      <c r="K1375" s="819">
        <f t="shared" si="100"/>
        <v>69561</v>
      </c>
    </row>
    <row r="1376" spans="1:11" ht="25.5">
      <c r="A1376" s="812">
        <v>9</v>
      </c>
      <c r="B1376" s="839" t="s">
        <v>1819</v>
      </c>
      <c r="C1376" s="840" t="s">
        <v>1820</v>
      </c>
      <c r="D1376" s="842" t="s">
        <v>40</v>
      </c>
      <c r="E1376" s="829">
        <v>2</v>
      </c>
      <c r="F1376" s="830"/>
      <c r="G1376" s="830"/>
      <c r="H1376" s="830"/>
      <c r="I1376" s="829"/>
      <c r="J1376" s="831">
        <v>1115.0999999999999</v>
      </c>
      <c r="K1376" s="819">
        <f t="shared" si="100"/>
        <v>2230.1999999999998</v>
      </c>
    </row>
    <row r="1377" spans="1:11" ht="25.5">
      <c r="A1377" s="812">
        <v>10</v>
      </c>
      <c r="B1377" s="839" t="s">
        <v>1821</v>
      </c>
      <c r="C1377" s="840" t="s">
        <v>1822</v>
      </c>
      <c r="D1377" s="841" t="s">
        <v>208</v>
      </c>
      <c r="E1377" s="829">
        <v>42</v>
      </c>
      <c r="F1377" s="830"/>
      <c r="G1377" s="830"/>
      <c r="H1377" s="830"/>
      <c r="I1377" s="829"/>
      <c r="J1377" s="831">
        <v>354</v>
      </c>
      <c r="K1377" s="819">
        <f>(E1377+F1377+G1377+H1377+I1377)*J1377</f>
        <v>14868</v>
      </c>
    </row>
    <row r="1378" spans="1:11" ht="25.5">
      <c r="A1378" s="812">
        <v>11</v>
      </c>
      <c r="B1378" s="813" t="s">
        <v>1823</v>
      </c>
      <c r="C1378" s="814" t="s">
        <v>1824</v>
      </c>
      <c r="D1378" s="815" t="s">
        <v>494</v>
      </c>
      <c r="E1378" s="812">
        <v>67</v>
      </c>
      <c r="F1378" s="812"/>
      <c r="G1378" s="812"/>
      <c r="H1378" s="843"/>
      <c r="I1378" s="812"/>
      <c r="J1378" s="817">
        <v>260</v>
      </c>
      <c r="K1378" s="812">
        <f t="shared" si="100"/>
        <v>17420</v>
      </c>
    </row>
    <row r="1379" spans="1:11" ht="30">
      <c r="A1379" s="812">
        <v>12</v>
      </c>
      <c r="B1379" s="826" t="s">
        <v>1825</v>
      </c>
      <c r="C1379" s="844" t="s">
        <v>1826</v>
      </c>
      <c r="D1379" s="815" t="s">
        <v>40</v>
      </c>
      <c r="E1379" s="818"/>
      <c r="F1379" s="812"/>
      <c r="G1379" s="812"/>
      <c r="H1379" s="820">
        <v>1</v>
      </c>
      <c r="I1379" s="812"/>
      <c r="J1379" s="818">
        <v>350</v>
      </c>
      <c r="K1379" s="812">
        <f>(E1379+F1379+G1379+H1379+I1379)*J1379</f>
        <v>350</v>
      </c>
    </row>
    <row r="1380" spans="1:11">
      <c r="A1380" s="812">
        <v>13</v>
      </c>
      <c r="B1380" s="839" t="s">
        <v>1827</v>
      </c>
      <c r="C1380" s="840" t="s">
        <v>1828</v>
      </c>
      <c r="D1380" s="842" t="s">
        <v>40</v>
      </c>
      <c r="E1380" s="829">
        <v>4</v>
      </c>
      <c r="F1380" s="830"/>
      <c r="G1380" s="830"/>
      <c r="H1380" s="830"/>
      <c r="I1380" s="829"/>
      <c r="J1380" s="831">
        <v>1410.1</v>
      </c>
      <c r="K1380" s="819">
        <f>(E1380+F1380+G1380+H1380+I1380)*J1380</f>
        <v>5640.4</v>
      </c>
    </row>
    <row r="1381" spans="1:11">
      <c r="A1381" s="812">
        <v>14</v>
      </c>
      <c r="B1381" s="813" t="s">
        <v>1317</v>
      </c>
      <c r="C1381" s="814" t="s">
        <v>1829</v>
      </c>
      <c r="D1381" s="815" t="s">
        <v>494</v>
      </c>
      <c r="E1381" s="816">
        <v>7.8</v>
      </c>
      <c r="F1381" s="812"/>
      <c r="G1381" s="812"/>
      <c r="H1381" s="812"/>
      <c r="I1381" s="812"/>
      <c r="J1381" s="824">
        <v>448.32499999999999</v>
      </c>
      <c r="K1381" s="812">
        <f t="shared" si="100"/>
        <v>3496.9349999999999</v>
      </c>
    </row>
    <row r="1382" spans="1:11">
      <c r="A1382" s="812">
        <v>15</v>
      </c>
      <c r="B1382" s="839" t="s">
        <v>1319</v>
      </c>
      <c r="C1382" s="840" t="s">
        <v>1830</v>
      </c>
      <c r="D1382" s="842" t="s">
        <v>40</v>
      </c>
      <c r="E1382" s="829">
        <v>4</v>
      </c>
      <c r="F1382" s="830"/>
      <c r="G1382" s="830"/>
      <c r="H1382" s="830"/>
      <c r="I1382" s="829"/>
      <c r="J1382" s="831">
        <v>764.64</v>
      </c>
      <c r="K1382" s="819">
        <f>(E1382+F1382+G1382+H1382+I1382)*J1382</f>
        <v>3058.56</v>
      </c>
    </row>
    <row r="1383" spans="1:11">
      <c r="A1383" s="812">
        <v>16</v>
      </c>
      <c r="B1383" s="832" t="s">
        <v>1831</v>
      </c>
      <c r="C1383" s="833" t="s">
        <v>1832</v>
      </c>
      <c r="D1383" s="815" t="s">
        <v>7</v>
      </c>
      <c r="E1383" s="818">
        <v>0.4</v>
      </c>
      <c r="F1383" s="812"/>
      <c r="G1383" s="812"/>
      <c r="H1383" s="812"/>
      <c r="I1383" s="812"/>
      <c r="J1383" s="817">
        <v>590</v>
      </c>
      <c r="K1383" s="812">
        <f>(E1383+F1383+G1383+H1383+I1383)*J1383</f>
        <v>236</v>
      </c>
    </row>
    <row r="1384" spans="1:11" ht="25.5">
      <c r="A1384" s="812">
        <v>17</v>
      </c>
      <c r="B1384" s="813" t="s">
        <v>495</v>
      </c>
      <c r="C1384" s="836" t="s">
        <v>1833</v>
      </c>
      <c r="D1384" s="815" t="s">
        <v>40</v>
      </c>
      <c r="E1384" s="816">
        <v>32</v>
      </c>
      <c r="F1384" s="812"/>
      <c r="G1384" s="812"/>
      <c r="H1384" s="812"/>
      <c r="I1384" s="812"/>
      <c r="J1384" s="824">
        <v>464</v>
      </c>
      <c r="K1384" s="812">
        <f t="shared" si="100"/>
        <v>14848</v>
      </c>
    </row>
    <row r="1385" spans="1:11">
      <c r="A1385" s="812">
        <v>18</v>
      </c>
      <c r="B1385" s="813" t="s">
        <v>384</v>
      </c>
      <c r="C1385" s="836" t="s">
        <v>1834</v>
      </c>
      <c r="D1385" s="815" t="s">
        <v>40</v>
      </c>
      <c r="E1385" s="816">
        <v>6</v>
      </c>
      <c r="F1385" s="812"/>
      <c r="G1385" s="812"/>
      <c r="H1385" s="820"/>
      <c r="I1385" s="812"/>
      <c r="J1385" s="817">
        <v>1049.875</v>
      </c>
      <c r="K1385" s="812">
        <f t="shared" si="100"/>
        <v>6299.25</v>
      </c>
    </row>
    <row r="1386" spans="1:11" ht="25.5">
      <c r="A1386" s="812">
        <v>19</v>
      </c>
      <c r="B1386" s="839" t="s">
        <v>453</v>
      </c>
      <c r="C1386" s="840" t="s">
        <v>974</v>
      </c>
      <c r="D1386" s="841" t="s">
        <v>40</v>
      </c>
      <c r="E1386" s="829">
        <v>10</v>
      </c>
      <c r="F1386" s="830"/>
      <c r="G1386" s="830"/>
      <c r="H1386" s="830"/>
      <c r="I1386" s="829"/>
      <c r="J1386" s="831">
        <v>1660.26</v>
      </c>
      <c r="K1386" s="819">
        <f>(E1386+F1386+G1386+H1386+I1386)*J1386</f>
        <v>16602.599999999999</v>
      </c>
    </row>
    <row r="1387" spans="1:11" ht="25.5">
      <c r="A1387" s="812">
        <v>20</v>
      </c>
      <c r="B1387" s="813" t="s">
        <v>560</v>
      </c>
      <c r="C1387" s="836" t="s">
        <v>1835</v>
      </c>
      <c r="D1387" s="815" t="s">
        <v>40</v>
      </c>
      <c r="E1387" s="816">
        <v>7</v>
      </c>
      <c r="F1387" s="812"/>
      <c r="G1387" s="812"/>
      <c r="H1387" s="820"/>
      <c r="I1387" s="812"/>
      <c r="J1387" s="845">
        <v>3229.0749999999998</v>
      </c>
      <c r="K1387" s="812">
        <f t="shared" si="100"/>
        <v>22603.524999999998</v>
      </c>
    </row>
    <row r="1388" spans="1:11" ht="25.5">
      <c r="A1388" s="812">
        <v>21</v>
      </c>
      <c r="B1388" s="813" t="s">
        <v>271</v>
      </c>
      <c r="C1388" s="836" t="s">
        <v>1836</v>
      </c>
      <c r="D1388" s="815" t="s">
        <v>40</v>
      </c>
      <c r="E1388" s="816">
        <v>9</v>
      </c>
      <c r="F1388" s="812"/>
      <c r="G1388" s="812"/>
      <c r="H1388" s="820"/>
      <c r="I1388" s="812"/>
      <c r="J1388" s="845">
        <v>2252.9749999999999</v>
      </c>
      <c r="K1388" s="812">
        <f t="shared" si="100"/>
        <v>20276.774999999998</v>
      </c>
    </row>
    <row r="1389" spans="1:11">
      <c r="A1389" s="812">
        <v>22</v>
      </c>
      <c r="B1389" s="813" t="s">
        <v>1837</v>
      </c>
      <c r="C1389" s="836" t="s">
        <v>1838</v>
      </c>
      <c r="D1389" s="842" t="s">
        <v>40</v>
      </c>
      <c r="E1389" s="816"/>
      <c r="F1389" s="812"/>
      <c r="G1389" s="812"/>
      <c r="H1389" s="820">
        <v>9</v>
      </c>
      <c r="I1389" s="812"/>
      <c r="J1389" s="846">
        <v>186.62334000000001</v>
      </c>
      <c r="K1389" s="812">
        <f t="shared" si="100"/>
        <v>1679.6100600000002</v>
      </c>
    </row>
    <row r="1390" spans="1:11" ht="38.25">
      <c r="A1390" s="812">
        <v>23</v>
      </c>
      <c r="B1390" s="847" t="s">
        <v>1839</v>
      </c>
      <c r="C1390" s="836" t="s">
        <v>1840</v>
      </c>
      <c r="D1390" s="815" t="s">
        <v>40</v>
      </c>
      <c r="E1390" s="818">
        <v>2</v>
      </c>
      <c r="F1390" s="812"/>
      <c r="G1390" s="812"/>
      <c r="H1390" s="820"/>
      <c r="I1390" s="812"/>
      <c r="J1390" s="845">
        <v>1360.865</v>
      </c>
      <c r="K1390" s="812">
        <f>(E1390+F1390+G1390+H1390+I1390)*J1390</f>
        <v>2721.73</v>
      </c>
    </row>
    <row r="1391" spans="1:11" ht="51">
      <c r="A1391" s="812">
        <v>24</v>
      </c>
      <c r="B1391" s="848"/>
      <c r="C1391" s="836" t="s">
        <v>1841</v>
      </c>
      <c r="D1391" s="815" t="s">
        <v>40</v>
      </c>
      <c r="E1391" s="818">
        <v>3</v>
      </c>
      <c r="F1391" s="812"/>
      <c r="G1391" s="812"/>
      <c r="H1391" s="812"/>
      <c r="I1391" s="812"/>
      <c r="J1391" s="817">
        <v>1371.71</v>
      </c>
      <c r="K1391" s="812">
        <f>(E1391+F1391+G1391+H1391+I1391)*J1391</f>
        <v>4115.13</v>
      </c>
    </row>
    <row r="1392" spans="1:11" ht="25.5">
      <c r="A1392" s="812">
        <v>25</v>
      </c>
      <c r="B1392" s="813" t="s">
        <v>246</v>
      </c>
      <c r="C1392" s="849" t="s">
        <v>1842</v>
      </c>
      <c r="D1392" s="815" t="s">
        <v>40</v>
      </c>
      <c r="E1392" s="816"/>
      <c r="F1392" s="812"/>
      <c r="G1392" s="812"/>
      <c r="H1392" s="812">
        <v>15</v>
      </c>
      <c r="I1392" s="812"/>
      <c r="J1392" s="850">
        <v>1223.53</v>
      </c>
      <c r="K1392" s="812">
        <f t="shared" si="100"/>
        <v>18352.95</v>
      </c>
    </row>
    <row r="1393" spans="1:11" ht="25.5">
      <c r="A1393" s="812">
        <v>26</v>
      </c>
      <c r="B1393" s="813" t="s">
        <v>262</v>
      </c>
      <c r="C1393" s="836" t="s">
        <v>1843</v>
      </c>
      <c r="D1393" s="815" t="s">
        <v>40</v>
      </c>
      <c r="E1393" s="816"/>
      <c r="F1393" s="812"/>
      <c r="G1393" s="812"/>
      <c r="H1393" s="812">
        <v>10</v>
      </c>
      <c r="I1393" s="812"/>
      <c r="J1393" s="824">
        <v>508.48</v>
      </c>
      <c r="K1393" s="812">
        <f t="shared" si="100"/>
        <v>5084.8</v>
      </c>
    </row>
    <row r="1394" spans="1:11" ht="25.5">
      <c r="A1394" s="812">
        <v>27</v>
      </c>
      <c r="B1394" s="813" t="s">
        <v>508</v>
      </c>
      <c r="C1394" s="836" t="s">
        <v>1844</v>
      </c>
      <c r="D1394" s="815" t="s">
        <v>40</v>
      </c>
      <c r="E1394" s="816"/>
      <c r="F1394" s="812"/>
      <c r="G1394" s="812"/>
      <c r="H1394" s="820">
        <v>10</v>
      </c>
      <c r="I1394" s="812"/>
      <c r="J1394" s="824">
        <v>561.82500000000005</v>
      </c>
      <c r="K1394" s="812">
        <f t="shared" si="100"/>
        <v>5618.25</v>
      </c>
    </row>
    <row r="1395" spans="1:11" ht="45">
      <c r="A1395" s="812">
        <v>28</v>
      </c>
      <c r="B1395" s="847" t="s">
        <v>1845</v>
      </c>
      <c r="C1395" s="851" t="s">
        <v>1846</v>
      </c>
      <c r="D1395" s="821" t="s">
        <v>40</v>
      </c>
      <c r="E1395" s="818">
        <v>3</v>
      </c>
      <c r="F1395" s="812"/>
      <c r="G1395" s="812"/>
      <c r="H1395" s="820"/>
      <c r="I1395" s="812"/>
      <c r="J1395" s="818">
        <v>652.625</v>
      </c>
      <c r="K1395" s="812">
        <f>(E1395+F1395+G1395+H1395+I1395)*J1395</f>
        <v>1957.875</v>
      </c>
    </row>
    <row r="1396" spans="1:11" ht="45">
      <c r="A1396" s="812">
        <v>29</v>
      </c>
      <c r="B1396" s="852"/>
      <c r="C1396" s="851" t="s">
        <v>1847</v>
      </c>
      <c r="D1396" s="815" t="s">
        <v>40</v>
      </c>
      <c r="E1396" s="818">
        <v>12</v>
      </c>
      <c r="F1396" s="812"/>
      <c r="G1396" s="812"/>
      <c r="H1396" s="820"/>
      <c r="I1396" s="812"/>
      <c r="J1396" s="818">
        <v>510.75</v>
      </c>
      <c r="K1396" s="812">
        <f>(E1396+F1396+G1396+H1396+I1396)*J1396</f>
        <v>6129</v>
      </c>
    </row>
    <row r="1397" spans="1:11" ht="25.5">
      <c r="A1397" s="812">
        <v>30</v>
      </c>
      <c r="B1397" s="813" t="s">
        <v>351</v>
      </c>
      <c r="C1397" s="849" t="s">
        <v>1848</v>
      </c>
      <c r="D1397" s="816" t="s">
        <v>40</v>
      </c>
      <c r="E1397" s="816">
        <v>2</v>
      </c>
      <c r="F1397" s="812"/>
      <c r="G1397" s="812"/>
      <c r="H1397" s="812"/>
      <c r="I1397" s="812"/>
      <c r="J1397" s="824">
        <v>11293.25</v>
      </c>
      <c r="K1397" s="812">
        <f t="shared" si="100"/>
        <v>22586.5</v>
      </c>
    </row>
    <row r="1398" spans="1:11" ht="25.5">
      <c r="A1398" s="812">
        <v>31</v>
      </c>
      <c r="B1398" s="813" t="s">
        <v>1849</v>
      </c>
      <c r="C1398" s="836" t="s">
        <v>1850</v>
      </c>
      <c r="D1398" s="815" t="s">
        <v>40</v>
      </c>
      <c r="E1398" s="816">
        <v>2</v>
      </c>
      <c r="F1398" s="812"/>
      <c r="G1398" s="812"/>
      <c r="H1398" s="812"/>
      <c r="I1398" s="812"/>
      <c r="J1398" s="817">
        <v>9023.25</v>
      </c>
      <c r="K1398" s="812">
        <f t="shared" si="100"/>
        <v>18046.5</v>
      </c>
    </row>
    <row r="1399" spans="1:11" ht="25.5">
      <c r="A1399" s="812">
        <v>32</v>
      </c>
      <c r="B1399" s="813" t="s">
        <v>1851</v>
      </c>
      <c r="C1399" s="836" t="s">
        <v>1852</v>
      </c>
      <c r="D1399" s="815" t="s">
        <v>40</v>
      </c>
      <c r="E1399" s="816">
        <v>1</v>
      </c>
      <c r="F1399" s="812"/>
      <c r="G1399" s="812"/>
      <c r="H1399" s="812"/>
      <c r="I1399" s="812"/>
      <c r="J1399" s="817">
        <v>28329.599999999999</v>
      </c>
      <c r="K1399" s="812">
        <f t="shared" si="100"/>
        <v>28329.599999999999</v>
      </c>
    </row>
    <row r="1400" spans="1:11" ht="38.25">
      <c r="A1400" s="812">
        <v>33</v>
      </c>
      <c r="B1400" s="813" t="s">
        <v>1853</v>
      </c>
      <c r="C1400" s="836" t="s">
        <v>1854</v>
      </c>
      <c r="D1400" s="815" t="s">
        <v>40</v>
      </c>
      <c r="E1400" s="816">
        <v>2</v>
      </c>
      <c r="F1400" s="812"/>
      <c r="G1400" s="812"/>
      <c r="H1400" s="812"/>
      <c r="I1400" s="812"/>
      <c r="J1400" s="817">
        <v>27217.3</v>
      </c>
      <c r="K1400" s="812">
        <f>(E1400+F1400+G1400+H1400+I1400)*J1400</f>
        <v>54434.6</v>
      </c>
    </row>
    <row r="1401" spans="1:11" ht="25.5">
      <c r="A1401" s="812">
        <v>34</v>
      </c>
      <c r="B1401" s="813" t="s">
        <v>1427</v>
      </c>
      <c r="C1401" s="836" t="s">
        <v>1855</v>
      </c>
      <c r="D1401" s="815" t="s">
        <v>40</v>
      </c>
      <c r="E1401" s="816">
        <v>5</v>
      </c>
      <c r="F1401" s="812"/>
      <c r="G1401" s="812"/>
      <c r="H1401" s="812"/>
      <c r="I1401" s="812"/>
      <c r="J1401" s="853">
        <v>8266.9883000000009</v>
      </c>
      <c r="K1401" s="812">
        <f t="shared" si="100"/>
        <v>41334.941500000001</v>
      </c>
    </row>
    <row r="1402" spans="1:11" ht="25.5">
      <c r="A1402" s="812">
        <v>35</v>
      </c>
      <c r="B1402" s="813" t="s">
        <v>562</v>
      </c>
      <c r="C1402" s="836" t="s">
        <v>1856</v>
      </c>
      <c r="D1402" s="815" t="s">
        <v>40</v>
      </c>
      <c r="E1402" s="816">
        <v>4</v>
      </c>
      <c r="F1402" s="812"/>
      <c r="G1402" s="812"/>
      <c r="H1402" s="820"/>
      <c r="I1402" s="812"/>
      <c r="J1402" s="817">
        <v>7922.3</v>
      </c>
      <c r="K1402" s="812">
        <f t="shared" si="100"/>
        <v>31689.200000000001</v>
      </c>
    </row>
    <row r="1403" spans="1:11" ht="25.5">
      <c r="A1403" s="812">
        <v>36</v>
      </c>
      <c r="B1403" s="813" t="s">
        <v>1857</v>
      </c>
      <c r="C1403" s="836" t="s">
        <v>1858</v>
      </c>
      <c r="D1403" s="815" t="s">
        <v>40</v>
      </c>
      <c r="E1403" s="816">
        <v>20</v>
      </c>
      <c r="F1403" s="812"/>
      <c r="G1403" s="812"/>
      <c r="H1403" s="820"/>
      <c r="I1403" s="812"/>
      <c r="J1403" s="845">
        <v>3489.2150000000001</v>
      </c>
      <c r="K1403" s="812">
        <f t="shared" si="100"/>
        <v>69784.3</v>
      </c>
    </row>
    <row r="1404" spans="1:11" ht="25.5">
      <c r="A1404" s="812">
        <v>37</v>
      </c>
      <c r="B1404" s="813" t="s">
        <v>570</v>
      </c>
      <c r="C1404" s="836" t="s">
        <v>1859</v>
      </c>
      <c r="D1404" s="842" t="s">
        <v>40</v>
      </c>
      <c r="E1404" s="816">
        <v>4</v>
      </c>
      <c r="F1404" s="812"/>
      <c r="G1404" s="812"/>
      <c r="H1404" s="812"/>
      <c r="I1404" s="812"/>
      <c r="J1404" s="854">
        <v>5211.92</v>
      </c>
      <c r="K1404" s="812">
        <f t="shared" si="100"/>
        <v>20847.68</v>
      </c>
    </row>
    <row r="1405" spans="1:11" ht="25.5">
      <c r="A1405" s="812">
        <v>38</v>
      </c>
      <c r="B1405" s="813" t="s">
        <v>1860</v>
      </c>
      <c r="C1405" s="836" t="s">
        <v>1861</v>
      </c>
      <c r="D1405" s="821" t="s">
        <v>40</v>
      </c>
      <c r="E1405" s="816">
        <v>2</v>
      </c>
      <c r="F1405" s="812"/>
      <c r="G1405" s="812"/>
      <c r="H1405" s="812"/>
      <c r="I1405" s="812"/>
      <c r="J1405" s="822">
        <v>13614.325000000001</v>
      </c>
      <c r="K1405" s="812">
        <f t="shared" si="100"/>
        <v>27228.65</v>
      </c>
    </row>
    <row r="1406" spans="1:11" ht="25.5">
      <c r="A1406" s="812">
        <v>39</v>
      </c>
      <c r="B1406" s="813" t="s">
        <v>1862</v>
      </c>
      <c r="C1406" s="836" t="s">
        <v>1863</v>
      </c>
      <c r="D1406" s="815" t="s">
        <v>40</v>
      </c>
      <c r="E1406" s="818">
        <v>5</v>
      </c>
      <c r="F1406" s="812"/>
      <c r="G1406" s="812"/>
      <c r="H1406" s="812"/>
      <c r="I1406" s="812"/>
      <c r="J1406" s="817">
        <v>2831.83</v>
      </c>
      <c r="K1406" s="812">
        <f>(E1406+F1406+G1406+H1406+I1406)*J1406</f>
        <v>14159.15</v>
      </c>
    </row>
    <row r="1407" spans="1:11">
      <c r="A1407" s="812">
        <v>40</v>
      </c>
      <c r="B1407" s="813" t="s">
        <v>405</v>
      </c>
      <c r="C1407" s="836" t="s">
        <v>1437</v>
      </c>
      <c r="D1407" s="815" t="s">
        <v>494</v>
      </c>
      <c r="E1407" s="816">
        <v>17</v>
      </c>
      <c r="F1407" s="812"/>
      <c r="G1407" s="812"/>
      <c r="H1407" s="812"/>
      <c r="I1407" s="812"/>
      <c r="J1407" s="817">
        <v>3852.7</v>
      </c>
      <c r="K1407" s="812">
        <f t="shared" si="100"/>
        <v>65495.899999999994</v>
      </c>
    </row>
    <row r="1408" spans="1:11" ht="25.5">
      <c r="A1408" s="812">
        <v>41</v>
      </c>
      <c r="B1408" s="813" t="s">
        <v>1864</v>
      </c>
      <c r="C1408" s="836" t="s">
        <v>1865</v>
      </c>
      <c r="D1408" s="815" t="s">
        <v>40</v>
      </c>
      <c r="E1408" s="816">
        <v>5</v>
      </c>
      <c r="F1408" s="812"/>
      <c r="G1408" s="812"/>
      <c r="H1408" s="812"/>
      <c r="I1408" s="812"/>
      <c r="J1408" s="817">
        <v>3393.65</v>
      </c>
      <c r="K1408" s="812">
        <f t="shared" si="100"/>
        <v>16968.25</v>
      </c>
    </row>
    <row r="1409" spans="1:11">
      <c r="A1409" s="812">
        <v>42</v>
      </c>
      <c r="B1409" s="839" t="s">
        <v>568</v>
      </c>
      <c r="C1409" s="840" t="s">
        <v>1866</v>
      </c>
      <c r="D1409" s="841" t="s">
        <v>40</v>
      </c>
      <c r="E1409" s="829">
        <v>5</v>
      </c>
      <c r="F1409" s="830"/>
      <c r="G1409" s="830"/>
      <c r="H1409" s="830"/>
      <c r="I1409" s="829"/>
      <c r="J1409" s="831">
        <v>7543.74</v>
      </c>
      <c r="K1409" s="819">
        <f>(E1409+F1409+G1409+H1409+I1409)*J1409</f>
        <v>37718.699999999997</v>
      </c>
    </row>
    <row r="1410" spans="1:11" ht="45">
      <c r="A1410" s="812">
        <v>43</v>
      </c>
      <c r="B1410" s="813" t="s">
        <v>1867</v>
      </c>
      <c r="C1410" s="851" t="s">
        <v>1868</v>
      </c>
      <c r="D1410" s="815" t="s">
        <v>40</v>
      </c>
      <c r="E1410" s="818">
        <v>5</v>
      </c>
      <c r="F1410" s="812"/>
      <c r="G1410" s="812"/>
      <c r="H1410" s="820"/>
      <c r="I1410" s="812"/>
      <c r="J1410" s="818">
        <v>2831.8249999999998</v>
      </c>
      <c r="K1410" s="812">
        <f>(E1410+F1410+G1410+H1410+I1410)*J1410</f>
        <v>14159.125</v>
      </c>
    </row>
    <row r="1411" spans="1:11" ht="38.25">
      <c r="A1411" s="812">
        <v>44</v>
      </c>
      <c r="B1411" s="813" t="s">
        <v>433</v>
      </c>
      <c r="C1411" s="836" t="s">
        <v>1869</v>
      </c>
      <c r="D1411" s="815" t="s">
        <v>40</v>
      </c>
      <c r="E1411" s="818">
        <v>4</v>
      </c>
      <c r="F1411" s="812"/>
      <c r="G1411" s="812"/>
      <c r="H1411" s="812"/>
      <c r="I1411" s="812"/>
      <c r="J1411" s="818">
        <v>1401</v>
      </c>
      <c r="K1411" s="812">
        <f>(E1411+F1411+G1411+H1411+I1411)*J1411</f>
        <v>5604</v>
      </c>
    </row>
    <row r="1412" spans="1:11" ht="38.25">
      <c r="A1412" s="812">
        <v>45</v>
      </c>
      <c r="B1412" s="855" t="s">
        <v>1870</v>
      </c>
      <c r="C1412" s="836" t="s">
        <v>1871</v>
      </c>
      <c r="D1412" s="815" t="s">
        <v>40</v>
      </c>
      <c r="E1412" s="818">
        <v>2</v>
      </c>
      <c r="F1412" s="812"/>
      <c r="G1412" s="812"/>
      <c r="H1412" s="812"/>
      <c r="I1412" s="812"/>
      <c r="J1412" s="817">
        <v>4301.6499999999996</v>
      </c>
      <c r="K1412" s="812">
        <f>(E1412+F1412+G1412+H1412+I1412)*J1412</f>
        <v>8603.2999999999993</v>
      </c>
    </row>
    <row r="1413" spans="1:11" ht="25.5">
      <c r="A1413" s="812">
        <v>46</v>
      </c>
      <c r="B1413" s="856"/>
      <c r="C1413" s="836" t="s">
        <v>1872</v>
      </c>
      <c r="D1413" s="815" t="s">
        <v>40</v>
      </c>
      <c r="E1413" s="818">
        <v>5</v>
      </c>
      <c r="F1413" s="812"/>
      <c r="G1413" s="812"/>
      <c r="H1413" s="812"/>
      <c r="I1413" s="812"/>
      <c r="J1413" s="817">
        <v>3382.3</v>
      </c>
      <c r="K1413" s="812">
        <f>(E1413+F1413+G1413+H1413+I1413)*J1413</f>
        <v>16911.5</v>
      </c>
    </row>
    <row r="1414" spans="1:11">
      <c r="A1414" s="812">
        <v>47</v>
      </c>
      <c r="B1414" s="813" t="s">
        <v>396</v>
      </c>
      <c r="C1414" s="836" t="s">
        <v>1873</v>
      </c>
      <c r="D1414" s="815" t="s">
        <v>40</v>
      </c>
      <c r="E1414" s="816">
        <v>1</v>
      </c>
      <c r="F1414" s="812"/>
      <c r="G1414" s="812"/>
      <c r="H1414" s="812"/>
      <c r="I1414" s="812"/>
      <c r="J1414" s="817">
        <v>83178.2</v>
      </c>
      <c r="K1414" s="812">
        <f t="shared" si="100"/>
        <v>83178.2</v>
      </c>
    </row>
    <row r="1415" spans="1:11">
      <c r="A1415" s="812">
        <v>48</v>
      </c>
      <c r="B1415" s="813" t="s">
        <v>42</v>
      </c>
      <c r="C1415" s="836" t="s">
        <v>1874</v>
      </c>
      <c r="D1415" s="842" t="s">
        <v>40</v>
      </c>
      <c r="E1415" s="816">
        <v>1</v>
      </c>
      <c r="F1415" s="812"/>
      <c r="G1415" s="812"/>
      <c r="H1415" s="812"/>
      <c r="I1415" s="812"/>
      <c r="J1415" s="857">
        <v>16720.8</v>
      </c>
      <c r="K1415" s="812">
        <f t="shared" si="100"/>
        <v>16720.8</v>
      </c>
    </row>
    <row r="1416" spans="1:11">
      <c r="A1416" s="812">
        <v>49</v>
      </c>
      <c r="B1416" s="832" t="s">
        <v>1458</v>
      </c>
      <c r="C1416" s="858" t="s">
        <v>1875</v>
      </c>
      <c r="D1416" s="815" t="s">
        <v>40</v>
      </c>
      <c r="E1416" s="818">
        <v>3</v>
      </c>
      <c r="F1416" s="812"/>
      <c r="G1416" s="812"/>
      <c r="H1416" s="812"/>
      <c r="I1416" s="812"/>
      <c r="J1416" s="817">
        <v>6985.6</v>
      </c>
      <c r="K1416" s="812">
        <f>(E1416+F1416+G1416+H1416+I1416)*J1416</f>
        <v>20956.800000000003</v>
      </c>
    </row>
    <row r="1417" spans="1:11">
      <c r="A1417" s="812">
        <v>50</v>
      </c>
      <c r="B1417" s="832" t="s">
        <v>1460</v>
      </c>
      <c r="C1417" s="858" t="s">
        <v>1876</v>
      </c>
      <c r="D1417" s="815" t="s">
        <v>40</v>
      </c>
      <c r="E1417" s="818">
        <v>3</v>
      </c>
      <c r="F1417" s="812"/>
      <c r="G1417" s="812"/>
      <c r="H1417" s="812"/>
      <c r="I1417" s="812"/>
      <c r="J1417" s="817">
        <v>6985.6</v>
      </c>
      <c r="K1417" s="812">
        <f>(E1417+F1417+G1417+H1417+I1417)*J1417</f>
        <v>20956.800000000003</v>
      </c>
    </row>
    <row r="1418" spans="1:11">
      <c r="A1418" s="812">
        <v>51</v>
      </c>
      <c r="B1418" s="813" t="s">
        <v>1877</v>
      </c>
      <c r="C1418" s="849" t="s">
        <v>1878</v>
      </c>
      <c r="D1418" s="815" t="s">
        <v>40</v>
      </c>
      <c r="E1418" s="816">
        <v>1</v>
      </c>
      <c r="F1418" s="812"/>
      <c r="G1418" s="812"/>
      <c r="H1418" s="812"/>
      <c r="I1418" s="812"/>
      <c r="J1418" s="824">
        <v>2258.65</v>
      </c>
      <c r="K1418" s="812">
        <f t="shared" si="100"/>
        <v>2258.65</v>
      </c>
    </row>
    <row r="1419" spans="1:11" ht="25.5">
      <c r="A1419" s="812">
        <v>52</v>
      </c>
      <c r="B1419" s="820" t="s">
        <v>1879</v>
      </c>
      <c r="C1419" s="836" t="s">
        <v>1880</v>
      </c>
      <c r="D1419" s="821" t="s">
        <v>40</v>
      </c>
      <c r="E1419" s="816">
        <v>3</v>
      </c>
      <c r="F1419" s="812"/>
      <c r="G1419" s="812"/>
      <c r="H1419" s="812"/>
      <c r="I1419" s="812"/>
      <c r="J1419" s="822">
        <v>5141.05</v>
      </c>
      <c r="K1419" s="812">
        <f>(E1419+F1419+G1419+H1419+I1419)*J1419</f>
        <v>15423.150000000001</v>
      </c>
    </row>
    <row r="1420" spans="1:11" ht="25.5">
      <c r="A1420" s="812">
        <v>53</v>
      </c>
      <c r="B1420" s="820" t="s">
        <v>555</v>
      </c>
      <c r="C1420" s="836" t="s">
        <v>1881</v>
      </c>
      <c r="D1420" s="821" t="s">
        <v>40</v>
      </c>
      <c r="E1420" s="816">
        <v>2</v>
      </c>
      <c r="F1420" s="812"/>
      <c r="G1420" s="812"/>
      <c r="H1420" s="812"/>
      <c r="I1420" s="812"/>
      <c r="J1420" s="822">
        <v>5141.05</v>
      </c>
      <c r="K1420" s="812">
        <f>(E1420+F1420+G1420+H1420+I1420)*J1420</f>
        <v>10282.1</v>
      </c>
    </row>
    <row r="1421" spans="1:11" ht="26.25">
      <c r="A1421" s="812">
        <v>54</v>
      </c>
      <c r="B1421" s="813" t="s">
        <v>1882</v>
      </c>
      <c r="C1421" s="858" t="s">
        <v>1883</v>
      </c>
      <c r="D1421" s="815" t="s">
        <v>40</v>
      </c>
      <c r="E1421" s="818">
        <v>5</v>
      </c>
      <c r="F1421" s="812"/>
      <c r="G1421" s="812"/>
      <c r="H1421" s="812"/>
      <c r="I1421" s="812"/>
      <c r="J1421" s="817">
        <v>6979.7</v>
      </c>
      <c r="K1421" s="812">
        <f>(E1421+F1421+G1421+H1421+I1421)*J1421</f>
        <v>34898.5</v>
      </c>
    </row>
    <row r="1422" spans="1:11" ht="26.25">
      <c r="A1422" s="812">
        <v>55</v>
      </c>
      <c r="B1422" s="813" t="s">
        <v>1884</v>
      </c>
      <c r="C1422" s="858" t="s">
        <v>1885</v>
      </c>
      <c r="D1422" s="815" t="s">
        <v>40</v>
      </c>
      <c r="E1422" s="818">
        <v>4</v>
      </c>
      <c r="F1422" s="812"/>
      <c r="G1422" s="812"/>
      <c r="H1422" s="812"/>
      <c r="I1422" s="812"/>
      <c r="J1422" s="817">
        <v>6979.7</v>
      </c>
      <c r="K1422" s="819">
        <f>(E1422+F1422+G1422+H1422+I1422)*J1422</f>
        <v>27918.799999999999</v>
      </c>
    </row>
    <row r="1423" spans="1:11" ht="25.5">
      <c r="A1423" s="812">
        <v>56</v>
      </c>
      <c r="B1423" s="813" t="s">
        <v>1886</v>
      </c>
      <c r="C1423" s="836" t="s">
        <v>1887</v>
      </c>
      <c r="D1423" s="815" t="s">
        <v>40</v>
      </c>
      <c r="E1423" s="816">
        <v>5</v>
      </c>
      <c r="F1423" s="812"/>
      <c r="G1423" s="812"/>
      <c r="H1423" s="812"/>
      <c r="I1423" s="812"/>
      <c r="J1423" s="817">
        <v>703.28</v>
      </c>
      <c r="K1423" s="812">
        <f t="shared" si="100"/>
        <v>3516.3999999999996</v>
      </c>
    </row>
    <row r="1424" spans="1:11" ht="25.5">
      <c r="A1424" s="812">
        <v>57</v>
      </c>
      <c r="B1424" s="813" t="s">
        <v>1888</v>
      </c>
      <c r="C1424" s="836" t="s">
        <v>1889</v>
      </c>
      <c r="D1424" s="815" t="s">
        <v>40</v>
      </c>
      <c r="E1424" s="816">
        <v>2</v>
      </c>
      <c r="F1424" s="812"/>
      <c r="G1424" s="812"/>
      <c r="H1424" s="812"/>
      <c r="I1424" s="812"/>
      <c r="J1424" s="817">
        <v>703.28</v>
      </c>
      <c r="K1424" s="812">
        <f t="shared" si="100"/>
        <v>1406.56</v>
      </c>
    </row>
    <row r="1425" spans="1:11" ht="25.5">
      <c r="A1425" s="812">
        <v>58</v>
      </c>
      <c r="B1425" s="813" t="s">
        <v>1890</v>
      </c>
      <c r="C1425" s="836" t="s">
        <v>1891</v>
      </c>
      <c r="D1425" s="815" t="s">
        <v>40</v>
      </c>
      <c r="E1425" s="816">
        <v>2</v>
      </c>
      <c r="F1425" s="812"/>
      <c r="G1425" s="812"/>
      <c r="H1425" s="812"/>
      <c r="I1425" s="812"/>
      <c r="J1425" s="817">
        <v>703.28</v>
      </c>
      <c r="K1425" s="859">
        <f t="shared" si="100"/>
        <v>1406.56</v>
      </c>
    </row>
    <row r="1426" spans="1:11">
      <c r="A1426" s="812">
        <v>59</v>
      </c>
      <c r="B1426" s="813" t="s">
        <v>1892</v>
      </c>
      <c r="C1426" s="836" t="s">
        <v>1893</v>
      </c>
      <c r="D1426" s="815" t="s">
        <v>40</v>
      </c>
      <c r="E1426" s="816">
        <v>1</v>
      </c>
      <c r="F1426" s="812"/>
      <c r="G1426" s="812"/>
      <c r="H1426" s="812"/>
      <c r="I1426" s="812"/>
      <c r="J1426" s="824">
        <v>540</v>
      </c>
      <c r="K1426" s="812">
        <f t="shared" si="100"/>
        <v>540</v>
      </c>
    </row>
    <row r="1427" spans="1:11">
      <c r="A1427" s="812">
        <v>60</v>
      </c>
      <c r="B1427" s="813" t="s">
        <v>1894</v>
      </c>
      <c r="C1427" s="836" t="s">
        <v>1895</v>
      </c>
      <c r="D1427" s="815" t="s">
        <v>40</v>
      </c>
      <c r="E1427" s="816">
        <v>1</v>
      </c>
      <c r="F1427" s="812"/>
      <c r="G1427" s="812"/>
      <c r="H1427" s="812"/>
      <c r="I1427" s="812"/>
      <c r="J1427" s="824">
        <v>700</v>
      </c>
      <c r="K1427" s="812">
        <f t="shared" si="100"/>
        <v>700</v>
      </c>
    </row>
    <row r="1428" spans="1:11">
      <c r="A1428" s="812">
        <v>61</v>
      </c>
      <c r="B1428" s="839" t="s">
        <v>308</v>
      </c>
      <c r="C1428" s="840" t="s">
        <v>1896</v>
      </c>
      <c r="D1428" s="842" t="s">
        <v>40</v>
      </c>
      <c r="E1428" s="829">
        <v>24</v>
      </c>
      <c r="F1428" s="830"/>
      <c r="G1428" s="830"/>
      <c r="H1428" s="830"/>
      <c r="I1428" s="829"/>
      <c r="J1428" s="831">
        <v>1649.64</v>
      </c>
      <c r="K1428" s="819">
        <f>(E1428+F1428+G1428+H1428+I1428)*J1428</f>
        <v>39591.360000000001</v>
      </c>
    </row>
    <row r="1429" spans="1:11" ht="25.5">
      <c r="A1429" s="812">
        <v>62</v>
      </c>
      <c r="B1429" s="839" t="s">
        <v>1897</v>
      </c>
      <c r="C1429" s="840" t="s">
        <v>1898</v>
      </c>
      <c r="D1429" s="842" t="s">
        <v>40</v>
      </c>
      <c r="E1429" s="829">
        <v>12</v>
      </c>
      <c r="F1429" s="830"/>
      <c r="G1429" s="830"/>
      <c r="H1429" s="830"/>
      <c r="I1429" s="829"/>
      <c r="J1429" s="831">
        <v>18526</v>
      </c>
      <c r="K1429" s="819">
        <f>(E1429+F1429+G1429+H1429+I1429)*J1429</f>
        <v>222312</v>
      </c>
    </row>
    <row r="1430" spans="1:11" ht="25.5">
      <c r="A1430" s="812">
        <v>63</v>
      </c>
      <c r="B1430" s="813" t="s">
        <v>626</v>
      </c>
      <c r="C1430" s="849" t="s">
        <v>1899</v>
      </c>
      <c r="D1430" s="815" t="s">
        <v>40</v>
      </c>
      <c r="E1430" s="816">
        <v>6</v>
      </c>
      <c r="F1430" s="812"/>
      <c r="G1430" s="812"/>
      <c r="H1430" s="812"/>
      <c r="I1430" s="812"/>
      <c r="J1430" s="824">
        <v>3400.46</v>
      </c>
      <c r="K1430" s="812">
        <f t="shared" si="100"/>
        <v>20402.760000000002</v>
      </c>
    </row>
    <row r="1431" spans="1:11" ht="25.5">
      <c r="A1431" s="812">
        <v>64</v>
      </c>
      <c r="B1431" s="813" t="s">
        <v>628</v>
      </c>
      <c r="C1431" s="849" t="s">
        <v>1900</v>
      </c>
      <c r="D1431" s="815" t="s">
        <v>40</v>
      </c>
      <c r="E1431" s="816">
        <v>3</v>
      </c>
      <c r="F1431" s="812"/>
      <c r="G1431" s="812"/>
      <c r="H1431" s="812"/>
      <c r="I1431" s="812"/>
      <c r="J1431" s="824">
        <v>4653.5</v>
      </c>
      <c r="K1431" s="812">
        <f t="shared" si="100"/>
        <v>13960.5</v>
      </c>
    </row>
    <row r="1432" spans="1:11" ht="25.5">
      <c r="A1432" s="812">
        <v>65</v>
      </c>
      <c r="B1432" s="813" t="s">
        <v>1483</v>
      </c>
      <c r="C1432" s="849" t="s">
        <v>1901</v>
      </c>
      <c r="D1432" s="815" t="s">
        <v>40</v>
      </c>
      <c r="E1432" s="816">
        <v>5</v>
      </c>
      <c r="F1432" s="812"/>
      <c r="G1432" s="812"/>
      <c r="H1432" s="812"/>
      <c r="I1432" s="812"/>
      <c r="J1432" s="824">
        <v>6800</v>
      </c>
      <c r="K1432" s="812">
        <f t="shared" si="100"/>
        <v>34000</v>
      </c>
    </row>
    <row r="1433" spans="1:11">
      <c r="A1433" s="812">
        <v>66</v>
      </c>
      <c r="B1433" s="813" t="s">
        <v>1331</v>
      </c>
      <c r="C1433" s="849" t="s">
        <v>1902</v>
      </c>
      <c r="D1433" s="815" t="s">
        <v>40</v>
      </c>
      <c r="E1433" s="816">
        <v>10</v>
      </c>
      <c r="F1433" s="812"/>
      <c r="G1433" s="812"/>
      <c r="H1433" s="812"/>
      <c r="I1433" s="812"/>
      <c r="J1433" s="824">
        <v>3575.3</v>
      </c>
      <c r="K1433" s="812">
        <f t="shared" si="100"/>
        <v>35753</v>
      </c>
    </row>
    <row r="1434" spans="1:11" ht="25.5">
      <c r="A1434" s="812">
        <v>67</v>
      </c>
      <c r="B1434" s="813" t="s">
        <v>1903</v>
      </c>
      <c r="C1434" s="836" t="s">
        <v>1904</v>
      </c>
      <c r="D1434" s="842" t="s">
        <v>40</v>
      </c>
      <c r="E1434" s="816">
        <v>10</v>
      </c>
      <c r="F1434" s="812"/>
      <c r="G1434" s="812"/>
      <c r="H1434" s="812"/>
      <c r="I1434" s="812"/>
      <c r="J1434" s="854">
        <v>3121.3</v>
      </c>
      <c r="K1434" s="812">
        <f t="shared" si="100"/>
        <v>31213</v>
      </c>
    </row>
    <row r="1435" spans="1:11">
      <c r="A1435" s="812">
        <v>68</v>
      </c>
      <c r="B1435" s="847" t="s">
        <v>1905</v>
      </c>
      <c r="C1435" s="840" t="s">
        <v>1906</v>
      </c>
      <c r="D1435" s="841" t="s">
        <v>40</v>
      </c>
      <c r="E1435" s="829">
        <v>5</v>
      </c>
      <c r="F1435" s="830"/>
      <c r="G1435" s="830"/>
      <c r="H1435" s="830"/>
      <c r="I1435" s="829"/>
      <c r="J1435" s="831">
        <v>2820.2</v>
      </c>
      <c r="K1435" s="819">
        <f>(E1435+F1435+G1435+H1435+I1435)*J1435</f>
        <v>14101</v>
      </c>
    </row>
    <row r="1436" spans="1:11" ht="26.25">
      <c r="A1436" s="812">
        <v>69</v>
      </c>
      <c r="B1436" s="852"/>
      <c r="C1436" s="858" t="s">
        <v>1907</v>
      </c>
      <c r="D1436" s="815" t="s">
        <v>40</v>
      </c>
      <c r="E1436" s="818">
        <v>5</v>
      </c>
      <c r="F1436" s="812"/>
      <c r="G1436" s="812"/>
      <c r="H1436" s="812"/>
      <c r="I1436" s="812"/>
      <c r="J1436" s="817">
        <v>2339.94</v>
      </c>
      <c r="K1436" s="812">
        <f>(E1436+F1436+G1436+H1436+I1436)*J1436</f>
        <v>11699.7</v>
      </c>
    </row>
    <row r="1437" spans="1:11" ht="38.25">
      <c r="A1437" s="812">
        <v>70</v>
      </c>
      <c r="B1437" s="813" t="s">
        <v>1908</v>
      </c>
      <c r="C1437" s="836" t="s">
        <v>1909</v>
      </c>
      <c r="D1437" s="842" t="s">
        <v>40</v>
      </c>
      <c r="E1437" s="816">
        <v>6</v>
      </c>
      <c r="F1437" s="812"/>
      <c r="G1437" s="812"/>
      <c r="H1437" s="812"/>
      <c r="I1437" s="812"/>
      <c r="J1437" s="860">
        <v>1139.2750000000001</v>
      </c>
      <c r="K1437" s="812">
        <f t="shared" si="100"/>
        <v>6835.6500000000005</v>
      </c>
    </row>
    <row r="1438" spans="1:11">
      <c r="A1438" s="812">
        <v>71</v>
      </c>
      <c r="B1438" s="813" t="s">
        <v>1910</v>
      </c>
      <c r="C1438" s="849" t="s">
        <v>1911</v>
      </c>
      <c r="D1438" s="815" t="s">
        <v>40</v>
      </c>
      <c r="E1438" s="816">
        <v>2</v>
      </c>
      <c r="F1438" s="812"/>
      <c r="G1438" s="812"/>
      <c r="H1438" s="812"/>
      <c r="I1438" s="812"/>
      <c r="J1438" s="824">
        <v>913.71</v>
      </c>
      <c r="K1438" s="812">
        <f t="shared" si="100"/>
        <v>1827.42</v>
      </c>
    </row>
    <row r="1439" spans="1:11" ht="25.5">
      <c r="A1439" s="812">
        <v>72</v>
      </c>
      <c r="B1439" s="813" t="s">
        <v>1912</v>
      </c>
      <c r="C1439" s="836" t="s">
        <v>1913</v>
      </c>
      <c r="D1439" s="815" t="s">
        <v>40</v>
      </c>
      <c r="E1439" s="818">
        <v>5</v>
      </c>
      <c r="F1439" s="812"/>
      <c r="G1439" s="812"/>
      <c r="H1439" s="812"/>
      <c r="I1439" s="812"/>
      <c r="J1439" s="817">
        <v>4483.25</v>
      </c>
      <c r="K1439" s="812">
        <f>(E1439+F1439+G1439+H1439+I1439)*J1439</f>
        <v>22416.25</v>
      </c>
    </row>
    <row r="1440" spans="1:11">
      <c r="A1440" s="812">
        <v>73</v>
      </c>
      <c r="B1440" s="826" t="s">
        <v>1914</v>
      </c>
      <c r="C1440" s="836" t="s">
        <v>1915</v>
      </c>
      <c r="D1440" s="815" t="s">
        <v>40</v>
      </c>
      <c r="E1440" s="818">
        <v>1</v>
      </c>
      <c r="F1440" s="812"/>
      <c r="G1440" s="812"/>
      <c r="H1440" s="812"/>
      <c r="I1440" s="812"/>
      <c r="J1440" s="818">
        <v>68</v>
      </c>
      <c r="K1440" s="812">
        <f>(E1440+F1440+G1440+H1440+I1440)*J1440</f>
        <v>68</v>
      </c>
    </row>
    <row r="1441" spans="1:11">
      <c r="A1441" s="812">
        <v>74</v>
      </c>
      <c r="B1441" s="826" t="s">
        <v>1916</v>
      </c>
      <c r="C1441" s="836" t="s">
        <v>1917</v>
      </c>
      <c r="D1441" s="815" t="s">
        <v>40</v>
      </c>
      <c r="E1441" s="818">
        <v>7</v>
      </c>
      <c r="F1441" s="812"/>
      <c r="G1441" s="812"/>
      <c r="H1441" s="812"/>
      <c r="I1441" s="812"/>
      <c r="J1441" s="818">
        <v>64</v>
      </c>
      <c r="K1441" s="812">
        <f>(E1441+F1441+G1441+H1441+I1441)*J1441</f>
        <v>448</v>
      </c>
    </row>
    <row r="1442" spans="1:11">
      <c r="A1442" s="812">
        <v>75</v>
      </c>
      <c r="B1442" s="826" t="s">
        <v>1918</v>
      </c>
      <c r="C1442" s="836" t="s">
        <v>1919</v>
      </c>
      <c r="D1442" s="815" t="s">
        <v>40</v>
      </c>
      <c r="E1442" s="818">
        <v>12</v>
      </c>
      <c r="F1442" s="812"/>
      <c r="G1442" s="812"/>
      <c r="H1442" s="812"/>
      <c r="I1442" s="812"/>
      <c r="J1442" s="818">
        <v>62</v>
      </c>
      <c r="K1442" s="812">
        <f>(E1442+F1442+G1442+H1442+I1442)*J1442</f>
        <v>744</v>
      </c>
    </row>
    <row r="1443" spans="1:11">
      <c r="A1443" s="812">
        <v>76</v>
      </c>
      <c r="B1443" s="826" t="s">
        <v>1920</v>
      </c>
      <c r="C1443" s="836" t="s">
        <v>1921</v>
      </c>
      <c r="D1443" s="842" t="s">
        <v>40</v>
      </c>
      <c r="E1443" s="818">
        <v>9</v>
      </c>
      <c r="F1443" s="812"/>
      <c r="G1443" s="812"/>
      <c r="H1443" s="812"/>
      <c r="I1443" s="812"/>
      <c r="J1443" s="818">
        <v>60</v>
      </c>
      <c r="K1443" s="812">
        <f t="shared" ref="K1443:K1449" si="101">(E1443+F1443+G1443+H1443+I1443)*J1443</f>
        <v>540</v>
      </c>
    </row>
    <row r="1444" spans="1:11" ht="25.5">
      <c r="A1444" s="812">
        <v>77</v>
      </c>
      <c r="B1444" s="847" t="s">
        <v>1922</v>
      </c>
      <c r="C1444" s="836" t="s">
        <v>1923</v>
      </c>
      <c r="D1444" s="815" t="s">
        <v>40</v>
      </c>
      <c r="E1444" s="818">
        <v>4</v>
      </c>
      <c r="F1444" s="812"/>
      <c r="G1444" s="812"/>
      <c r="H1444" s="820"/>
      <c r="I1444" s="812"/>
      <c r="J1444" s="818">
        <v>448.33</v>
      </c>
      <c r="K1444" s="812">
        <f t="shared" si="101"/>
        <v>1793.32</v>
      </c>
    </row>
    <row r="1445" spans="1:11" ht="25.5">
      <c r="A1445" s="812">
        <v>78</v>
      </c>
      <c r="B1445" s="852"/>
      <c r="C1445" s="836" t="s">
        <v>1924</v>
      </c>
      <c r="D1445" s="815" t="s">
        <v>40</v>
      </c>
      <c r="E1445" s="818">
        <v>6</v>
      </c>
      <c r="F1445" s="812"/>
      <c r="G1445" s="812"/>
      <c r="H1445" s="820"/>
      <c r="I1445" s="812"/>
      <c r="J1445" s="818">
        <v>675.32500000000005</v>
      </c>
      <c r="K1445" s="812">
        <f t="shared" si="101"/>
        <v>4051.9500000000003</v>
      </c>
    </row>
    <row r="1446" spans="1:11" ht="25.5">
      <c r="A1446" s="812">
        <v>79</v>
      </c>
      <c r="B1446" s="826" t="s">
        <v>1925</v>
      </c>
      <c r="C1446" s="836" t="s">
        <v>1926</v>
      </c>
      <c r="D1446" s="815" t="s">
        <v>40</v>
      </c>
      <c r="E1446" s="818">
        <v>2</v>
      </c>
      <c r="F1446" s="812"/>
      <c r="G1446" s="812"/>
      <c r="H1446" s="812"/>
      <c r="I1446" s="812"/>
      <c r="J1446" s="818">
        <v>675.32500000000005</v>
      </c>
      <c r="K1446" s="812">
        <f t="shared" si="101"/>
        <v>1350.65</v>
      </c>
    </row>
    <row r="1447" spans="1:11" ht="25.5">
      <c r="A1447" s="812">
        <v>80</v>
      </c>
      <c r="B1447" s="826" t="s">
        <v>1927</v>
      </c>
      <c r="C1447" s="836" t="s">
        <v>1928</v>
      </c>
      <c r="D1447" s="815" t="s">
        <v>40</v>
      </c>
      <c r="E1447" s="818">
        <v>5</v>
      </c>
      <c r="F1447" s="812"/>
      <c r="G1447" s="812"/>
      <c r="H1447" s="820"/>
      <c r="I1447" s="812"/>
      <c r="J1447" s="818">
        <v>675.32500000000005</v>
      </c>
      <c r="K1447" s="812">
        <f t="shared" si="101"/>
        <v>3376.625</v>
      </c>
    </row>
    <row r="1448" spans="1:11">
      <c r="A1448" s="812">
        <v>81</v>
      </c>
      <c r="B1448" s="826" t="s">
        <v>1929</v>
      </c>
      <c r="C1448" s="836" t="s">
        <v>1930</v>
      </c>
      <c r="D1448" s="815" t="s">
        <v>40</v>
      </c>
      <c r="E1448" s="818">
        <v>5</v>
      </c>
      <c r="F1448" s="812"/>
      <c r="G1448" s="812"/>
      <c r="H1448" s="812"/>
      <c r="I1448" s="812"/>
      <c r="J1448" s="818">
        <v>681</v>
      </c>
      <c r="K1448" s="812">
        <f t="shared" si="101"/>
        <v>3405</v>
      </c>
    </row>
    <row r="1449" spans="1:11">
      <c r="A1449" s="812">
        <v>82</v>
      </c>
      <c r="B1449" s="847" t="s">
        <v>1508</v>
      </c>
      <c r="C1449" s="836" t="s">
        <v>1931</v>
      </c>
      <c r="D1449" s="842" t="s">
        <v>40</v>
      </c>
      <c r="E1449" s="818">
        <v>8</v>
      </c>
      <c r="F1449" s="812"/>
      <c r="G1449" s="812"/>
      <c r="H1449" s="820"/>
      <c r="I1449" s="812"/>
      <c r="J1449" s="818">
        <v>448.33</v>
      </c>
      <c r="K1449" s="812">
        <f t="shared" si="101"/>
        <v>3586.64</v>
      </c>
    </row>
    <row r="1450" spans="1:11" ht="25.5">
      <c r="A1450" s="812">
        <v>83</v>
      </c>
      <c r="B1450" s="852"/>
      <c r="C1450" s="836" t="s">
        <v>1932</v>
      </c>
      <c r="D1450" s="815" t="s">
        <v>40</v>
      </c>
      <c r="E1450" s="818">
        <v>4</v>
      </c>
      <c r="F1450" s="812"/>
      <c r="G1450" s="812"/>
      <c r="H1450" s="812"/>
      <c r="I1450" s="812"/>
      <c r="J1450" s="818">
        <v>675.32500000000005</v>
      </c>
      <c r="K1450" s="812">
        <f>(E1450+F1450+G1450+H1450+I1450)*J1450</f>
        <v>2701.3</v>
      </c>
    </row>
    <row r="1451" spans="1:11" ht="63.75">
      <c r="A1451" s="812">
        <v>84</v>
      </c>
      <c r="B1451" s="861" t="s">
        <v>1933</v>
      </c>
      <c r="C1451" s="836" t="s">
        <v>1934</v>
      </c>
      <c r="D1451" s="815" t="s">
        <v>40</v>
      </c>
      <c r="E1451" s="818">
        <v>2</v>
      </c>
      <c r="F1451" s="812"/>
      <c r="G1451" s="812"/>
      <c r="H1451" s="812"/>
      <c r="I1451" s="812"/>
      <c r="J1451" s="817">
        <v>11336.380000000001</v>
      </c>
      <c r="K1451" s="812">
        <f>(E1451+F1451+G1451+H1451+I1451)*J1451</f>
        <v>22672.760000000002</v>
      </c>
    </row>
    <row r="1452" spans="1:11" ht="25.5">
      <c r="A1452" s="812">
        <v>85</v>
      </c>
      <c r="B1452" s="813" t="s">
        <v>1536</v>
      </c>
      <c r="C1452" s="836" t="s">
        <v>1935</v>
      </c>
      <c r="D1452" s="815" t="s">
        <v>40</v>
      </c>
      <c r="E1452" s="816">
        <v>3</v>
      </c>
      <c r="F1452" s="812"/>
      <c r="G1452" s="812"/>
      <c r="H1452" s="812"/>
      <c r="I1452" s="812"/>
      <c r="J1452" s="817">
        <v>13614.33</v>
      </c>
      <c r="K1452" s="812">
        <f t="shared" si="100"/>
        <v>40842.99</v>
      </c>
    </row>
    <row r="1453" spans="1:11" ht="25.5">
      <c r="A1453" s="812">
        <v>86</v>
      </c>
      <c r="B1453" s="813" t="s">
        <v>1538</v>
      </c>
      <c r="C1453" s="836" t="s">
        <v>1936</v>
      </c>
      <c r="D1453" s="815" t="s">
        <v>40</v>
      </c>
      <c r="E1453" s="816">
        <v>3</v>
      </c>
      <c r="F1453" s="812"/>
      <c r="G1453" s="812"/>
      <c r="H1453" s="812"/>
      <c r="I1453" s="812"/>
      <c r="J1453" s="817">
        <v>10430.65</v>
      </c>
      <c r="K1453" s="812">
        <f t="shared" si="100"/>
        <v>31291.949999999997</v>
      </c>
    </row>
    <row r="1454" spans="1:11">
      <c r="A1454" s="812">
        <v>87</v>
      </c>
      <c r="B1454" s="826" t="s">
        <v>933</v>
      </c>
      <c r="C1454" s="827" t="s">
        <v>1937</v>
      </c>
      <c r="D1454" s="815" t="s">
        <v>648</v>
      </c>
      <c r="E1454" s="818">
        <v>1244</v>
      </c>
      <c r="F1454" s="812"/>
      <c r="G1454" s="812"/>
      <c r="H1454" s="812"/>
      <c r="I1454" s="812"/>
      <c r="J1454" s="831">
        <v>50</v>
      </c>
      <c r="K1454" s="819">
        <f>(E1454+F1454+G1454+H1454+I1454)*J1454</f>
        <v>62200</v>
      </c>
    </row>
    <row r="1455" spans="1:11" ht="26.25">
      <c r="A1455" s="812">
        <v>88</v>
      </c>
      <c r="B1455" s="826" t="s">
        <v>330</v>
      </c>
      <c r="C1455" s="827" t="s">
        <v>1938</v>
      </c>
      <c r="D1455" s="815" t="s">
        <v>40</v>
      </c>
      <c r="E1455" s="818">
        <v>13</v>
      </c>
      <c r="F1455" s="812"/>
      <c r="G1455" s="812"/>
      <c r="H1455" s="812"/>
      <c r="I1455" s="812"/>
      <c r="J1455" s="831">
        <v>250</v>
      </c>
      <c r="K1455" s="819">
        <f>(E1455+F1455+G1455+H1455+I1455)*J1455</f>
        <v>3250</v>
      </c>
    </row>
    <row r="1456" spans="1:11" ht="25.5">
      <c r="A1456" s="812">
        <v>89</v>
      </c>
      <c r="B1456" s="813" t="s">
        <v>1939</v>
      </c>
      <c r="C1456" s="836" t="s">
        <v>1940</v>
      </c>
      <c r="D1456" s="815" t="s">
        <v>40</v>
      </c>
      <c r="E1456" s="816">
        <v>1</v>
      </c>
      <c r="F1456" s="812"/>
      <c r="G1456" s="812"/>
      <c r="H1456" s="820"/>
      <c r="I1456" s="812"/>
      <c r="J1456" s="845">
        <v>18154.325000000001</v>
      </c>
      <c r="K1456" s="812">
        <f t="shared" si="100"/>
        <v>18154.325000000001</v>
      </c>
    </row>
    <row r="1457" spans="1:11">
      <c r="A1457" s="812">
        <v>90</v>
      </c>
      <c r="B1457" s="847" t="s">
        <v>449</v>
      </c>
      <c r="C1457" s="840" t="s">
        <v>1941</v>
      </c>
      <c r="D1457" s="841" t="s">
        <v>40</v>
      </c>
      <c r="E1457" s="829">
        <v>16</v>
      </c>
      <c r="F1457" s="830"/>
      <c r="G1457" s="830"/>
      <c r="H1457" s="830"/>
      <c r="I1457" s="829"/>
      <c r="J1457" s="831">
        <v>1652</v>
      </c>
      <c r="K1457" s="819">
        <f t="shared" si="100"/>
        <v>26432</v>
      </c>
    </row>
    <row r="1458" spans="1:11" ht="25.5">
      <c r="A1458" s="812">
        <v>91</v>
      </c>
      <c r="B1458" s="848"/>
      <c r="C1458" s="840" t="s">
        <v>1942</v>
      </c>
      <c r="D1458" s="842" t="s">
        <v>40</v>
      </c>
      <c r="E1458" s="829">
        <v>5</v>
      </c>
      <c r="F1458" s="830"/>
      <c r="G1458" s="830"/>
      <c r="H1458" s="830"/>
      <c r="I1458" s="829"/>
      <c r="J1458" s="831">
        <v>1469.1</v>
      </c>
      <c r="K1458" s="819">
        <f>(E1458+F1458+G1458+H1458+I1458)*J1458</f>
        <v>7345.5</v>
      </c>
    </row>
    <row r="1459" spans="1:11" ht="26.25">
      <c r="A1459" s="812">
        <v>92</v>
      </c>
      <c r="B1459" s="852"/>
      <c r="C1459" s="858" t="s">
        <v>1943</v>
      </c>
      <c r="D1459" s="815" t="s">
        <v>40</v>
      </c>
      <c r="E1459" s="818">
        <v>1</v>
      </c>
      <c r="F1459" s="812"/>
      <c r="G1459" s="812"/>
      <c r="H1459" s="812"/>
      <c r="I1459" s="812"/>
      <c r="J1459" s="817">
        <v>1229.56</v>
      </c>
      <c r="K1459" s="812">
        <f>(E1459+F1459+G1459+H1459+I1459)*J1459</f>
        <v>1229.56</v>
      </c>
    </row>
    <row r="1460" spans="1:11">
      <c r="A1460" s="812">
        <v>93</v>
      </c>
      <c r="B1460" s="839" t="s">
        <v>1944</v>
      </c>
      <c r="C1460" s="840" t="s">
        <v>1945</v>
      </c>
      <c r="D1460" s="841" t="s">
        <v>40</v>
      </c>
      <c r="E1460" s="829">
        <v>2</v>
      </c>
      <c r="F1460" s="830"/>
      <c r="G1460" s="830"/>
      <c r="H1460" s="830"/>
      <c r="I1460" s="829"/>
      <c r="J1460" s="831">
        <v>33619.379999999997</v>
      </c>
      <c r="K1460" s="819">
        <f t="shared" si="100"/>
        <v>67238.759999999995</v>
      </c>
    </row>
    <row r="1461" spans="1:11">
      <c r="A1461" s="812">
        <v>94</v>
      </c>
      <c r="B1461" s="839" t="s">
        <v>445</v>
      </c>
      <c r="C1461" s="840" t="s">
        <v>1946</v>
      </c>
      <c r="D1461" s="841" t="s">
        <v>208</v>
      </c>
      <c r="E1461" s="829">
        <v>50</v>
      </c>
      <c r="F1461" s="830"/>
      <c r="G1461" s="830"/>
      <c r="H1461" s="830"/>
      <c r="I1461" s="829"/>
      <c r="J1461" s="831">
        <v>595.9</v>
      </c>
      <c r="K1461" s="819">
        <f t="shared" si="100"/>
        <v>29795</v>
      </c>
    </row>
    <row r="1462" spans="1:11" ht="45">
      <c r="A1462" s="812">
        <v>95</v>
      </c>
      <c r="B1462" s="847" t="s">
        <v>1947</v>
      </c>
      <c r="C1462" s="851" t="s">
        <v>1948</v>
      </c>
      <c r="D1462" s="815" t="s">
        <v>40</v>
      </c>
      <c r="E1462" s="818">
        <v>1</v>
      </c>
      <c r="F1462" s="812"/>
      <c r="G1462" s="812"/>
      <c r="H1462" s="820"/>
      <c r="I1462" s="812"/>
      <c r="J1462" s="818">
        <v>2264.3249999999998</v>
      </c>
      <c r="K1462" s="812">
        <f t="shared" si="100"/>
        <v>2264.3249999999998</v>
      </c>
    </row>
    <row r="1463" spans="1:11" ht="25.5">
      <c r="A1463" s="812">
        <v>96</v>
      </c>
      <c r="B1463" s="848"/>
      <c r="C1463" s="836" t="s">
        <v>1949</v>
      </c>
      <c r="D1463" s="815" t="s">
        <v>40</v>
      </c>
      <c r="E1463" s="818">
        <v>3</v>
      </c>
      <c r="F1463" s="812"/>
      <c r="G1463" s="812"/>
      <c r="H1463" s="812"/>
      <c r="I1463" s="812"/>
      <c r="J1463" s="818">
        <v>1856.25</v>
      </c>
      <c r="K1463" s="862">
        <f>(E1463+F1463+G1463+H1463+I1463)*J1463</f>
        <v>5568.75</v>
      </c>
    </row>
    <row r="1464" spans="1:11" ht="25.5">
      <c r="A1464" s="812">
        <v>97</v>
      </c>
      <c r="B1464" s="848"/>
      <c r="C1464" s="840" t="s">
        <v>1950</v>
      </c>
      <c r="D1464" s="842" t="s">
        <v>40</v>
      </c>
      <c r="E1464" s="829">
        <v>2</v>
      </c>
      <c r="F1464" s="830"/>
      <c r="G1464" s="830"/>
      <c r="H1464" s="830"/>
      <c r="I1464" s="829"/>
      <c r="J1464" s="831">
        <v>1115.0999999999999</v>
      </c>
      <c r="K1464" s="819">
        <f>(E1464+F1464+G1464+H1464+I1464)*J1464</f>
        <v>2230.1999999999998</v>
      </c>
    </row>
    <row r="1465" spans="1:11">
      <c r="A1465" s="812">
        <v>98</v>
      </c>
      <c r="B1465" s="848"/>
      <c r="C1465" s="858" t="s">
        <v>1951</v>
      </c>
      <c r="D1465" s="815" t="s">
        <v>40</v>
      </c>
      <c r="E1465" s="818">
        <v>4</v>
      </c>
      <c r="F1465" s="812"/>
      <c r="G1465" s="812"/>
      <c r="H1465" s="812"/>
      <c r="I1465" s="812"/>
      <c r="J1465" s="831">
        <v>12873.8</v>
      </c>
      <c r="K1465" s="819">
        <f>(E1465+F1465+G1465+H1465+I1465)*J1465</f>
        <v>51495.199999999997</v>
      </c>
    </row>
    <row r="1466" spans="1:11">
      <c r="A1466" s="812">
        <v>99</v>
      </c>
      <c r="B1466" s="852"/>
      <c r="C1466" s="836" t="s">
        <v>1952</v>
      </c>
      <c r="D1466" s="815" t="s">
        <v>277</v>
      </c>
      <c r="E1466" s="818">
        <v>27</v>
      </c>
      <c r="F1466" s="812"/>
      <c r="G1466" s="812"/>
      <c r="H1466" s="820"/>
      <c r="I1466" s="812"/>
      <c r="J1466" s="817">
        <v>200</v>
      </c>
      <c r="K1466" s="812">
        <f>(E1466+F1466+G1466+H1466+I1466)*J1466</f>
        <v>5400</v>
      </c>
    </row>
    <row r="1467" spans="1:11">
      <c r="A1467" s="834" t="s">
        <v>0</v>
      </c>
      <c r="B1467" s="835"/>
      <c r="C1467" s="840"/>
      <c r="D1467" s="842"/>
      <c r="E1467" s="829"/>
      <c r="F1467" s="830"/>
      <c r="G1467" s="830"/>
      <c r="H1467" s="830"/>
      <c r="I1467" s="829"/>
      <c r="J1467" s="831"/>
      <c r="K1467" s="819"/>
    </row>
    <row r="1468" spans="1:11" ht="25.5">
      <c r="A1468" s="812">
        <v>1</v>
      </c>
      <c r="B1468" s="847" t="s">
        <v>1953</v>
      </c>
      <c r="C1468" s="863" t="s">
        <v>1954</v>
      </c>
      <c r="D1468" s="842" t="s">
        <v>40</v>
      </c>
      <c r="E1468" s="857"/>
      <c r="F1468" s="812"/>
      <c r="G1468" s="812"/>
      <c r="H1468" s="812"/>
      <c r="I1468" s="864">
        <v>8</v>
      </c>
      <c r="J1468" s="865">
        <v>500</v>
      </c>
      <c r="K1468" s="866">
        <f t="shared" si="100"/>
        <v>4000</v>
      </c>
    </row>
    <row r="1469" spans="1:11">
      <c r="A1469" s="812">
        <v>2</v>
      </c>
      <c r="B1469" s="848"/>
      <c r="C1469" s="863" t="s">
        <v>1955</v>
      </c>
      <c r="D1469" s="815" t="s">
        <v>40</v>
      </c>
      <c r="E1469" s="824"/>
      <c r="F1469" s="812"/>
      <c r="G1469" s="812"/>
      <c r="H1469" s="812"/>
      <c r="I1469" s="864">
        <v>156</v>
      </c>
      <c r="J1469" s="867">
        <v>200</v>
      </c>
      <c r="K1469" s="866">
        <f t="shared" si="100"/>
        <v>31200</v>
      </c>
    </row>
    <row r="1470" spans="1:11">
      <c r="A1470" s="812">
        <v>3</v>
      </c>
      <c r="B1470" s="848"/>
      <c r="C1470" s="863" t="s">
        <v>1955</v>
      </c>
      <c r="D1470" s="815" t="s">
        <v>40</v>
      </c>
      <c r="E1470" s="824"/>
      <c r="F1470" s="812"/>
      <c r="G1470" s="812"/>
      <c r="H1470" s="812"/>
      <c r="I1470" s="864">
        <v>73</v>
      </c>
      <c r="J1470" s="867">
        <v>250</v>
      </c>
      <c r="K1470" s="866">
        <f t="shared" si="100"/>
        <v>18250</v>
      </c>
    </row>
    <row r="1471" spans="1:11" ht="25.5">
      <c r="A1471" s="812">
        <v>4</v>
      </c>
      <c r="B1471" s="848"/>
      <c r="C1471" s="863" t="s">
        <v>1956</v>
      </c>
      <c r="D1471" s="815" t="s">
        <v>40</v>
      </c>
      <c r="E1471" s="822"/>
      <c r="F1471" s="812"/>
      <c r="G1471" s="812"/>
      <c r="H1471" s="812"/>
      <c r="I1471" s="868">
        <v>2</v>
      </c>
      <c r="J1471" s="869">
        <v>150</v>
      </c>
      <c r="K1471" s="866">
        <f t="shared" si="100"/>
        <v>300</v>
      </c>
    </row>
    <row r="1472" spans="1:11" ht="25.5">
      <c r="A1472" s="812">
        <v>5</v>
      </c>
      <c r="B1472" s="848"/>
      <c r="C1472" s="863" t="s">
        <v>1957</v>
      </c>
      <c r="D1472" s="815" t="s">
        <v>40</v>
      </c>
      <c r="E1472" s="822"/>
      <c r="F1472" s="812"/>
      <c r="G1472" s="812"/>
      <c r="H1472" s="812"/>
      <c r="I1472" s="868">
        <v>4</v>
      </c>
      <c r="J1472" s="869">
        <v>300</v>
      </c>
      <c r="K1472" s="866">
        <f t="shared" si="100"/>
        <v>1200</v>
      </c>
    </row>
    <row r="1473" spans="1:11" ht="25.5">
      <c r="A1473" s="812">
        <v>6</v>
      </c>
      <c r="B1473" s="848"/>
      <c r="C1473" s="863" t="s">
        <v>1958</v>
      </c>
      <c r="D1473" s="815" t="s">
        <v>40</v>
      </c>
      <c r="E1473" s="822"/>
      <c r="F1473" s="812"/>
      <c r="G1473" s="812"/>
      <c r="H1473" s="812"/>
      <c r="I1473" s="868">
        <v>2</v>
      </c>
      <c r="J1473" s="869">
        <v>675</v>
      </c>
      <c r="K1473" s="866">
        <f>(E1473+F1473+G1473+H1473+I1473)*J1473</f>
        <v>1350</v>
      </c>
    </row>
    <row r="1474" spans="1:11" ht="25.5">
      <c r="A1474" s="812">
        <v>7</v>
      </c>
      <c r="B1474" s="848"/>
      <c r="C1474" s="863" t="s">
        <v>1959</v>
      </c>
      <c r="D1474" s="815" t="s">
        <v>40</v>
      </c>
      <c r="E1474" s="822"/>
      <c r="F1474" s="812"/>
      <c r="G1474" s="812"/>
      <c r="H1474" s="812"/>
      <c r="I1474" s="868">
        <v>2</v>
      </c>
      <c r="J1474" s="869">
        <v>1650</v>
      </c>
      <c r="K1474" s="866">
        <f t="shared" si="100"/>
        <v>3300</v>
      </c>
    </row>
    <row r="1475" spans="1:11" ht="25.5">
      <c r="A1475" s="812">
        <v>8</v>
      </c>
      <c r="B1475" s="848"/>
      <c r="C1475" s="863" t="s">
        <v>1960</v>
      </c>
      <c r="D1475" s="815" t="s">
        <v>40</v>
      </c>
      <c r="E1475" s="822"/>
      <c r="F1475" s="812"/>
      <c r="G1475" s="812"/>
      <c r="H1475" s="812"/>
      <c r="I1475" s="868">
        <v>2</v>
      </c>
      <c r="J1475" s="869">
        <v>100</v>
      </c>
      <c r="K1475" s="866">
        <f t="shared" si="100"/>
        <v>200</v>
      </c>
    </row>
    <row r="1476" spans="1:11" ht="25.5">
      <c r="A1476" s="812">
        <v>9</v>
      </c>
      <c r="B1476" s="848"/>
      <c r="C1476" s="863" t="s">
        <v>1961</v>
      </c>
      <c r="D1476" s="815" t="s">
        <v>40</v>
      </c>
      <c r="E1476" s="822"/>
      <c r="F1476" s="812"/>
      <c r="G1476" s="812"/>
      <c r="H1476" s="812"/>
      <c r="I1476" s="868">
        <v>4</v>
      </c>
      <c r="J1476" s="869">
        <v>100</v>
      </c>
      <c r="K1476" s="866">
        <f t="shared" si="100"/>
        <v>400</v>
      </c>
    </row>
    <row r="1477" spans="1:11" ht="25.5">
      <c r="A1477" s="812">
        <v>10</v>
      </c>
      <c r="B1477" s="848"/>
      <c r="C1477" s="863" t="s">
        <v>1961</v>
      </c>
      <c r="D1477" s="815" t="s">
        <v>40</v>
      </c>
      <c r="E1477" s="822"/>
      <c r="F1477" s="812"/>
      <c r="G1477" s="812"/>
      <c r="H1477" s="812"/>
      <c r="I1477" s="868">
        <v>10</v>
      </c>
      <c r="J1477" s="869">
        <v>100</v>
      </c>
      <c r="K1477" s="866">
        <f>(E1477+F1477+G1477+H1477+I1477)*J1477</f>
        <v>1000</v>
      </c>
    </row>
    <row r="1478" spans="1:11" ht="25.5">
      <c r="A1478" s="812">
        <v>11</v>
      </c>
      <c r="B1478" s="848"/>
      <c r="C1478" s="863" t="s">
        <v>1962</v>
      </c>
      <c r="D1478" s="815" t="s">
        <v>40</v>
      </c>
      <c r="E1478" s="822"/>
      <c r="F1478" s="812"/>
      <c r="G1478" s="812"/>
      <c r="H1478" s="812"/>
      <c r="I1478" s="868">
        <v>4</v>
      </c>
      <c r="J1478" s="869">
        <v>250</v>
      </c>
      <c r="K1478" s="870">
        <f t="shared" si="100"/>
        <v>1000</v>
      </c>
    </row>
    <row r="1479" spans="1:11">
      <c r="A1479" s="812">
        <v>12</v>
      </c>
      <c r="B1479" s="848"/>
      <c r="C1479" s="863" t="s">
        <v>1963</v>
      </c>
      <c r="D1479" s="815" t="s">
        <v>40</v>
      </c>
      <c r="E1479" s="822"/>
      <c r="F1479" s="812"/>
      <c r="G1479" s="812"/>
      <c r="H1479" s="812"/>
      <c r="I1479" s="868">
        <v>1</v>
      </c>
      <c r="J1479" s="869">
        <v>50</v>
      </c>
      <c r="K1479" s="870">
        <f t="shared" si="100"/>
        <v>50</v>
      </c>
    </row>
    <row r="1480" spans="1:11" ht="25.5">
      <c r="A1480" s="812">
        <v>13</v>
      </c>
      <c r="B1480" s="848"/>
      <c r="C1480" s="863" t="s">
        <v>1964</v>
      </c>
      <c r="D1480" s="815" t="s">
        <v>40</v>
      </c>
      <c r="E1480" s="822"/>
      <c r="F1480" s="812"/>
      <c r="G1480" s="812"/>
      <c r="H1480" s="812"/>
      <c r="I1480" s="868">
        <v>1</v>
      </c>
      <c r="J1480" s="869">
        <v>500</v>
      </c>
      <c r="K1480" s="870">
        <f t="shared" si="100"/>
        <v>500</v>
      </c>
    </row>
    <row r="1481" spans="1:11" ht="25.5">
      <c r="A1481" s="812">
        <v>14</v>
      </c>
      <c r="B1481" s="852"/>
      <c r="C1481" s="863" t="s">
        <v>1965</v>
      </c>
      <c r="D1481" s="815" t="s">
        <v>7</v>
      </c>
      <c r="E1481" s="822"/>
      <c r="F1481" s="812"/>
      <c r="G1481" s="812"/>
      <c r="H1481" s="812"/>
      <c r="I1481" s="868">
        <v>70</v>
      </c>
      <c r="J1481" s="869">
        <v>40</v>
      </c>
      <c r="K1481" s="870">
        <f>(E1481+F1481+G1481+H1481+I1481)*J1481</f>
        <v>2800</v>
      </c>
    </row>
    <row r="1482" spans="1:11" ht="25.5">
      <c r="A1482" s="812">
        <v>15</v>
      </c>
      <c r="B1482" s="871" t="s">
        <v>455</v>
      </c>
      <c r="C1482" s="872" t="s">
        <v>1966</v>
      </c>
      <c r="D1482" s="821" t="s">
        <v>40</v>
      </c>
      <c r="E1482" s="822"/>
      <c r="F1482" s="812"/>
      <c r="G1482" s="812"/>
      <c r="H1482" s="812"/>
      <c r="I1482" s="864">
        <v>55</v>
      </c>
      <c r="J1482" s="869">
        <v>200</v>
      </c>
      <c r="K1482" s="866">
        <f>(E1482+F1482+G1482+H1482+I1482)*J1482</f>
        <v>11000</v>
      </c>
    </row>
    <row r="1483" spans="1:11">
      <c r="A1483" s="812">
        <v>16</v>
      </c>
      <c r="B1483" s="873" t="s">
        <v>677</v>
      </c>
      <c r="C1483" s="872" t="s">
        <v>1967</v>
      </c>
      <c r="D1483" s="815" t="s">
        <v>40</v>
      </c>
      <c r="E1483" s="822"/>
      <c r="F1483" s="812"/>
      <c r="G1483" s="812"/>
      <c r="H1483" s="812"/>
      <c r="I1483" s="868">
        <v>1</v>
      </c>
      <c r="J1483" s="869">
        <v>5000</v>
      </c>
      <c r="K1483" s="870">
        <f t="shared" si="100"/>
        <v>5000</v>
      </c>
    </row>
    <row r="1484" spans="1:11">
      <c r="A1484" s="103"/>
      <c r="B1484" s="103"/>
      <c r="C1484" s="103"/>
      <c r="D1484" s="103"/>
      <c r="E1484" s="103"/>
      <c r="F1484" s="103"/>
      <c r="G1484" s="103"/>
      <c r="H1484" s="103"/>
      <c r="I1484" s="103"/>
      <c r="J1484" s="103"/>
      <c r="K1484" s="103">
        <f>SUM(K1348:K1483)</f>
        <v>3778984.6180899995</v>
      </c>
    </row>
    <row r="1485" spans="1:11">
      <c r="A1485" s="103"/>
      <c r="B1485" s="103"/>
      <c r="C1485" s="103"/>
      <c r="D1485" s="103"/>
      <c r="E1485" s="103"/>
      <c r="F1485" s="103"/>
      <c r="G1485" s="103"/>
      <c r="H1485" s="103"/>
      <c r="I1485" s="103"/>
      <c r="J1485" s="103"/>
      <c r="K1485" s="103"/>
    </row>
    <row r="1486" spans="1:11">
      <c r="A1486" s="103"/>
      <c r="B1486" s="103"/>
      <c r="C1486" s="103"/>
      <c r="D1486" s="103"/>
      <c r="E1486" s="103"/>
      <c r="F1486" s="103"/>
      <c r="G1486" s="103"/>
      <c r="H1486" s="103"/>
      <c r="I1486" s="103"/>
      <c r="J1486" s="103"/>
      <c r="K1486" s="103"/>
    </row>
    <row r="1487" spans="1:11">
      <c r="A1487" s="103"/>
      <c r="B1487" s="103"/>
      <c r="C1487" s="103" t="s">
        <v>519</v>
      </c>
      <c r="D1487" s="103"/>
      <c r="E1487" s="103"/>
      <c r="F1487" s="103" t="s">
        <v>520</v>
      </c>
      <c r="G1487" s="103"/>
      <c r="H1487" s="103"/>
      <c r="I1487" s="103"/>
      <c r="J1487" s="103" t="s">
        <v>521</v>
      </c>
      <c r="K1487" s="103"/>
    </row>
    <row r="1488" spans="1:11">
      <c r="A1488" s="103"/>
      <c r="B1488" s="103"/>
      <c r="C1488" s="103" t="s">
        <v>1968</v>
      </c>
      <c r="D1488" s="103"/>
      <c r="E1488" s="103"/>
      <c r="F1488" s="103" t="s">
        <v>1969</v>
      </c>
      <c r="G1488" s="103"/>
      <c r="H1488" s="103"/>
      <c r="I1488" s="874" t="s">
        <v>1970</v>
      </c>
      <c r="J1488" s="800"/>
      <c r="K1488" s="800"/>
    </row>
    <row r="1489" spans="1:11">
      <c r="A1489" s="103"/>
      <c r="B1489" s="103"/>
      <c r="C1489" s="103"/>
      <c r="D1489" s="103"/>
      <c r="E1489" s="103"/>
      <c r="F1489" s="103"/>
      <c r="G1489" s="103"/>
      <c r="H1489" s="103"/>
      <c r="I1489" s="103"/>
      <c r="J1489" s="103"/>
      <c r="K1489" s="103"/>
    </row>
    <row r="1496" spans="1:11" ht="18.75">
      <c r="A1496" s="875" t="s">
        <v>1971</v>
      </c>
      <c r="B1496" s="875"/>
      <c r="C1496" s="875"/>
      <c r="D1496" s="875"/>
      <c r="E1496" s="875"/>
      <c r="F1496" s="875"/>
      <c r="G1496" s="875"/>
      <c r="H1496" s="875"/>
      <c r="I1496" s="875"/>
      <c r="J1496" s="875"/>
      <c r="K1496" s="875"/>
    </row>
    <row r="1497" spans="1:11" ht="18.75">
      <c r="A1497" s="876" t="s">
        <v>1972</v>
      </c>
      <c r="B1497" s="876"/>
      <c r="C1497" s="876"/>
      <c r="D1497" s="876"/>
      <c r="E1497" s="876"/>
      <c r="F1497" s="876"/>
      <c r="G1497" s="876"/>
      <c r="H1497" s="876"/>
      <c r="I1497" s="876"/>
      <c r="J1497" s="876"/>
      <c r="K1497" s="876"/>
    </row>
    <row r="1498" spans="1:11" ht="22.5">
      <c r="A1498" s="877" t="s">
        <v>1973</v>
      </c>
      <c r="B1498" s="877"/>
      <c r="C1498" s="877"/>
      <c r="D1498" s="877"/>
      <c r="E1498" s="877"/>
      <c r="F1498" s="877"/>
      <c r="G1498" s="877"/>
      <c r="H1498" s="877"/>
      <c r="I1498" s="877"/>
      <c r="J1498" s="877"/>
      <c r="K1498" s="877"/>
    </row>
    <row r="1499" spans="1:11" ht="16.5">
      <c r="A1499" s="878" t="s">
        <v>927</v>
      </c>
      <c r="B1499" s="879" t="s">
        <v>117</v>
      </c>
      <c r="C1499" s="878" t="s">
        <v>928</v>
      </c>
      <c r="D1499" s="880" t="s">
        <v>119</v>
      </c>
      <c r="E1499" s="93" t="s">
        <v>929</v>
      </c>
      <c r="F1499" s="94"/>
      <c r="G1499" s="94"/>
      <c r="H1499" s="94"/>
      <c r="I1499" s="95"/>
      <c r="J1499" s="86" t="s">
        <v>930</v>
      </c>
      <c r="K1499" s="86" t="s">
        <v>225</v>
      </c>
    </row>
    <row r="1500" spans="1:11" ht="16.5">
      <c r="A1500" s="881"/>
      <c r="B1500" s="882"/>
      <c r="C1500" s="881"/>
      <c r="D1500" s="204"/>
      <c r="E1500" s="205" t="s">
        <v>121</v>
      </c>
      <c r="F1500" s="205" t="s">
        <v>931</v>
      </c>
      <c r="G1500" s="205" t="s">
        <v>1</v>
      </c>
      <c r="H1500" s="205" t="s">
        <v>932</v>
      </c>
      <c r="I1500" s="205" t="s">
        <v>0</v>
      </c>
      <c r="J1500" s="87"/>
      <c r="K1500" s="87"/>
    </row>
    <row r="1501" spans="1:11" ht="16.5">
      <c r="A1501" s="883">
        <v>1</v>
      </c>
      <c r="B1501" s="884" t="s">
        <v>611</v>
      </c>
      <c r="C1501" s="885" t="s">
        <v>1974</v>
      </c>
      <c r="D1501" s="883" t="s">
        <v>67</v>
      </c>
      <c r="E1501" s="883">
        <v>9.8000000000000004E-2</v>
      </c>
      <c r="F1501" s="197"/>
      <c r="G1501" s="197"/>
      <c r="H1501" s="197"/>
      <c r="I1501" s="197"/>
      <c r="J1501" s="886">
        <v>300000</v>
      </c>
      <c r="K1501" s="48">
        <f>E1501*J1501</f>
        <v>29400</v>
      </c>
    </row>
    <row r="1502" spans="1:11" ht="16.5">
      <c r="A1502" s="883">
        <v>2</v>
      </c>
      <c r="B1502" s="884" t="s">
        <v>44</v>
      </c>
      <c r="C1502" s="885" t="s">
        <v>1975</v>
      </c>
      <c r="D1502" s="883" t="s">
        <v>387</v>
      </c>
      <c r="E1502" s="883">
        <v>65</v>
      </c>
      <c r="F1502" s="197"/>
      <c r="G1502" s="197"/>
      <c r="H1502" s="197"/>
      <c r="I1502" s="197"/>
      <c r="J1502" s="886">
        <v>100</v>
      </c>
      <c r="K1502" s="48">
        <f t="shared" ref="K1502:K1565" si="102">E1502*J1502</f>
        <v>6500</v>
      </c>
    </row>
    <row r="1503" spans="1:11" ht="82.5">
      <c r="A1503" s="883">
        <v>3</v>
      </c>
      <c r="B1503" s="884" t="s">
        <v>1976</v>
      </c>
      <c r="C1503" s="887" t="s">
        <v>1977</v>
      </c>
      <c r="D1503" s="883" t="s">
        <v>62</v>
      </c>
      <c r="E1503" s="197">
        <v>1</v>
      </c>
      <c r="F1503" s="197"/>
      <c r="G1503" s="197"/>
      <c r="H1503" s="197"/>
      <c r="I1503" s="197"/>
      <c r="J1503" s="886">
        <v>115109</v>
      </c>
      <c r="K1503" s="48">
        <f t="shared" si="102"/>
        <v>115109</v>
      </c>
    </row>
    <row r="1504" spans="1:11" ht="33">
      <c r="A1504" s="883">
        <v>4</v>
      </c>
      <c r="B1504" s="888" t="s">
        <v>792</v>
      </c>
      <c r="C1504" s="889" t="s">
        <v>1978</v>
      </c>
      <c r="D1504" s="197" t="s">
        <v>359</v>
      </c>
      <c r="E1504" s="197">
        <v>6.5000000000000002E-2</v>
      </c>
      <c r="F1504" s="197"/>
      <c r="G1504" s="197"/>
      <c r="H1504" s="197"/>
      <c r="I1504" s="197"/>
      <c r="J1504" s="890">
        <v>120039.3</v>
      </c>
      <c r="K1504" s="48">
        <f t="shared" si="102"/>
        <v>7802.5545000000002</v>
      </c>
    </row>
    <row r="1505" spans="1:11" ht="33">
      <c r="A1505" s="883">
        <v>5</v>
      </c>
      <c r="B1505" s="888" t="s">
        <v>792</v>
      </c>
      <c r="C1505" s="889" t="s">
        <v>1978</v>
      </c>
      <c r="D1505" s="197" t="s">
        <v>359</v>
      </c>
      <c r="E1505" s="197">
        <v>0.22900000000000001</v>
      </c>
      <c r="F1505" s="197"/>
      <c r="G1505" s="197"/>
      <c r="H1505" s="197"/>
      <c r="I1505" s="197"/>
      <c r="J1505" s="890">
        <v>114793</v>
      </c>
      <c r="K1505" s="48">
        <f t="shared" si="102"/>
        <v>26287.597000000002</v>
      </c>
    </row>
    <row r="1506" spans="1:11" ht="33">
      <c r="A1506" s="883">
        <v>6</v>
      </c>
      <c r="B1506" s="888" t="s">
        <v>1979</v>
      </c>
      <c r="C1506" s="889" t="s">
        <v>1980</v>
      </c>
      <c r="D1506" s="197" t="s">
        <v>359</v>
      </c>
      <c r="E1506" s="197">
        <v>6.5000000000000002E-2</v>
      </c>
      <c r="F1506" s="197"/>
      <c r="G1506" s="197"/>
      <c r="H1506" s="197"/>
      <c r="I1506" s="197"/>
      <c r="J1506" s="890">
        <v>88528</v>
      </c>
      <c r="K1506" s="48">
        <f t="shared" si="102"/>
        <v>5754.3200000000006</v>
      </c>
    </row>
    <row r="1507" spans="1:11" ht="33">
      <c r="A1507" s="883">
        <v>7</v>
      </c>
      <c r="B1507" s="888" t="s">
        <v>1134</v>
      </c>
      <c r="C1507" s="891" t="s">
        <v>1981</v>
      </c>
      <c r="D1507" s="197" t="s">
        <v>46</v>
      </c>
      <c r="E1507" s="197">
        <v>500</v>
      </c>
      <c r="F1507" s="197"/>
      <c r="G1507" s="197"/>
      <c r="H1507" s="197"/>
      <c r="I1507" s="197"/>
      <c r="J1507" s="892">
        <v>100.24</v>
      </c>
      <c r="K1507" s="48">
        <f t="shared" si="102"/>
        <v>50120</v>
      </c>
    </row>
    <row r="1508" spans="1:11" ht="16.5">
      <c r="A1508" s="883">
        <v>8</v>
      </c>
      <c r="B1508" s="893" t="s">
        <v>1982</v>
      </c>
      <c r="C1508" s="894" t="s">
        <v>1983</v>
      </c>
      <c r="D1508" s="197" t="s">
        <v>4</v>
      </c>
      <c r="E1508" s="197">
        <v>2.492</v>
      </c>
      <c r="F1508" s="197"/>
      <c r="G1508" s="197"/>
      <c r="H1508" s="197"/>
      <c r="I1508" s="197"/>
      <c r="J1508" s="895">
        <v>55000</v>
      </c>
      <c r="K1508" s="48">
        <f t="shared" si="102"/>
        <v>137060</v>
      </c>
    </row>
    <row r="1509" spans="1:11" ht="66">
      <c r="A1509" s="883">
        <v>9</v>
      </c>
      <c r="B1509" s="893" t="s">
        <v>1984</v>
      </c>
      <c r="C1509" s="896" t="s">
        <v>1985</v>
      </c>
      <c r="D1509" s="197" t="s">
        <v>4</v>
      </c>
      <c r="E1509" s="197">
        <v>0.84499999999999997</v>
      </c>
      <c r="F1509" s="197"/>
      <c r="G1509" s="197"/>
      <c r="H1509" s="197"/>
      <c r="I1509" s="197"/>
      <c r="J1509" s="895">
        <v>79980</v>
      </c>
      <c r="K1509" s="48">
        <f t="shared" si="102"/>
        <v>67583.099999999991</v>
      </c>
    </row>
    <row r="1510" spans="1:11" ht="16.5">
      <c r="A1510" s="883">
        <v>10</v>
      </c>
      <c r="B1510" s="893" t="s">
        <v>1986</v>
      </c>
      <c r="C1510" s="894" t="s">
        <v>1987</v>
      </c>
      <c r="D1510" s="197" t="s">
        <v>37</v>
      </c>
      <c r="E1510" s="197">
        <v>50</v>
      </c>
      <c r="F1510" s="197"/>
      <c r="G1510" s="197"/>
      <c r="H1510" s="197"/>
      <c r="I1510" s="197"/>
      <c r="J1510" s="895">
        <v>9.5</v>
      </c>
      <c r="K1510" s="48">
        <f t="shared" si="102"/>
        <v>475</v>
      </c>
    </row>
    <row r="1511" spans="1:11" ht="16.5">
      <c r="A1511" s="883">
        <v>11</v>
      </c>
      <c r="B1511" s="893" t="s">
        <v>1988</v>
      </c>
      <c r="C1511" s="894" t="s">
        <v>1989</v>
      </c>
      <c r="D1511" s="197" t="s">
        <v>37</v>
      </c>
      <c r="E1511" s="197">
        <v>964</v>
      </c>
      <c r="F1511" s="197"/>
      <c r="G1511" s="197"/>
      <c r="H1511" s="197"/>
      <c r="I1511" s="197"/>
      <c r="J1511" s="895">
        <v>7</v>
      </c>
      <c r="K1511" s="48">
        <f t="shared" si="102"/>
        <v>6748</v>
      </c>
    </row>
    <row r="1512" spans="1:11" ht="16.5">
      <c r="A1512" s="883">
        <v>12</v>
      </c>
      <c r="B1512" s="893" t="s">
        <v>1990</v>
      </c>
      <c r="C1512" s="897" t="s">
        <v>1991</v>
      </c>
      <c r="D1512" s="197" t="s">
        <v>37</v>
      </c>
      <c r="E1512" s="898">
        <v>91</v>
      </c>
      <c r="F1512" s="197"/>
      <c r="G1512" s="197"/>
      <c r="H1512" s="197"/>
      <c r="I1512" s="197"/>
      <c r="J1512" s="895">
        <v>3</v>
      </c>
      <c r="K1512" s="48">
        <f t="shared" si="102"/>
        <v>273</v>
      </c>
    </row>
    <row r="1513" spans="1:11" ht="16.5">
      <c r="A1513" s="883">
        <v>13</v>
      </c>
      <c r="B1513" s="893" t="s">
        <v>1992</v>
      </c>
      <c r="C1513" s="894" t="s">
        <v>1993</v>
      </c>
      <c r="D1513" s="197" t="s">
        <v>1093</v>
      </c>
      <c r="E1513" s="197">
        <v>141.9</v>
      </c>
      <c r="F1513" s="197"/>
      <c r="G1513" s="197"/>
      <c r="H1513" s="197"/>
      <c r="I1513" s="197"/>
      <c r="J1513" s="895">
        <v>30</v>
      </c>
      <c r="K1513" s="48">
        <f t="shared" si="102"/>
        <v>4257</v>
      </c>
    </row>
    <row r="1514" spans="1:11" ht="16.5">
      <c r="A1514" s="883">
        <v>14</v>
      </c>
      <c r="B1514" s="893" t="s">
        <v>1994</v>
      </c>
      <c r="C1514" s="894" t="s">
        <v>1995</v>
      </c>
      <c r="D1514" s="197" t="s">
        <v>387</v>
      </c>
      <c r="E1514" s="197">
        <v>37</v>
      </c>
      <c r="F1514" s="197"/>
      <c r="G1514" s="197"/>
      <c r="H1514" s="197"/>
      <c r="I1514" s="197"/>
      <c r="J1514" s="895">
        <v>15</v>
      </c>
      <c r="K1514" s="48">
        <f t="shared" si="102"/>
        <v>555</v>
      </c>
    </row>
    <row r="1515" spans="1:11" ht="33">
      <c r="A1515" s="883">
        <v>15</v>
      </c>
      <c r="B1515" s="893" t="s">
        <v>1996</v>
      </c>
      <c r="C1515" s="891" t="s">
        <v>1997</v>
      </c>
      <c r="D1515" s="894" t="s">
        <v>40</v>
      </c>
      <c r="E1515" s="197">
        <v>7</v>
      </c>
      <c r="F1515" s="197"/>
      <c r="G1515" s="197"/>
      <c r="H1515" s="197"/>
      <c r="I1515" s="197"/>
      <c r="J1515" s="895">
        <v>5788.5</v>
      </c>
      <c r="K1515" s="48">
        <f t="shared" si="102"/>
        <v>40519.5</v>
      </c>
    </row>
    <row r="1516" spans="1:11" ht="16.5">
      <c r="A1516" s="883">
        <v>16</v>
      </c>
      <c r="B1516" s="893" t="s">
        <v>1998</v>
      </c>
      <c r="C1516" s="891" t="s">
        <v>1999</v>
      </c>
      <c r="D1516" s="894" t="s">
        <v>40</v>
      </c>
      <c r="E1516" s="197">
        <v>4</v>
      </c>
      <c r="F1516" s="197"/>
      <c r="G1516" s="197"/>
      <c r="H1516" s="197"/>
      <c r="I1516" s="197"/>
      <c r="J1516" s="895">
        <v>3206.38</v>
      </c>
      <c r="K1516" s="48">
        <f t="shared" si="102"/>
        <v>12825.52</v>
      </c>
    </row>
    <row r="1517" spans="1:11" ht="16.5">
      <c r="A1517" s="883">
        <v>17</v>
      </c>
      <c r="B1517" s="893" t="s">
        <v>2000</v>
      </c>
      <c r="C1517" s="891" t="s">
        <v>2001</v>
      </c>
      <c r="D1517" s="894" t="s">
        <v>40</v>
      </c>
      <c r="E1517" s="197">
        <v>5</v>
      </c>
      <c r="F1517" s="197"/>
      <c r="G1517" s="197"/>
      <c r="H1517" s="197"/>
      <c r="I1517" s="197"/>
      <c r="J1517" s="895">
        <v>3700</v>
      </c>
      <c r="K1517" s="48">
        <f t="shared" si="102"/>
        <v>18500</v>
      </c>
    </row>
    <row r="1518" spans="1:11" ht="49.5">
      <c r="A1518" s="883">
        <v>18</v>
      </c>
      <c r="B1518" s="893" t="s">
        <v>2002</v>
      </c>
      <c r="C1518" s="891" t="s">
        <v>2003</v>
      </c>
      <c r="D1518" s="894" t="s">
        <v>37</v>
      </c>
      <c r="E1518" s="197">
        <v>6</v>
      </c>
      <c r="F1518" s="197"/>
      <c r="G1518" s="197"/>
      <c r="H1518" s="197"/>
      <c r="I1518" s="197"/>
      <c r="J1518" s="895">
        <v>500</v>
      </c>
      <c r="K1518" s="48">
        <f t="shared" si="102"/>
        <v>3000</v>
      </c>
    </row>
    <row r="1519" spans="1:11" ht="82.5">
      <c r="A1519" s="883">
        <v>19</v>
      </c>
      <c r="B1519" s="893" t="s">
        <v>2004</v>
      </c>
      <c r="C1519" s="891" t="s">
        <v>2005</v>
      </c>
      <c r="D1519" s="894" t="s">
        <v>37</v>
      </c>
      <c r="E1519" s="197">
        <v>11</v>
      </c>
      <c r="F1519" s="197"/>
      <c r="G1519" s="197"/>
      <c r="H1519" s="197"/>
      <c r="I1519" s="197"/>
      <c r="J1519" s="895">
        <v>1163.3800000000001</v>
      </c>
      <c r="K1519" s="48">
        <f t="shared" si="102"/>
        <v>12797.18</v>
      </c>
    </row>
    <row r="1520" spans="1:11" ht="33">
      <c r="A1520" s="883">
        <v>20</v>
      </c>
      <c r="B1520" s="888" t="s">
        <v>638</v>
      </c>
      <c r="C1520" s="891" t="s">
        <v>2006</v>
      </c>
      <c r="D1520" s="197" t="s">
        <v>37</v>
      </c>
      <c r="E1520" s="197">
        <v>2</v>
      </c>
      <c r="F1520" s="197"/>
      <c r="G1520" s="197"/>
      <c r="H1520" s="197"/>
      <c r="I1520" s="197"/>
      <c r="J1520" s="895">
        <v>1190.6199999999999</v>
      </c>
      <c r="K1520" s="48">
        <f t="shared" si="102"/>
        <v>2381.2399999999998</v>
      </c>
    </row>
    <row r="1521" spans="1:11" ht="49.5">
      <c r="A1521" s="883">
        <v>21</v>
      </c>
      <c r="B1521" s="888" t="s">
        <v>638</v>
      </c>
      <c r="C1521" s="889" t="s">
        <v>2007</v>
      </c>
      <c r="D1521" s="197" t="s">
        <v>37</v>
      </c>
      <c r="E1521" s="197">
        <v>9</v>
      </c>
      <c r="F1521" s="197"/>
      <c r="G1521" s="197"/>
      <c r="H1521" s="197"/>
      <c r="I1521" s="197"/>
      <c r="J1521" s="895">
        <v>350</v>
      </c>
      <c r="K1521" s="48">
        <f t="shared" si="102"/>
        <v>3150</v>
      </c>
    </row>
    <row r="1522" spans="1:11" ht="33">
      <c r="A1522" s="883">
        <v>22</v>
      </c>
      <c r="B1522" s="888" t="s">
        <v>558</v>
      </c>
      <c r="C1522" s="891" t="s">
        <v>2008</v>
      </c>
      <c r="D1522" s="197" t="s">
        <v>37</v>
      </c>
      <c r="E1522" s="197">
        <v>4</v>
      </c>
      <c r="F1522" s="197"/>
      <c r="G1522" s="197"/>
      <c r="H1522" s="197"/>
      <c r="I1522" s="197"/>
      <c r="J1522" s="895">
        <v>220</v>
      </c>
      <c r="K1522" s="48">
        <f t="shared" si="102"/>
        <v>880</v>
      </c>
    </row>
    <row r="1523" spans="1:11" ht="33">
      <c r="A1523" s="883">
        <v>23</v>
      </c>
      <c r="B1523" s="888" t="s">
        <v>560</v>
      </c>
      <c r="C1523" s="891" t="s">
        <v>2009</v>
      </c>
      <c r="D1523" s="197" t="s">
        <v>37</v>
      </c>
      <c r="E1523" s="197">
        <v>17</v>
      </c>
      <c r="F1523" s="197"/>
      <c r="G1523" s="197"/>
      <c r="H1523" s="197"/>
      <c r="I1523" s="197"/>
      <c r="J1523" s="895">
        <v>500</v>
      </c>
      <c r="K1523" s="48">
        <f t="shared" si="102"/>
        <v>8500</v>
      </c>
    </row>
    <row r="1524" spans="1:11" ht="49.5">
      <c r="A1524" s="883">
        <v>24</v>
      </c>
      <c r="B1524" s="888" t="s">
        <v>560</v>
      </c>
      <c r="C1524" s="891" t="s">
        <v>2010</v>
      </c>
      <c r="D1524" s="197" t="s">
        <v>37</v>
      </c>
      <c r="E1524" s="197">
        <v>10</v>
      </c>
      <c r="F1524" s="197"/>
      <c r="G1524" s="197"/>
      <c r="H1524" s="197"/>
      <c r="I1524" s="197"/>
      <c r="J1524" s="895">
        <v>300</v>
      </c>
      <c r="K1524" s="48">
        <f t="shared" si="102"/>
        <v>3000</v>
      </c>
    </row>
    <row r="1525" spans="1:11" ht="49.5">
      <c r="A1525" s="883">
        <v>25</v>
      </c>
      <c r="B1525" s="888" t="s">
        <v>830</v>
      </c>
      <c r="C1525" s="891" t="s">
        <v>2011</v>
      </c>
      <c r="D1525" s="197" t="s">
        <v>37</v>
      </c>
      <c r="E1525" s="197">
        <v>9</v>
      </c>
      <c r="F1525" s="197"/>
      <c r="G1525" s="197"/>
      <c r="H1525" s="197"/>
      <c r="I1525" s="197"/>
      <c r="J1525" s="895">
        <v>709.37</v>
      </c>
      <c r="K1525" s="48">
        <f t="shared" si="102"/>
        <v>6384.33</v>
      </c>
    </row>
    <row r="1526" spans="1:11" ht="33">
      <c r="A1526" s="883">
        <v>26</v>
      </c>
      <c r="B1526" s="888" t="s">
        <v>2012</v>
      </c>
      <c r="C1526" s="891" t="s">
        <v>2013</v>
      </c>
      <c r="D1526" s="197" t="s">
        <v>37</v>
      </c>
      <c r="E1526" s="197">
        <v>7</v>
      </c>
      <c r="F1526" s="197"/>
      <c r="G1526" s="197"/>
      <c r="H1526" s="197"/>
      <c r="I1526" s="197"/>
      <c r="J1526" s="895">
        <v>1100.95</v>
      </c>
      <c r="K1526" s="48">
        <f t="shared" si="102"/>
        <v>7706.6500000000005</v>
      </c>
    </row>
    <row r="1527" spans="1:11" ht="49.5">
      <c r="A1527" s="883">
        <v>27</v>
      </c>
      <c r="B1527" s="888" t="s">
        <v>2014</v>
      </c>
      <c r="C1527" s="891" t="s">
        <v>2015</v>
      </c>
      <c r="D1527" s="197" t="s">
        <v>37</v>
      </c>
      <c r="E1527" s="197">
        <v>5</v>
      </c>
      <c r="F1527" s="197"/>
      <c r="G1527" s="197"/>
      <c r="H1527" s="197"/>
      <c r="I1527" s="197"/>
      <c r="J1527" s="895">
        <v>698</v>
      </c>
      <c r="K1527" s="48">
        <f t="shared" si="102"/>
        <v>3490</v>
      </c>
    </row>
    <row r="1528" spans="1:11" ht="66">
      <c r="A1528" s="883">
        <v>28</v>
      </c>
      <c r="B1528" s="893" t="s">
        <v>2016</v>
      </c>
      <c r="C1528" s="891" t="s">
        <v>2017</v>
      </c>
      <c r="D1528" s="197" t="s">
        <v>37</v>
      </c>
      <c r="E1528" s="898">
        <v>6</v>
      </c>
      <c r="F1528" s="197"/>
      <c r="G1528" s="197"/>
      <c r="H1528" s="197"/>
      <c r="I1528" s="197"/>
      <c r="J1528" s="895">
        <v>3229.08</v>
      </c>
      <c r="K1528" s="48">
        <f t="shared" si="102"/>
        <v>19374.48</v>
      </c>
    </row>
    <row r="1529" spans="1:11" ht="49.5">
      <c r="A1529" s="883">
        <v>29</v>
      </c>
      <c r="B1529" s="893" t="s">
        <v>2018</v>
      </c>
      <c r="C1529" s="891" t="s">
        <v>2019</v>
      </c>
      <c r="D1529" s="197" t="s">
        <v>37</v>
      </c>
      <c r="E1529" s="197">
        <v>4</v>
      </c>
      <c r="F1529" s="197"/>
      <c r="G1529" s="197"/>
      <c r="H1529" s="197"/>
      <c r="I1529" s="197"/>
      <c r="J1529" s="895">
        <v>3405</v>
      </c>
      <c r="K1529" s="48">
        <f t="shared" si="102"/>
        <v>13620</v>
      </c>
    </row>
    <row r="1530" spans="1:11" ht="33">
      <c r="A1530" s="883">
        <v>30</v>
      </c>
      <c r="B1530" s="893" t="s">
        <v>2020</v>
      </c>
      <c r="C1530" s="891" t="s">
        <v>2021</v>
      </c>
      <c r="D1530" s="197" t="s">
        <v>37</v>
      </c>
      <c r="E1530" s="197">
        <v>4</v>
      </c>
      <c r="F1530" s="197"/>
      <c r="G1530" s="197"/>
      <c r="H1530" s="197"/>
      <c r="I1530" s="197"/>
      <c r="J1530" s="895">
        <v>1350</v>
      </c>
      <c r="K1530" s="48">
        <f t="shared" si="102"/>
        <v>5400</v>
      </c>
    </row>
    <row r="1531" spans="1:11" ht="33">
      <c r="A1531" s="883">
        <v>31</v>
      </c>
      <c r="B1531" s="893" t="s">
        <v>2020</v>
      </c>
      <c r="C1531" s="891" t="s">
        <v>2021</v>
      </c>
      <c r="D1531" s="197" t="s">
        <v>37</v>
      </c>
      <c r="E1531" s="197">
        <v>6</v>
      </c>
      <c r="F1531" s="197"/>
      <c r="G1531" s="197"/>
      <c r="H1531" s="197"/>
      <c r="I1531" s="197"/>
      <c r="J1531" s="895">
        <v>3178</v>
      </c>
      <c r="K1531" s="48">
        <f t="shared" si="102"/>
        <v>19068</v>
      </c>
    </row>
    <row r="1532" spans="1:11" ht="49.5">
      <c r="A1532" s="883">
        <v>32</v>
      </c>
      <c r="B1532" s="893" t="s">
        <v>2020</v>
      </c>
      <c r="C1532" s="891" t="s">
        <v>2022</v>
      </c>
      <c r="D1532" s="197" t="s">
        <v>37</v>
      </c>
      <c r="E1532" s="197">
        <v>6</v>
      </c>
      <c r="F1532" s="197"/>
      <c r="G1532" s="197"/>
      <c r="H1532" s="197"/>
      <c r="I1532" s="197"/>
      <c r="J1532" s="895">
        <v>1500</v>
      </c>
      <c r="K1532" s="48">
        <f t="shared" si="102"/>
        <v>9000</v>
      </c>
    </row>
    <row r="1533" spans="1:11" ht="45">
      <c r="A1533" s="883">
        <v>33</v>
      </c>
      <c r="B1533" s="888" t="s">
        <v>2023</v>
      </c>
      <c r="C1533" s="899" t="s">
        <v>2024</v>
      </c>
      <c r="D1533" s="900" t="s">
        <v>37</v>
      </c>
      <c r="E1533" s="197">
        <v>2</v>
      </c>
      <c r="F1533" s="197"/>
      <c r="G1533" s="197"/>
      <c r="H1533" s="197"/>
      <c r="I1533" s="197"/>
      <c r="J1533" s="895">
        <v>4653.5</v>
      </c>
      <c r="K1533" s="48">
        <f t="shared" si="102"/>
        <v>9307</v>
      </c>
    </row>
    <row r="1534" spans="1:11" ht="45">
      <c r="A1534" s="883">
        <v>34</v>
      </c>
      <c r="B1534" s="888" t="s">
        <v>2023</v>
      </c>
      <c r="C1534" s="901" t="s">
        <v>2025</v>
      </c>
      <c r="D1534" s="900" t="s">
        <v>37</v>
      </c>
      <c r="E1534" s="197">
        <v>2</v>
      </c>
      <c r="F1534" s="197"/>
      <c r="G1534" s="197"/>
      <c r="H1534" s="197"/>
      <c r="I1534" s="197"/>
      <c r="J1534" s="895">
        <v>5221</v>
      </c>
      <c r="K1534" s="48">
        <f t="shared" si="102"/>
        <v>10442</v>
      </c>
    </row>
    <row r="1535" spans="1:11" ht="30">
      <c r="A1535" s="883">
        <v>35</v>
      </c>
      <c r="B1535" s="888" t="s">
        <v>2026</v>
      </c>
      <c r="C1535" s="901" t="s">
        <v>2027</v>
      </c>
      <c r="D1535" s="900" t="s">
        <v>37</v>
      </c>
      <c r="E1535" s="197">
        <v>3</v>
      </c>
      <c r="F1535" s="197"/>
      <c r="G1535" s="197"/>
      <c r="H1535" s="197"/>
      <c r="I1535" s="197"/>
      <c r="J1535" s="895">
        <v>3961.15</v>
      </c>
      <c r="K1535" s="48">
        <f t="shared" si="102"/>
        <v>11883.45</v>
      </c>
    </row>
    <row r="1536" spans="1:11" ht="16.5">
      <c r="A1536" s="883">
        <v>36</v>
      </c>
      <c r="B1536" s="888" t="s">
        <v>2026</v>
      </c>
      <c r="C1536" s="901" t="s">
        <v>2028</v>
      </c>
      <c r="D1536" s="900" t="s">
        <v>37</v>
      </c>
      <c r="E1536" s="197">
        <v>2</v>
      </c>
      <c r="F1536" s="197"/>
      <c r="G1536" s="197"/>
      <c r="H1536" s="197"/>
      <c r="I1536" s="197"/>
      <c r="J1536" s="895">
        <v>6787.3</v>
      </c>
      <c r="K1536" s="48">
        <f t="shared" si="102"/>
        <v>13574.6</v>
      </c>
    </row>
    <row r="1537" spans="1:11" ht="30">
      <c r="A1537" s="883">
        <v>37</v>
      </c>
      <c r="B1537" s="888" t="s">
        <v>2026</v>
      </c>
      <c r="C1537" s="901" t="s">
        <v>2029</v>
      </c>
      <c r="D1537" s="900" t="s">
        <v>37</v>
      </c>
      <c r="E1537" s="197">
        <v>1</v>
      </c>
      <c r="F1537" s="197"/>
      <c r="G1537" s="197"/>
      <c r="H1537" s="197"/>
      <c r="I1537" s="197"/>
      <c r="J1537" s="895">
        <v>5003.2</v>
      </c>
      <c r="K1537" s="48">
        <f t="shared" si="102"/>
        <v>5003.2</v>
      </c>
    </row>
    <row r="1538" spans="1:11" ht="33">
      <c r="A1538" s="883">
        <v>38</v>
      </c>
      <c r="B1538" s="888" t="s">
        <v>2030</v>
      </c>
      <c r="C1538" s="891" t="s">
        <v>2031</v>
      </c>
      <c r="D1538" s="900" t="s">
        <v>37</v>
      </c>
      <c r="E1538" s="197">
        <v>5</v>
      </c>
      <c r="F1538" s="197"/>
      <c r="G1538" s="197"/>
      <c r="H1538" s="197"/>
      <c r="I1538" s="197"/>
      <c r="J1538" s="895">
        <v>3961.15</v>
      </c>
      <c r="K1538" s="48">
        <f t="shared" si="102"/>
        <v>19805.75</v>
      </c>
    </row>
    <row r="1539" spans="1:11" ht="33">
      <c r="A1539" s="883">
        <v>39</v>
      </c>
      <c r="B1539" s="888" t="s">
        <v>2030</v>
      </c>
      <c r="C1539" s="891" t="s">
        <v>2032</v>
      </c>
      <c r="D1539" s="900" t="s">
        <v>37</v>
      </c>
      <c r="E1539" s="197">
        <v>3</v>
      </c>
      <c r="F1539" s="197"/>
      <c r="G1539" s="197"/>
      <c r="H1539" s="197"/>
      <c r="I1539" s="197"/>
      <c r="J1539" s="895">
        <v>6804.33</v>
      </c>
      <c r="K1539" s="48">
        <f t="shared" si="102"/>
        <v>20412.989999999998</v>
      </c>
    </row>
    <row r="1540" spans="1:11" ht="60">
      <c r="A1540" s="883">
        <v>40</v>
      </c>
      <c r="B1540" s="888" t="s">
        <v>2033</v>
      </c>
      <c r="C1540" s="899" t="s">
        <v>2034</v>
      </c>
      <c r="D1540" s="900" t="s">
        <v>37</v>
      </c>
      <c r="E1540" s="197">
        <v>1</v>
      </c>
      <c r="F1540" s="197"/>
      <c r="G1540" s="197"/>
      <c r="H1540" s="197"/>
      <c r="I1540" s="197"/>
      <c r="J1540" s="895">
        <v>30645</v>
      </c>
      <c r="K1540" s="48">
        <f t="shared" si="102"/>
        <v>30645</v>
      </c>
    </row>
    <row r="1541" spans="1:11" ht="49.5">
      <c r="A1541" s="883">
        <v>41</v>
      </c>
      <c r="B1541" s="888" t="s">
        <v>42</v>
      </c>
      <c r="C1541" s="889" t="s">
        <v>2035</v>
      </c>
      <c r="D1541" s="197" t="s">
        <v>37</v>
      </c>
      <c r="E1541" s="197">
        <v>1</v>
      </c>
      <c r="F1541" s="197"/>
      <c r="G1541" s="197"/>
      <c r="H1541" s="197"/>
      <c r="I1541" s="197"/>
      <c r="J1541" s="895">
        <v>20001</v>
      </c>
      <c r="K1541" s="48">
        <f t="shared" si="102"/>
        <v>20001</v>
      </c>
    </row>
    <row r="1542" spans="1:11" ht="33">
      <c r="A1542" s="883">
        <v>42</v>
      </c>
      <c r="B1542" s="888" t="s">
        <v>2036</v>
      </c>
      <c r="C1542" s="902" t="s">
        <v>2037</v>
      </c>
      <c r="D1542" s="197" t="s">
        <v>37</v>
      </c>
      <c r="E1542" s="197">
        <v>2</v>
      </c>
      <c r="F1542" s="197"/>
      <c r="G1542" s="197"/>
      <c r="H1542" s="197"/>
      <c r="I1542" s="197"/>
      <c r="J1542" s="895">
        <v>11782.3</v>
      </c>
      <c r="K1542" s="48">
        <f t="shared" si="102"/>
        <v>23564.6</v>
      </c>
    </row>
    <row r="1543" spans="1:11" ht="30">
      <c r="A1543" s="883">
        <v>43</v>
      </c>
      <c r="B1543" s="893" t="s">
        <v>2038</v>
      </c>
      <c r="C1543" s="903" t="s">
        <v>2039</v>
      </c>
      <c r="D1543" s="904" t="s">
        <v>206</v>
      </c>
      <c r="E1543" s="883">
        <v>1</v>
      </c>
      <c r="F1543" s="197"/>
      <c r="G1543" s="197"/>
      <c r="H1543" s="197"/>
      <c r="I1543" s="197"/>
      <c r="J1543" s="895">
        <v>2944.1</v>
      </c>
      <c r="K1543" s="48">
        <f t="shared" si="102"/>
        <v>2944.1</v>
      </c>
    </row>
    <row r="1544" spans="1:11" ht="16.5">
      <c r="A1544" s="883">
        <v>44</v>
      </c>
      <c r="B1544" s="893" t="s">
        <v>2040</v>
      </c>
      <c r="C1544" s="905" t="s">
        <v>2041</v>
      </c>
      <c r="D1544" s="904" t="s">
        <v>206</v>
      </c>
      <c r="E1544" s="197">
        <v>2</v>
      </c>
      <c r="F1544" s="197"/>
      <c r="G1544" s="197"/>
      <c r="H1544" s="197"/>
      <c r="I1544" s="197"/>
      <c r="J1544" s="895">
        <v>5835.1</v>
      </c>
      <c r="K1544" s="48">
        <f t="shared" si="102"/>
        <v>11670.2</v>
      </c>
    </row>
    <row r="1545" spans="1:11" ht="16.5">
      <c r="A1545" s="883">
        <v>45</v>
      </c>
      <c r="B1545" s="893" t="s">
        <v>800</v>
      </c>
      <c r="C1545" s="905" t="s">
        <v>2042</v>
      </c>
      <c r="D1545" s="904" t="s">
        <v>206</v>
      </c>
      <c r="E1545" s="197">
        <v>3</v>
      </c>
      <c r="F1545" s="197"/>
      <c r="G1545" s="197"/>
      <c r="H1545" s="197"/>
      <c r="I1545" s="197"/>
      <c r="J1545" s="895">
        <v>5835.1</v>
      </c>
      <c r="K1545" s="48">
        <f t="shared" si="102"/>
        <v>17505.300000000003</v>
      </c>
    </row>
    <row r="1546" spans="1:11" ht="16.5">
      <c r="A1546" s="883">
        <v>46</v>
      </c>
      <c r="B1546" s="893" t="s">
        <v>2043</v>
      </c>
      <c r="C1546" s="905" t="s">
        <v>2044</v>
      </c>
      <c r="D1546" s="904" t="s">
        <v>206</v>
      </c>
      <c r="E1546" s="906">
        <v>1</v>
      </c>
      <c r="F1546" s="197"/>
      <c r="G1546" s="197"/>
      <c r="H1546" s="197"/>
      <c r="I1546" s="197"/>
      <c r="J1546" s="138">
        <v>5245.1</v>
      </c>
      <c r="K1546" s="48">
        <f t="shared" si="102"/>
        <v>5245.1</v>
      </c>
    </row>
    <row r="1547" spans="1:11" ht="49.5">
      <c r="A1547" s="883">
        <v>47</v>
      </c>
      <c r="B1547" s="893" t="s">
        <v>2045</v>
      </c>
      <c r="C1547" s="907" t="s">
        <v>2046</v>
      </c>
      <c r="D1547" s="904" t="s">
        <v>206</v>
      </c>
      <c r="E1547" s="908">
        <v>1</v>
      </c>
      <c r="F1547" s="197"/>
      <c r="G1547" s="197"/>
      <c r="H1547" s="197"/>
      <c r="I1547" s="197"/>
      <c r="J1547" s="895">
        <v>7706.65</v>
      </c>
      <c r="K1547" s="48">
        <f t="shared" si="102"/>
        <v>7706.65</v>
      </c>
    </row>
    <row r="1548" spans="1:11" ht="16.5">
      <c r="A1548" s="883">
        <v>48</v>
      </c>
      <c r="B1548" s="893"/>
      <c r="C1548" s="899" t="s">
        <v>2047</v>
      </c>
      <c r="D1548" s="904" t="s">
        <v>206</v>
      </c>
      <c r="E1548" s="197">
        <v>1</v>
      </c>
      <c r="F1548" s="197"/>
      <c r="G1548" s="197"/>
      <c r="H1548" s="197"/>
      <c r="I1548" s="197"/>
      <c r="J1548" s="895">
        <v>10215</v>
      </c>
      <c r="K1548" s="48">
        <f t="shared" si="102"/>
        <v>10215</v>
      </c>
    </row>
    <row r="1549" spans="1:11" ht="33">
      <c r="A1549" s="883">
        <v>49</v>
      </c>
      <c r="B1549" s="909" t="s">
        <v>2048</v>
      </c>
      <c r="C1549" s="899" t="s">
        <v>2049</v>
      </c>
      <c r="D1549" s="910" t="s">
        <v>387</v>
      </c>
      <c r="E1549" s="906">
        <v>20</v>
      </c>
      <c r="F1549" s="197"/>
      <c r="G1549" s="197"/>
      <c r="H1549" s="197"/>
      <c r="I1549" s="197"/>
      <c r="J1549" s="895">
        <v>3972</v>
      </c>
      <c r="K1549" s="48">
        <f t="shared" si="102"/>
        <v>79440</v>
      </c>
    </row>
    <row r="1550" spans="1:11" ht="49.5">
      <c r="A1550" s="883">
        <v>50</v>
      </c>
      <c r="B1550" s="909" t="s">
        <v>2050</v>
      </c>
      <c r="C1550" s="907" t="s">
        <v>2051</v>
      </c>
      <c r="D1550" s="911" t="s">
        <v>206</v>
      </c>
      <c r="E1550" s="908">
        <v>2</v>
      </c>
      <c r="F1550" s="197"/>
      <c r="G1550" s="197"/>
      <c r="H1550" s="197"/>
      <c r="I1550" s="197"/>
      <c r="J1550" s="895">
        <v>5675</v>
      </c>
      <c r="K1550" s="48">
        <f t="shared" si="102"/>
        <v>11350</v>
      </c>
    </row>
    <row r="1551" spans="1:11" ht="33">
      <c r="A1551" s="883">
        <v>51</v>
      </c>
      <c r="B1551" s="912" t="s">
        <v>1336</v>
      </c>
      <c r="C1551" s="907" t="s">
        <v>2052</v>
      </c>
      <c r="D1551" s="911" t="s">
        <v>206</v>
      </c>
      <c r="E1551" s="908">
        <v>10</v>
      </c>
      <c r="F1551" s="197"/>
      <c r="G1551" s="197"/>
      <c r="H1551" s="197"/>
      <c r="I1551" s="197"/>
      <c r="J1551" s="895">
        <v>7945</v>
      </c>
      <c r="K1551" s="48">
        <f t="shared" si="102"/>
        <v>79450</v>
      </c>
    </row>
    <row r="1552" spans="1:11" ht="30">
      <c r="A1552" s="883">
        <v>52</v>
      </c>
      <c r="B1552" s="913" t="s">
        <v>2053</v>
      </c>
      <c r="C1552" s="899" t="s">
        <v>2054</v>
      </c>
      <c r="D1552" s="223" t="s">
        <v>2055</v>
      </c>
      <c r="E1552" s="908">
        <v>5.28</v>
      </c>
      <c r="F1552" s="197"/>
      <c r="G1552" s="197"/>
      <c r="H1552" s="197"/>
      <c r="I1552" s="197"/>
      <c r="J1552" s="895">
        <v>2542.4</v>
      </c>
      <c r="K1552" s="48">
        <f t="shared" si="102"/>
        <v>13423.872000000001</v>
      </c>
    </row>
    <row r="1553" spans="1:11" ht="30">
      <c r="A1553" s="883">
        <v>53</v>
      </c>
      <c r="B1553" s="913" t="s">
        <v>2056</v>
      </c>
      <c r="C1553" s="899" t="s">
        <v>2057</v>
      </c>
      <c r="D1553" s="223" t="s">
        <v>2055</v>
      </c>
      <c r="E1553" s="908">
        <v>7.7</v>
      </c>
      <c r="F1553" s="197"/>
      <c r="G1553" s="197"/>
      <c r="H1553" s="197"/>
      <c r="I1553" s="197"/>
      <c r="J1553" s="895">
        <v>2264.3200000000002</v>
      </c>
      <c r="K1553" s="48">
        <f t="shared" si="102"/>
        <v>17435.264000000003</v>
      </c>
    </row>
    <row r="1554" spans="1:11" ht="30">
      <c r="A1554" s="883">
        <v>54</v>
      </c>
      <c r="B1554" s="913" t="s">
        <v>2058</v>
      </c>
      <c r="C1554" s="899" t="s">
        <v>2059</v>
      </c>
      <c r="D1554" s="223" t="s">
        <v>2055</v>
      </c>
      <c r="E1554" s="908">
        <v>6.48</v>
      </c>
      <c r="F1554" s="197"/>
      <c r="G1554" s="197"/>
      <c r="H1554" s="197"/>
      <c r="I1554" s="197"/>
      <c r="J1554" s="895">
        <v>2037.32</v>
      </c>
      <c r="K1554" s="48">
        <f t="shared" si="102"/>
        <v>13201.8336</v>
      </c>
    </row>
    <row r="1555" spans="1:11" ht="30">
      <c r="A1555" s="883">
        <v>55</v>
      </c>
      <c r="B1555" s="913" t="s">
        <v>70</v>
      </c>
      <c r="C1555" s="899" t="s">
        <v>2060</v>
      </c>
      <c r="D1555" s="147" t="s">
        <v>2061</v>
      </c>
      <c r="E1555" s="914">
        <v>0.20899999999999999</v>
      </c>
      <c r="F1555" s="197"/>
      <c r="G1555" s="197"/>
      <c r="H1555" s="197"/>
      <c r="I1555" s="197"/>
      <c r="J1555" s="886">
        <v>81213.5</v>
      </c>
      <c r="K1555" s="48">
        <f t="shared" si="102"/>
        <v>16973.621500000001</v>
      </c>
    </row>
    <row r="1556" spans="1:11" ht="18.75">
      <c r="A1556" s="883">
        <v>56</v>
      </c>
      <c r="B1556" s="913"/>
      <c r="C1556" s="915" t="s">
        <v>2062</v>
      </c>
      <c r="D1556" s="147" t="s">
        <v>648</v>
      </c>
      <c r="E1556" s="914">
        <v>627</v>
      </c>
      <c r="F1556" s="197"/>
      <c r="G1556" s="197"/>
      <c r="H1556" s="197"/>
      <c r="I1556" s="197"/>
      <c r="J1556" s="886">
        <v>50</v>
      </c>
      <c r="K1556" s="48">
        <f t="shared" si="102"/>
        <v>31350</v>
      </c>
    </row>
    <row r="1557" spans="1:11" ht="30">
      <c r="A1557" s="883">
        <v>57</v>
      </c>
      <c r="B1557" s="913" t="s">
        <v>2063</v>
      </c>
      <c r="C1557" s="916" t="s">
        <v>2064</v>
      </c>
      <c r="D1557" s="904" t="s">
        <v>206</v>
      </c>
      <c r="E1557" s="906">
        <v>135</v>
      </c>
      <c r="F1557" s="197"/>
      <c r="G1557" s="197"/>
      <c r="H1557" s="197"/>
      <c r="I1557" s="197"/>
      <c r="J1557" s="895">
        <v>250</v>
      </c>
      <c r="K1557" s="48">
        <f t="shared" si="102"/>
        <v>33750</v>
      </c>
    </row>
    <row r="1558" spans="1:11" ht="37.5">
      <c r="A1558" s="883">
        <v>58</v>
      </c>
      <c r="B1558" s="913"/>
      <c r="C1558" s="917" t="s">
        <v>2065</v>
      </c>
      <c r="D1558" s="904" t="s">
        <v>62</v>
      </c>
      <c r="E1558" s="906">
        <v>3</v>
      </c>
      <c r="F1558" s="197"/>
      <c r="G1558" s="197"/>
      <c r="H1558" s="197"/>
      <c r="I1558" s="197"/>
      <c r="J1558" s="895">
        <v>250</v>
      </c>
      <c r="K1558" s="48">
        <f t="shared" si="102"/>
        <v>750</v>
      </c>
    </row>
    <row r="1559" spans="1:11" ht="66">
      <c r="A1559" s="883">
        <v>59</v>
      </c>
      <c r="B1559" s="913" t="s">
        <v>2066</v>
      </c>
      <c r="C1559" s="918" t="s">
        <v>2067</v>
      </c>
      <c r="D1559" s="900" t="s">
        <v>37</v>
      </c>
      <c r="E1559" s="908">
        <v>6</v>
      </c>
      <c r="F1559" s="197"/>
      <c r="G1559" s="197"/>
      <c r="H1559" s="197"/>
      <c r="I1559" s="197"/>
      <c r="J1559" s="895">
        <v>13620</v>
      </c>
      <c r="K1559" s="48">
        <f t="shared" si="102"/>
        <v>81720</v>
      </c>
    </row>
    <row r="1560" spans="1:11" ht="66">
      <c r="A1560" s="883">
        <v>60</v>
      </c>
      <c r="B1560" s="913" t="s">
        <v>2068</v>
      </c>
      <c r="C1560" s="918" t="s">
        <v>2069</v>
      </c>
      <c r="D1560" s="900" t="s">
        <v>37</v>
      </c>
      <c r="E1560" s="908">
        <v>3</v>
      </c>
      <c r="F1560" s="197"/>
      <c r="G1560" s="197"/>
      <c r="H1560" s="197"/>
      <c r="I1560" s="197"/>
      <c r="J1560" s="895">
        <v>10442</v>
      </c>
      <c r="K1560" s="48">
        <f t="shared" si="102"/>
        <v>31326</v>
      </c>
    </row>
    <row r="1561" spans="1:11" ht="16.5">
      <c r="A1561" s="883">
        <v>61</v>
      </c>
      <c r="B1561" s="913" t="s">
        <v>2070</v>
      </c>
      <c r="C1561" s="899" t="s">
        <v>2071</v>
      </c>
      <c r="D1561" s="900" t="s">
        <v>37</v>
      </c>
      <c r="E1561" s="908">
        <v>1</v>
      </c>
      <c r="F1561" s="197"/>
      <c r="G1561" s="197"/>
      <c r="H1561" s="197"/>
      <c r="I1561" s="197"/>
      <c r="J1561" s="895">
        <v>16911.5</v>
      </c>
      <c r="K1561" s="48">
        <f t="shared" si="102"/>
        <v>16911.5</v>
      </c>
    </row>
    <row r="1562" spans="1:11" ht="45">
      <c r="A1562" s="883">
        <v>62</v>
      </c>
      <c r="B1562" s="913" t="s">
        <v>2072</v>
      </c>
      <c r="C1562" s="919" t="s">
        <v>2073</v>
      </c>
      <c r="D1562" s="197" t="s">
        <v>37</v>
      </c>
      <c r="E1562" s="908">
        <v>1</v>
      </c>
      <c r="F1562" s="197"/>
      <c r="G1562" s="197"/>
      <c r="H1562" s="197"/>
      <c r="I1562" s="197"/>
      <c r="J1562" s="895">
        <v>105693</v>
      </c>
      <c r="K1562" s="48">
        <f t="shared" si="102"/>
        <v>105693</v>
      </c>
    </row>
    <row r="1563" spans="1:11" ht="30">
      <c r="A1563" s="883">
        <v>63</v>
      </c>
      <c r="B1563" s="913" t="s">
        <v>2074</v>
      </c>
      <c r="C1563" s="899" t="s">
        <v>2075</v>
      </c>
      <c r="D1563" s="920" t="s">
        <v>206</v>
      </c>
      <c r="E1563" s="921">
        <v>3</v>
      </c>
      <c r="F1563" s="197"/>
      <c r="G1563" s="197"/>
      <c r="H1563" s="197"/>
      <c r="I1563" s="197"/>
      <c r="J1563" s="208">
        <v>73468</v>
      </c>
      <c r="K1563" s="48">
        <f t="shared" si="102"/>
        <v>220404</v>
      </c>
    </row>
    <row r="1564" spans="1:11" ht="16.5">
      <c r="A1564" s="883">
        <v>64</v>
      </c>
      <c r="B1564" s="913" t="s">
        <v>2076</v>
      </c>
      <c r="C1564" s="905" t="s">
        <v>2077</v>
      </c>
      <c r="D1564" s="197" t="s">
        <v>37</v>
      </c>
      <c r="E1564" s="908">
        <v>1</v>
      </c>
      <c r="F1564" s="197"/>
      <c r="G1564" s="197"/>
      <c r="H1564" s="197"/>
      <c r="I1564" s="197"/>
      <c r="J1564" s="895">
        <v>6549</v>
      </c>
      <c r="K1564" s="48">
        <f t="shared" si="102"/>
        <v>6549</v>
      </c>
    </row>
    <row r="1565" spans="1:11" ht="16.5">
      <c r="A1565" s="883">
        <v>65</v>
      </c>
      <c r="B1565" s="913" t="s">
        <v>2076</v>
      </c>
      <c r="C1565" s="905" t="s">
        <v>2078</v>
      </c>
      <c r="D1565" s="904" t="s">
        <v>206</v>
      </c>
      <c r="E1565" s="906">
        <v>1</v>
      </c>
      <c r="F1565" s="197"/>
      <c r="G1565" s="197"/>
      <c r="H1565" s="197"/>
      <c r="I1565" s="197"/>
      <c r="J1565" s="895">
        <v>5133</v>
      </c>
      <c r="K1565" s="48">
        <f t="shared" si="102"/>
        <v>5133</v>
      </c>
    </row>
    <row r="1566" spans="1:11" ht="30">
      <c r="A1566" s="883">
        <v>66</v>
      </c>
      <c r="B1566" s="922" t="s">
        <v>583</v>
      </c>
      <c r="C1566" s="923" t="s">
        <v>2079</v>
      </c>
      <c r="D1566" s="197" t="s">
        <v>37</v>
      </c>
      <c r="E1566" s="924">
        <v>1</v>
      </c>
      <c r="F1566" s="197"/>
      <c r="G1566" s="197"/>
      <c r="H1566" s="197"/>
      <c r="I1566" s="197"/>
      <c r="J1566" s="895">
        <v>1469</v>
      </c>
      <c r="K1566" s="48">
        <f t="shared" ref="K1566:K1587" si="103">E1566*J1566</f>
        <v>1469</v>
      </c>
    </row>
    <row r="1567" spans="1:11" ht="45">
      <c r="A1567" s="883">
        <v>67</v>
      </c>
      <c r="B1567" s="893" t="s">
        <v>2080</v>
      </c>
      <c r="C1567" s="925" t="s">
        <v>2081</v>
      </c>
      <c r="D1567" s="904" t="s">
        <v>206</v>
      </c>
      <c r="E1567" s="926">
        <v>40</v>
      </c>
      <c r="F1567" s="197"/>
      <c r="G1567" s="197"/>
      <c r="H1567" s="197"/>
      <c r="I1567" s="197"/>
      <c r="J1567" s="927">
        <v>29.204999999999998</v>
      </c>
      <c r="K1567" s="48">
        <f t="shared" si="103"/>
        <v>1168.1999999999998</v>
      </c>
    </row>
    <row r="1568" spans="1:11" ht="30">
      <c r="A1568" s="883">
        <v>68</v>
      </c>
      <c r="B1568" s="893"/>
      <c r="C1568" s="928" t="s">
        <v>2082</v>
      </c>
      <c r="D1568" s="904" t="s">
        <v>67</v>
      </c>
      <c r="E1568" s="926">
        <v>6.5000000000000002E-2</v>
      </c>
      <c r="F1568" s="197"/>
      <c r="G1568" s="197"/>
      <c r="H1568" s="197"/>
      <c r="I1568" s="197"/>
      <c r="J1568" s="929">
        <v>276592</v>
      </c>
      <c r="K1568" s="48">
        <f t="shared" ref="K1568:K1575" si="104">J1568*E1568</f>
        <v>17978.48</v>
      </c>
    </row>
    <row r="1569" spans="1:11" ht="18.75">
      <c r="A1569" s="883">
        <v>69</v>
      </c>
      <c r="B1569" s="197"/>
      <c r="C1569" s="915" t="s">
        <v>2083</v>
      </c>
      <c r="D1569" s="930" t="s">
        <v>62</v>
      </c>
      <c r="E1569" s="926">
        <v>1</v>
      </c>
      <c r="F1569" s="197"/>
      <c r="G1569" s="197"/>
      <c r="H1569" s="197"/>
      <c r="I1569" s="197"/>
      <c r="J1569" s="929">
        <v>1500</v>
      </c>
      <c r="K1569" s="48">
        <f t="shared" si="104"/>
        <v>1500</v>
      </c>
    </row>
    <row r="1570" spans="1:11" ht="18.75">
      <c r="A1570" s="883">
        <v>70</v>
      </c>
      <c r="B1570" s="893"/>
      <c r="C1570" s="915" t="s">
        <v>2084</v>
      </c>
      <c r="D1570" s="930" t="s">
        <v>62</v>
      </c>
      <c r="E1570" s="926">
        <v>1</v>
      </c>
      <c r="F1570" s="197"/>
      <c r="G1570" s="197"/>
      <c r="H1570" s="197"/>
      <c r="I1570" s="197"/>
      <c r="J1570" s="929">
        <v>35105</v>
      </c>
      <c r="K1570" s="48">
        <f t="shared" si="104"/>
        <v>35105</v>
      </c>
    </row>
    <row r="1571" spans="1:11" ht="18.75">
      <c r="A1571" s="883">
        <v>71</v>
      </c>
      <c r="B1571" s="893"/>
      <c r="C1571" s="931" t="s">
        <v>2085</v>
      </c>
      <c r="D1571" s="930" t="s">
        <v>208</v>
      </c>
      <c r="E1571" s="926">
        <v>33</v>
      </c>
      <c r="F1571" s="197"/>
      <c r="G1571" s="197"/>
      <c r="H1571" s="197"/>
      <c r="I1571" s="197"/>
      <c r="J1571" s="929">
        <v>703.3</v>
      </c>
      <c r="K1571" s="48">
        <f t="shared" si="104"/>
        <v>23208.899999999998</v>
      </c>
    </row>
    <row r="1572" spans="1:11" ht="18.75">
      <c r="A1572" s="883">
        <v>72</v>
      </c>
      <c r="B1572" s="893"/>
      <c r="C1572" s="932" t="s">
        <v>1437</v>
      </c>
      <c r="D1572" s="930" t="s">
        <v>1093</v>
      </c>
      <c r="E1572" s="926">
        <v>10</v>
      </c>
      <c r="F1572" s="197"/>
      <c r="G1572" s="197"/>
      <c r="H1572" s="197"/>
      <c r="I1572" s="197"/>
      <c r="J1572" s="929">
        <v>3876.3</v>
      </c>
      <c r="K1572" s="48">
        <f t="shared" si="104"/>
        <v>38763</v>
      </c>
    </row>
    <row r="1573" spans="1:11" ht="18.75">
      <c r="A1573" s="883">
        <v>73</v>
      </c>
      <c r="B1573" s="893"/>
      <c r="C1573" s="932" t="s">
        <v>2086</v>
      </c>
      <c r="D1573" s="930" t="s">
        <v>62</v>
      </c>
      <c r="E1573" s="926">
        <v>1</v>
      </c>
      <c r="F1573" s="197"/>
      <c r="G1573" s="197"/>
      <c r="H1573" s="197"/>
      <c r="I1573" s="197"/>
      <c r="J1573" s="929">
        <v>69502</v>
      </c>
      <c r="K1573" s="48">
        <f t="shared" si="104"/>
        <v>69502</v>
      </c>
    </row>
    <row r="1574" spans="1:11" ht="18.75">
      <c r="A1574" s="883">
        <v>74</v>
      </c>
      <c r="B1574" s="893"/>
      <c r="C1574" s="932" t="s">
        <v>2087</v>
      </c>
      <c r="D1574" s="930" t="s">
        <v>62</v>
      </c>
      <c r="E1574" s="926">
        <v>19</v>
      </c>
      <c r="F1574" s="197"/>
      <c r="G1574" s="197"/>
      <c r="H1574" s="197"/>
      <c r="I1574" s="197"/>
      <c r="J1574" s="929">
        <v>1876.2</v>
      </c>
      <c r="K1574" s="48">
        <f t="shared" si="104"/>
        <v>35647.800000000003</v>
      </c>
    </row>
    <row r="1575" spans="1:11" ht="18.75">
      <c r="A1575" s="883">
        <v>75</v>
      </c>
      <c r="B1575" s="893"/>
      <c r="C1575" s="932" t="s">
        <v>2088</v>
      </c>
      <c r="D1575" s="930" t="s">
        <v>62</v>
      </c>
      <c r="E1575" s="926">
        <v>1</v>
      </c>
      <c r="F1575" s="197"/>
      <c r="G1575" s="197"/>
      <c r="H1575" s="197"/>
      <c r="I1575" s="197"/>
      <c r="J1575" s="929">
        <v>3000000</v>
      </c>
      <c r="K1575" s="933">
        <f t="shared" si="104"/>
        <v>3000000</v>
      </c>
    </row>
    <row r="1576" spans="1:11" ht="18.75">
      <c r="A1576" s="934" t="s">
        <v>2089</v>
      </c>
      <c r="B1576" s="935"/>
      <c r="C1576" s="935"/>
      <c r="D1576" s="930"/>
      <c r="E1576" s="926"/>
      <c r="F1576" s="197"/>
      <c r="G1576" s="197"/>
      <c r="H1576" s="197"/>
      <c r="I1576" s="197"/>
      <c r="J1576" s="929"/>
      <c r="K1576" s="48"/>
    </row>
    <row r="1577" spans="1:11" ht="16.5">
      <c r="A1577" s="883">
        <v>76</v>
      </c>
      <c r="B1577" s="884" t="s">
        <v>2090</v>
      </c>
      <c r="C1577" s="936" t="s">
        <v>2091</v>
      </c>
      <c r="D1577" s="883" t="s">
        <v>387</v>
      </c>
      <c r="E1577" s="883"/>
      <c r="F1577" s="890"/>
      <c r="G1577" s="197"/>
      <c r="H1577" s="197"/>
      <c r="I1577" s="197">
        <v>66</v>
      </c>
      <c r="J1577" s="886">
        <v>40</v>
      </c>
      <c r="K1577" s="48">
        <f>I1577*J1577</f>
        <v>2640</v>
      </c>
    </row>
    <row r="1578" spans="1:11" ht="47.25">
      <c r="A1578" s="883">
        <v>77</v>
      </c>
      <c r="B1578" s="884" t="s">
        <v>2092</v>
      </c>
      <c r="C1578" s="937" t="s">
        <v>2093</v>
      </c>
      <c r="D1578" s="27" t="s">
        <v>206</v>
      </c>
      <c r="E1578" s="938"/>
      <c r="F1578" s="895"/>
      <c r="G1578" s="197"/>
      <c r="H1578" s="197"/>
      <c r="I1578" s="938">
        <v>1</v>
      </c>
      <c r="J1578" s="895">
        <v>500</v>
      </c>
      <c r="K1578" s="48">
        <f>J1578*(I1578+G1578)</f>
        <v>500</v>
      </c>
    </row>
    <row r="1579" spans="1:11" ht="47.25">
      <c r="A1579" s="883">
        <v>78</v>
      </c>
      <c r="B1579" s="884" t="s">
        <v>376</v>
      </c>
      <c r="C1579" s="29" t="s">
        <v>2094</v>
      </c>
      <c r="D1579" s="223" t="s">
        <v>277</v>
      </c>
      <c r="E1579" s="938"/>
      <c r="F1579" s="939"/>
      <c r="G1579" s="197"/>
      <c r="H1579" s="197"/>
      <c r="I1579" s="938">
        <v>1</v>
      </c>
      <c r="J1579" s="939">
        <v>5000</v>
      </c>
      <c r="K1579" s="48">
        <f>J1579*(I1579+G1579)</f>
        <v>5000</v>
      </c>
    </row>
    <row r="1580" spans="1:11" ht="47.25">
      <c r="A1580" s="883">
        <v>79</v>
      </c>
      <c r="B1580" s="884" t="s">
        <v>2095</v>
      </c>
      <c r="C1580" s="50" t="s">
        <v>2096</v>
      </c>
      <c r="D1580" s="27" t="s">
        <v>206</v>
      </c>
      <c r="E1580" s="938"/>
      <c r="F1580" s="939"/>
      <c r="G1580" s="197"/>
      <c r="H1580" s="197"/>
      <c r="I1580" s="938">
        <v>10</v>
      </c>
      <c r="J1580" s="939">
        <v>500</v>
      </c>
      <c r="K1580" s="48">
        <f>J1580*(I1580+G1580)</f>
        <v>5000</v>
      </c>
    </row>
    <row r="1581" spans="1:11" ht="63">
      <c r="A1581" s="883">
        <v>80</v>
      </c>
      <c r="B1581" s="884"/>
      <c r="C1581" s="940" t="s">
        <v>2097</v>
      </c>
      <c r="D1581" s="390" t="s">
        <v>277</v>
      </c>
      <c r="E1581" s="147"/>
      <c r="F1581" s="27"/>
      <c r="G1581" s="483"/>
      <c r="H1581" s="898"/>
      <c r="I1581" s="898">
        <v>1</v>
      </c>
      <c r="J1581" s="27">
        <v>11000</v>
      </c>
      <c r="K1581" s="48">
        <f>I1581*J1581</f>
        <v>11000</v>
      </c>
    </row>
    <row r="1582" spans="1:11" ht="16.5">
      <c r="A1582" s="883">
        <v>81</v>
      </c>
      <c r="B1582" s="941"/>
      <c r="C1582" s="942" t="s">
        <v>2098</v>
      </c>
      <c r="D1582" s="390" t="s">
        <v>62</v>
      </c>
      <c r="E1582" s="147"/>
      <c r="F1582" s="27"/>
      <c r="G1582" s="483"/>
      <c r="H1582" s="898"/>
      <c r="I1582" s="898">
        <v>2</v>
      </c>
      <c r="J1582" s="27">
        <v>200</v>
      </c>
      <c r="K1582" s="48">
        <f>I1582*J1582</f>
        <v>400</v>
      </c>
    </row>
    <row r="1583" spans="1:11" ht="16.5">
      <c r="A1583" s="883">
        <v>82</v>
      </c>
      <c r="B1583" s="941"/>
      <c r="C1583" s="942" t="s">
        <v>2099</v>
      </c>
      <c r="D1583" s="390" t="s">
        <v>62</v>
      </c>
      <c r="E1583" s="147"/>
      <c r="F1583" s="27"/>
      <c r="G1583" s="483"/>
      <c r="H1583" s="898"/>
      <c r="I1583" s="898">
        <v>1</v>
      </c>
      <c r="J1583" s="27">
        <v>200</v>
      </c>
      <c r="K1583" s="48">
        <f>I1583*J1583</f>
        <v>200</v>
      </c>
    </row>
    <row r="1584" spans="1:11" ht="31.5">
      <c r="A1584" s="883">
        <v>83</v>
      </c>
      <c r="B1584" s="912" t="s">
        <v>1240</v>
      </c>
      <c r="C1584" s="943" t="s">
        <v>2100</v>
      </c>
      <c r="D1584" s="390" t="s">
        <v>62</v>
      </c>
      <c r="E1584" s="197"/>
      <c r="F1584" s="890"/>
      <c r="G1584" s="197">
        <v>3</v>
      </c>
      <c r="H1584" s="197"/>
      <c r="I1584" s="197"/>
      <c r="J1584" s="890">
        <v>80000</v>
      </c>
      <c r="K1584" s="48">
        <f>G1584*J1584</f>
        <v>240000</v>
      </c>
    </row>
    <row r="1585" spans="1:11" ht="47.25">
      <c r="A1585" s="883">
        <v>84</v>
      </c>
      <c r="B1585" s="884" t="s">
        <v>2101</v>
      </c>
      <c r="C1585" s="944" t="s">
        <v>2102</v>
      </c>
      <c r="D1585" s="390" t="s">
        <v>40</v>
      </c>
      <c r="E1585" s="197"/>
      <c r="F1585" s="890"/>
      <c r="G1585" s="197">
        <v>1</v>
      </c>
      <c r="H1585" s="197"/>
      <c r="I1585" s="197"/>
      <c r="J1585" s="890">
        <v>0</v>
      </c>
      <c r="K1585" s="48">
        <f>J1585*(I1585+G1585)</f>
        <v>0</v>
      </c>
    </row>
    <row r="1586" spans="1:11" ht="47.25">
      <c r="A1586" s="883">
        <v>85</v>
      </c>
      <c r="B1586" s="888" t="s">
        <v>2103</v>
      </c>
      <c r="C1586" s="29" t="s">
        <v>2104</v>
      </c>
      <c r="D1586" s="5" t="s">
        <v>40</v>
      </c>
      <c r="E1586" s="938"/>
      <c r="F1586" s="895"/>
      <c r="G1586" s="938">
        <v>1</v>
      </c>
      <c r="H1586" s="197"/>
      <c r="I1586" s="197"/>
      <c r="J1586" s="895">
        <v>312567</v>
      </c>
      <c r="K1586" s="48">
        <f t="shared" ref="K1586:K1589" si="105">J1586*(I1586+G1586)</f>
        <v>312567</v>
      </c>
    </row>
    <row r="1587" spans="1:11" ht="47.25">
      <c r="A1587" s="883">
        <v>86</v>
      </c>
      <c r="B1587" s="888" t="s">
        <v>2105</v>
      </c>
      <c r="C1587" s="29" t="s">
        <v>2106</v>
      </c>
      <c r="D1587" s="5" t="s">
        <v>40</v>
      </c>
      <c r="E1587" s="938"/>
      <c r="F1587" s="895"/>
      <c r="G1587" s="938">
        <v>2</v>
      </c>
      <c r="H1587" s="197"/>
      <c r="I1587" s="197"/>
      <c r="J1587" s="895">
        <v>312567</v>
      </c>
      <c r="K1587" s="48">
        <f t="shared" si="105"/>
        <v>625134</v>
      </c>
    </row>
    <row r="1588" spans="1:11" ht="47.25">
      <c r="A1588" s="883">
        <v>87</v>
      </c>
      <c r="B1588" s="888" t="s">
        <v>2105</v>
      </c>
      <c r="C1588" s="29" t="s">
        <v>2107</v>
      </c>
      <c r="D1588" s="5" t="s">
        <v>40</v>
      </c>
      <c r="E1588" s="938"/>
      <c r="F1588" s="895"/>
      <c r="G1588" s="938">
        <v>1</v>
      </c>
      <c r="H1588" s="197"/>
      <c r="I1588" s="197"/>
      <c r="J1588" s="895">
        <v>312567</v>
      </c>
      <c r="K1588" s="48">
        <f t="shared" si="105"/>
        <v>312567</v>
      </c>
    </row>
    <row r="1589" spans="1:11" ht="30">
      <c r="A1589" s="883">
        <v>88</v>
      </c>
      <c r="B1589" s="884" t="s">
        <v>2108</v>
      </c>
      <c r="C1589" s="905" t="s">
        <v>2109</v>
      </c>
      <c r="D1589" s="5" t="s">
        <v>40</v>
      </c>
      <c r="E1589" s="197"/>
      <c r="F1589" s="895"/>
      <c r="G1589" s="197">
        <v>3</v>
      </c>
      <c r="H1589" s="197"/>
      <c r="I1589" s="197"/>
      <c r="J1589" s="895">
        <v>20000</v>
      </c>
      <c r="K1589" s="48">
        <f t="shared" si="105"/>
        <v>60000</v>
      </c>
    </row>
    <row r="1590" spans="1:11" ht="31.5">
      <c r="A1590" s="883">
        <v>89</v>
      </c>
      <c r="B1590" s="884" t="s">
        <v>2110</v>
      </c>
      <c r="C1590" s="29" t="s">
        <v>2111</v>
      </c>
      <c r="D1590" s="390" t="s">
        <v>206</v>
      </c>
      <c r="E1590" s="147"/>
      <c r="F1590" s="27"/>
      <c r="G1590" s="147">
        <v>3</v>
      </c>
      <c r="H1590" s="197"/>
      <c r="I1590" s="197"/>
      <c r="J1590" s="27">
        <v>20000</v>
      </c>
      <c r="K1590" s="48">
        <f>J1590*(I1590+G1590)</f>
        <v>60000</v>
      </c>
    </row>
    <row r="1591" spans="1:11" ht="47.25">
      <c r="A1591" s="883">
        <v>90</v>
      </c>
      <c r="B1591" s="884"/>
      <c r="C1591" s="940" t="s">
        <v>2112</v>
      </c>
      <c r="D1591" s="390" t="s">
        <v>62</v>
      </c>
      <c r="E1591" s="147"/>
      <c r="F1591" s="27"/>
      <c r="G1591" s="483">
        <v>3</v>
      </c>
      <c r="H1591" s="898"/>
      <c r="I1591" s="898"/>
      <c r="J1591" s="27">
        <v>15000</v>
      </c>
      <c r="K1591" s="48">
        <f>G1591*J1591</f>
        <v>45000</v>
      </c>
    </row>
    <row r="1592" spans="1:11" ht="31.5">
      <c r="A1592" s="883">
        <v>91</v>
      </c>
      <c r="B1592" s="884"/>
      <c r="C1592" s="940" t="s">
        <v>2113</v>
      </c>
      <c r="D1592" s="390" t="s">
        <v>62</v>
      </c>
      <c r="E1592" s="147"/>
      <c r="F1592" s="27"/>
      <c r="G1592" s="483">
        <v>3</v>
      </c>
      <c r="H1592" s="898"/>
      <c r="I1592" s="898"/>
      <c r="J1592" s="27">
        <v>15000</v>
      </c>
      <c r="K1592" s="48">
        <f>G1592*J1592</f>
        <v>45000</v>
      </c>
    </row>
    <row r="1593" spans="1:11" ht="30">
      <c r="A1593" s="883">
        <v>92</v>
      </c>
      <c r="B1593" s="945"/>
      <c r="C1593" s="946" t="s">
        <v>2114</v>
      </c>
      <c r="D1593" s="390" t="s">
        <v>62</v>
      </c>
      <c r="E1593" s="147"/>
      <c r="F1593" s="27"/>
      <c r="G1593" s="483">
        <v>2</v>
      </c>
      <c r="H1593" s="898"/>
      <c r="I1593" s="898"/>
      <c r="J1593" s="27">
        <v>40000</v>
      </c>
      <c r="K1593" s="48">
        <f>G1593*J1593</f>
        <v>80000</v>
      </c>
    </row>
    <row r="1594" spans="1:11" ht="30">
      <c r="A1594" s="883">
        <v>93</v>
      </c>
      <c r="B1594" s="941"/>
      <c r="C1594" s="947" t="s">
        <v>2115</v>
      </c>
      <c r="D1594" s="390" t="s">
        <v>62</v>
      </c>
      <c r="E1594" s="147"/>
      <c r="F1594" s="27"/>
      <c r="G1594" s="483">
        <v>3</v>
      </c>
      <c r="H1594" s="898"/>
      <c r="I1594" s="898"/>
      <c r="J1594" s="27">
        <v>15000</v>
      </c>
      <c r="K1594" s="48">
        <f>G1594*J1594</f>
        <v>45000</v>
      </c>
    </row>
    <row r="1595" spans="1:11" ht="31.5">
      <c r="A1595" s="883">
        <v>94</v>
      </c>
      <c r="B1595" s="941"/>
      <c r="C1595" s="948" t="s">
        <v>2116</v>
      </c>
      <c r="D1595" s="390" t="s">
        <v>62</v>
      </c>
      <c r="E1595" s="147"/>
      <c r="F1595" s="27"/>
      <c r="G1595" s="483">
        <v>3</v>
      </c>
      <c r="H1595" s="898"/>
      <c r="I1595" s="898"/>
      <c r="J1595" s="27">
        <v>20000</v>
      </c>
      <c r="K1595" s="48">
        <f>G1595*J1595</f>
        <v>60000</v>
      </c>
    </row>
    <row r="1596" spans="1:11" ht="31.5">
      <c r="A1596" s="883">
        <v>95</v>
      </c>
      <c r="B1596" s="945"/>
      <c r="C1596" s="948" t="s">
        <v>2117</v>
      </c>
      <c r="D1596" s="390" t="s">
        <v>62</v>
      </c>
      <c r="E1596" s="147"/>
      <c r="F1596" s="27"/>
      <c r="G1596" s="483">
        <v>3</v>
      </c>
      <c r="H1596" s="898"/>
      <c r="I1596" s="898"/>
      <c r="J1596" s="27">
        <v>20000</v>
      </c>
      <c r="K1596" s="48">
        <f t="shared" ref="K1596:K1597" si="106">G1596*J1596</f>
        <v>60000</v>
      </c>
    </row>
    <row r="1597" spans="1:11" ht="30">
      <c r="A1597" s="883">
        <v>96</v>
      </c>
      <c r="B1597" s="941"/>
      <c r="C1597" s="949" t="s">
        <v>2109</v>
      </c>
      <c r="D1597" s="390" t="s">
        <v>62</v>
      </c>
      <c r="E1597" s="147"/>
      <c r="F1597" s="27"/>
      <c r="G1597" s="483">
        <v>3</v>
      </c>
      <c r="H1597" s="898"/>
      <c r="I1597" s="898"/>
      <c r="J1597" s="27">
        <v>20000</v>
      </c>
      <c r="K1597" s="48">
        <f t="shared" si="106"/>
        <v>60000</v>
      </c>
    </row>
    <row r="1598" spans="1:11" ht="18.75">
      <c r="A1598" s="209" t="s">
        <v>2118</v>
      </c>
      <c r="B1598" s="210"/>
      <c r="C1598" s="210"/>
      <c r="D1598" s="210"/>
      <c r="E1598" s="210"/>
      <c r="F1598" s="210"/>
      <c r="G1598" s="210"/>
      <c r="H1598" s="210"/>
      <c r="I1598" s="210"/>
      <c r="J1598" s="210"/>
      <c r="K1598" s="211"/>
    </row>
    <row r="1599" spans="1:11" ht="18.75">
      <c r="A1599" s="950"/>
      <c r="B1599" s="951"/>
      <c r="C1599" s="951"/>
      <c r="D1599" s="952"/>
      <c r="E1599" s="952"/>
      <c r="F1599" s="952"/>
      <c r="G1599" s="952"/>
      <c r="H1599" s="952"/>
      <c r="I1599" s="952"/>
      <c r="J1599" s="951"/>
      <c r="K1599" s="953"/>
    </row>
    <row r="1600" spans="1:11" ht="16.5">
      <c r="A1600" s="195" t="s">
        <v>927</v>
      </c>
      <c r="B1600" s="196" t="s">
        <v>117</v>
      </c>
      <c r="C1600" s="195" t="s">
        <v>928</v>
      </c>
      <c r="D1600" s="197" t="s">
        <v>119</v>
      </c>
      <c r="E1600" s="198" t="s">
        <v>929</v>
      </c>
      <c r="F1600" s="199"/>
      <c r="G1600" s="199"/>
      <c r="H1600" s="199"/>
      <c r="I1600" s="200"/>
      <c r="J1600" s="201" t="s">
        <v>930</v>
      </c>
      <c r="K1600" s="201" t="s">
        <v>225</v>
      </c>
    </row>
    <row r="1601" spans="1:11" ht="16.5">
      <c r="A1601" s="202"/>
      <c r="B1601" s="203"/>
      <c r="C1601" s="202"/>
      <c r="D1601" s="204"/>
      <c r="E1601" s="206" t="s">
        <v>121</v>
      </c>
      <c r="F1601" s="206" t="s">
        <v>931</v>
      </c>
      <c r="G1601" s="206" t="s">
        <v>1</v>
      </c>
      <c r="H1601" s="206" t="s">
        <v>932</v>
      </c>
      <c r="I1601" s="206" t="s">
        <v>0</v>
      </c>
      <c r="J1601" s="207"/>
      <c r="K1601" s="207"/>
    </row>
    <row r="1602" spans="1:11" ht="16.5">
      <c r="A1602" s="212">
        <v>1</v>
      </c>
      <c r="B1602" s="213" t="s">
        <v>2119</v>
      </c>
      <c r="C1602" s="954" t="s">
        <v>2120</v>
      </c>
      <c r="D1602" s="955" t="s">
        <v>2121</v>
      </c>
      <c r="E1602" s="956">
        <v>1</v>
      </c>
      <c r="F1602" s="197"/>
      <c r="G1602" s="197"/>
      <c r="H1602" s="197"/>
      <c r="I1602" s="197"/>
      <c r="J1602" s="957"/>
      <c r="K1602" s="197">
        <f>J1602*(I1602+E1602)</f>
        <v>0</v>
      </c>
    </row>
    <row r="1603" spans="1:11" ht="16.5">
      <c r="A1603" s="212">
        <v>2</v>
      </c>
      <c r="B1603" s="213" t="s">
        <v>2122</v>
      </c>
      <c r="C1603" s="954" t="s">
        <v>2123</v>
      </c>
      <c r="D1603" s="955" t="s">
        <v>2121</v>
      </c>
      <c r="E1603" s="956">
        <v>1</v>
      </c>
      <c r="F1603" s="197"/>
      <c r="G1603" s="197"/>
      <c r="H1603" s="197"/>
      <c r="I1603" s="197"/>
      <c r="J1603" s="957"/>
      <c r="K1603" s="197">
        <f t="shared" ref="K1603:K1667" si="107">J1603*(I1603+E1603)</f>
        <v>0</v>
      </c>
    </row>
    <row r="1604" spans="1:11" ht="16.5">
      <c r="A1604" s="212">
        <v>3</v>
      </c>
      <c r="B1604" s="213" t="s">
        <v>2124</v>
      </c>
      <c r="C1604" s="954" t="s">
        <v>2125</v>
      </c>
      <c r="D1604" s="955" t="s">
        <v>2121</v>
      </c>
      <c r="E1604" s="956">
        <v>2</v>
      </c>
      <c r="F1604" s="197"/>
      <c r="G1604" s="197"/>
      <c r="H1604" s="197"/>
      <c r="I1604" s="197"/>
      <c r="J1604" s="957"/>
      <c r="K1604" s="197">
        <f t="shared" si="107"/>
        <v>0</v>
      </c>
    </row>
    <row r="1605" spans="1:11" ht="16.5">
      <c r="A1605" s="212">
        <v>4</v>
      </c>
      <c r="B1605" s="213"/>
      <c r="C1605" s="954" t="s">
        <v>2126</v>
      </c>
      <c r="D1605" s="955" t="s">
        <v>2121</v>
      </c>
      <c r="E1605" s="956">
        <v>4</v>
      </c>
      <c r="F1605" s="197"/>
      <c r="G1605" s="197"/>
      <c r="H1605" s="197"/>
      <c r="I1605" s="197"/>
      <c r="J1605" s="957"/>
      <c r="K1605" s="197">
        <f t="shared" si="107"/>
        <v>0</v>
      </c>
    </row>
    <row r="1606" spans="1:11" ht="24">
      <c r="A1606" s="212">
        <v>5</v>
      </c>
      <c r="B1606" s="213" t="s">
        <v>2127</v>
      </c>
      <c r="C1606" s="954" t="s">
        <v>2128</v>
      </c>
      <c r="D1606" s="955" t="s">
        <v>2121</v>
      </c>
      <c r="E1606" s="956">
        <v>1</v>
      </c>
      <c r="F1606" s="197"/>
      <c r="G1606" s="197"/>
      <c r="H1606" s="197"/>
      <c r="I1606" s="197"/>
      <c r="J1606" s="957"/>
      <c r="K1606" s="197">
        <f t="shared" si="107"/>
        <v>0</v>
      </c>
    </row>
    <row r="1607" spans="1:11" ht="16.5">
      <c r="A1607" s="212">
        <v>6</v>
      </c>
      <c r="B1607" s="213" t="s">
        <v>2129</v>
      </c>
      <c r="C1607" s="954" t="s">
        <v>2130</v>
      </c>
      <c r="D1607" s="955" t="s">
        <v>2121</v>
      </c>
      <c r="E1607" s="956">
        <v>1</v>
      </c>
      <c r="F1607" s="197"/>
      <c r="G1607" s="197"/>
      <c r="H1607" s="197"/>
      <c r="I1607" s="197"/>
      <c r="J1607" s="957"/>
      <c r="K1607" s="197">
        <f t="shared" si="107"/>
        <v>0</v>
      </c>
    </row>
    <row r="1608" spans="1:11" ht="16.5">
      <c r="A1608" s="212">
        <v>7</v>
      </c>
      <c r="B1608" s="213" t="s">
        <v>2131</v>
      </c>
      <c r="C1608" s="954" t="s">
        <v>2132</v>
      </c>
      <c r="D1608" s="955" t="s">
        <v>2121</v>
      </c>
      <c r="E1608" s="956">
        <v>1</v>
      </c>
      <c r="F1608" s="197"/>
      <c r="G1608" s="197"/>
      <c r="H1608" s="197"/>
      <c r="I1608" s="197"/>
      <c r="J1608" s="957">
        <v>2800</v>
      </c>
      <c r="K1608" s="197">
        <f t="shared" si="107"/>
        <v>2800</v>
      </c>
    </row>
    <row r="1609" spans="1:11" ht="16.5">
      <c r="A1609" s="212">
        <v>8</v>
      </c>
      <c r="B1609" s="213" t="s">
        <v>2133</v>
      </c>
      <c r="C1609" s="954" t="s">
        <v>2134</v>
      </c>
      <c r="D1609" s="955" t="s">
        <v>2121</v>
      </c>
      <c r="E1609" s="956">
        <v>1</v>
      </c>
      <c r="F1609" s="197"/>
      <c r="G1609" s="197"/>
      <c r="H1609" s="197"/>
      <c r="I1609" s="197"/>
      <c r="J1609" s="957">
        <v>375</v>
      </c>
      <c r="K1609" s="197">
        <f t="shared" si="107"/>
        <v>375</v>
      </c>
    </row>
    <row r="1610" spans="1:11" ht="16.5">
      <c r="A1610" s="212">
        <v>9</v>
      </c>
      <c r="B1610" s="213" t="s">
        <v>2135</v>
      </c>
      <c r="C1610" s="954" t="s">
        <v>2136</v>
      </c>
      <c r="D1610" s="955" t="s">
        <v>2121</v>
      </c>
      <c r="E1610" s="956">
        <v>1</v>
      </c>
      <c r="F1610" s="197"/>
      <c r="G1610" s="197"/>
      <c r="H1610" s="197"/>
      <c r="I1610" s="197"/>
      <c r="J1610" s="957">
        <v>150</v>
      </c>
      <c r="K1610" s="197">
        <f t="shared" si="107"/>
        <v>150</v>
      </c>
    </row>
    <row r="1611" spans="1:11" ht="16.5">
      <c r="A1611" s="212">
        <v>10</v>
      </c>
      <c r="B1611" s="213" t="s">
        <v>2137</v>
      </c>
      <c r="C1611" s="954" t="s">
        <v>2138</v>
      </c>
      <c r="D1611" s="955" t="s">
        <v>2121</v>
      </c>
      <c r="E1611" s="956">
        <v>1</v>
      </c>
      <c r="F1611" s="197"/>
      <c r="G1611" s="197"/>
      <c r="H1611" s="197"/>
      <c r="I1611" s="197"/>
      <c r="J1611" s="957">
        <v>450</v>
      </c>
      <c r="K1611" s="197">
        <f t="shared" si="107"/>
        <v>450</v>
      </c>
    </row>
    <row r="1612" spans="1:11" ht="16.5">
      <c r="A1612" s="212">
        <v>11</v>
      </c>
      <c r="B1612" s="213" t="s">
        <v>2139</v>
      </c>
      <c r="C1612" s="954" t="s">
        <v>2140</v>
      </c>
      <c r="D1612" s="955" t="s">
        <v>2121</v>
      </c>
      <c r="E1612" s="956">
        <v>1</v>
      </c>
      <c r="F1612" s="197"/>
      <c r="G1612" s="197"/>
      <c r="H1612" s="197"/>
      <c r="I1612" s="197"/>
      <c r="J1612" s="957">
        <v>50</v>
      </c>
      <c r="K1612" s="197">
        <f t="shared" si="107"/>
        <v>50</v>
      </c>
    </row>
    <row r="1613" spans="1:11" ht="16.5">
      <c r="A1613" s="212">
        <v>12</v>
      </c>
      <c r="B1613" s="213"/>
      <c r="C1613" s="954" t="s">
        <v>2141</v>
      </c>
      <c r="D1613" s="955" t="s">
        <v>2121</v>
      </c>
      <c r="E1613" s="956">
        <v>1</v>
      </c>
      <c r="F1613" s="197"/>
      <c r="G1613" s="197"/>
      <c r="H1613" s="197"/>
      <c r="I1613" s="197"/>
      <c r="J1613" s="957">
        <v>125</v>
      </c>
      <c r="K1613" s="197">
        <f t="shared" si="107"/>
        <v>125</v>
      </c>
    </row>
    <row r="1614" spans="1:11" ht="16.5">
      <c r="A1614" s="212">
        <v>13</v>
      </c>
      <c r="B1614" s="213" t="s">
        <v>2142</v>
      </c>
      <c r="C1614" s="954" t="s">
        <v>2143</v>
      </c>
      <c r="D1614" s="955" t="s">
        <v>2121</v>
      </c>
      <c r="E1614" s="956">
        <v>2</v>
      </c>
      <c r="F1614" s="197"/>
      <c r="G1614" s="197"/>
      <c r="H1614" s="197"/>
      <c r="I1614" s="197"/>
      <c r="J1614" s="957">
        <v>40</v>
      </c>
      <c r="K1614" s="197">
        <f t="shared" si="107"/>
        <v>80</v>
      </c>
    </row>
    <row r="1615" spans="1:11" ht="16.5">
      <c r="A1615" s="212">
        <v>14</v>
      </c>
      <c r="B1615" s="213" t="s">
        <v>2144</v>
      </c>
      <c r="C1615" s="954" t="s">
        <v>2145</v>
      </c>
      <c r="D1615" s="955" t="s">
        <v>2121</v>
      </c>
      <c r="E1615" s="956">
        <v>2</v>
      </c>
      <c r="F1615" s="197"/>
      <c r="G1615" s="197"/>
      <c r="H1615" s="197"/>
      <c r="I1615" s="197"/>
      <c r="J1615" s="957">
        <v>18</v>
      </c>
      <c r="K1615" s="197">
        <f t="shared" si="107"/>
        <v>36</v>
      </c>
    </row>
    <row r="1616" spans="1:11" ht="16.5">
      <c r="A1616" s="212">
        <v>15</v>
      </c>
      <c r="B1616" s="213" t="s">
        <v>2146</v>
      </c>
      <c r="C1616" s="954" t="s">
        <v>2147</v>
      </c>
      <c r="D1616" s="955" t="s">
        <v>2121</v>
      </c>
      <c r="E1616" s="956">
        <v>2</v>
      </c>
      <c r="F1616" s="197"/>
      <c r="G1616" s="197"/>
      <c r="H1616" s="197"/>
      <c r="I1616" s="197"/>
      <c r="J1616" s="957">
        <v>21</v>
      </c>
      <c r="K1616" s="197">
        <f t="shared" si="107"/>
        <v>42</v>
      </c>
    </row>
    <row r="1617" spans="1:11" ht="16.5">
      <c r="A1617" s="212">
        <v>16</v>
      </c>
      <c r="B1617" s="213" t="s">
        <v>2148</v>
      </c>
      <c r="C1617" s="954" t="s">
        <v>2149</v>
      </c>
      <c r="D1617" s="955" t="s">
        <v>2121</v>
      </c>
      <c r="E1617" s="956">
        <v>2</v>
      </c>
      <c r="F1617" s="197"/>
      <c r="G1617" s="197"/>
      <c r="H1617" s="197"/>
      <c r="I1617" s="197"/>
      <c r="J1617" s="957">
        <v>25</v>
      </c>
      <c r="K1617" s="197">
        <f t="shared" si="107"/>
        <v>50</v>
      </c>
    </row>
    <row r="1618" spans="1:11" ht="16.5">
      <c r="A1618" s="212">
        <v>17</v>
      </c>
      <c r="B1618" s="213" t="s">
        <v>2150</v>
      </c>
      <c r="C1618" s="954" t="s">
        <v>2151</v>
      </c>
      <c r="D1618" s="955" t="s">
        <v>2121</v>
      </c>
      <c r="E1618" s="956">
        <v>2</v>
      </c>
      <c r="F1618" s="197"/>
      <c r="G1618" s="197"/>
      <c r="H1618" s="197"/>
      <c r="I1618" s="197"/>
      <c r="J1618" s="957">
        <v>31</v>
      </c>
      <c r="K1618" s="197">
        <f t="shared" si="107"/>
        <v>62</v>
      </c>
    </row>
    <row r="1619" spans="1:11" ht="16.5">
      <c r="A1619" s="212">
        <v>18</v>
      </c>
      <c r="B1619" s="213" t="s">
        <v>2152</v>
      </c>
      <c r="C1619" s="954" t="s">
        <v>2153</v>
      </c>
      <c r="D1619" s="955" t="s">
        <v>2121</v>
      </c>
      <c r="E1619" s="956">
        <v>2</v>
      </c>
      <c r="F1619" s="197"/>
      <c r="G1619" s="197"/>
      <c r="H1619" s="197"/>
      <c r="I1619" s="197"/>
      <c r="J1619" s="957">
        <v>39</v>
      </c>
      <c r="K1619" s="197">
        <f t="shared" si="107"/>
        <v>78</v>
      </c>
    </row>
    <row r="1620" spans="1:11" ht="16.5">
      <c r="A1620" s="212">
        <v>19</v>
      </c>
      <c r="B1620" s="213" t="s">
        <v>2154</v>
      </c>
      <c r="C1620" s="954" t="s">
        <v>2155</v>
      </c>
      <c r="D1620" s="955" t="s">
        <v>2121</v>
      </c>
      <c r="E1620" s="956">
        <v>2</v>
      </c>
      <c r="F1620" s="197"/>
      <c r="G1620" s="197"/>
      <c r="H1620" s="197"/>
      <c r="I1620" s="197"/>
      <c r="J1620" s="957">
        <v>35</v>
      </c>
      <c r="K1620" s="197">
        <f t="shared" si="107"/>
        <v>70</v>
      </c>
    </row>
    <row r="1621" spans="1:11" ht="16.5">
      <c r="A1621" s="212">
        <v>20</v>
      </c>
      <c r="B1621" s="213" t="s">
        <v>2156</v>
      </c>
      <c r="C1621" s="954" t="s">
        <v>2157</v>
      </c>
      <c r="D1621" s="955" t="s">
        <v>2121</v>
      </c>
      <c r="E1621" s="956">
        <v>2</v>
      </c>
      <c r="F1621" s="197"/>
      <c r="G1621" s="197"/>
      <c r="H1621" s="197"/>
      <c r="I1621" s="197"/>
      <c r="J1621" s="957">
        <v>37</v>
      </c>
      <c r="K1621" s="197">
        <f t="shared" si="107"/>
        <v>74</v>
      </c>
    </row>
    <row r="1622" spans="1:11" ht="16.5">
      <c r="A1622" s="212">
        <v>21</v>
      </c>
      <c r="B1622" s="213" t="s">
        <v>2158</v>
      </c>
      <c r="C1622" s="954" t="s">
        <v>2159</v>
      </c>
      <c r="D1622" s="955" t="s">
        <v>2121</v>
      </c>
      <c r="E1622" s="956">
        <v>2</v>
      </c>
      <c r="F1622" s="197"/>
      <c r="G1622" s="197"/>
      <c r="H1622" s="197"/>
      <c r="I1622" s="197"/>
      <c r="J1622" s="957">
        <v>44</v>
      </c>
      <c r="K1622" s="197">
        <f t="shared" si="107"/>
        <v>88</v>
      </c>
    </row>
    <row r="1623" spans="1:11" ht="16.5">
      <c r="A1623" s="212">
        <v>22</v>
      </c>
      <c r="B1623" s="213" t="s">
        <v>2160</v>
      </c>
      <c r="C1623" s="954" t="s">
        <v>2161</v>
      </c>
      <c r="D1623" s="955" t="s">
        <v>2121</v>
      </c>
      <c r="E1623" s="956">
        <v>2</v>
      </c>
      <c r="F1623" s="197"/>
      <c r="G1623" s="197"/>
      <c r="H1623" s="197"/>
      <c r="I1623" s="197"/>
      <c r="J1623" s="957">
        <v>57</v>
      </c>
      <c r="K1623" s="197">
        <f t="shared" si="107"/>
        <v>114</v>
      </c>
    </row>
    <row r="1624" spans="1:11" ht="16.5">
      <c r="A1624" s="212">
        <v>23</v>
      </c>
      <c r="B1624" s="213" t="s">
        <v>2162</v>
      </c>
      <c r="C1624" s="954" t="s">
        <v>2163</v>
      </c>
      <c r="D1624" s="955" t="s">
        <v>2121</v>
      </c>
      <c r="E1624" s="956">
        <v>2</v>
      </c>
      <c r="F1624" s="197"/>
      <c r="G1624" s="197"/>
      <c r="H1624" s="197"/>
      <c r="I1624" s="197"/>
      <c r="J1624" s="957">
        <v>67</v>
      </c>
      <c r="K1624" s="197">
        <f t="shared" si="107"/>
        <v>134</v>
      </c>
    </row>
    <row r="1625" spans="1:11" ht="16.5">
      <c r="A1625" s="212">
        <v>24</v>
      </c>
      <c r="B1625" s="213" t="s">
        <v>2164</v>
      </c>
      <c r="C1625" s="954" t="s">
        <v>2165</v>
      </c>
      <c r="D1625" s="955" t="s">
        <v>2121</v>
      </c>
      <c r="E1625" s="956">
        <v>2</v>
      </c>
      <c r="F1625" s="197"/>
      <c r="G1625" s="197"/>
      <c r="H1625" s="197"/>
      <c r="I1625" s="197"/>
      <c r="J1625" s="957">
        <v>97</v>
      </c>
      <c r="K1625" s="197">
        <f t="shared" si="107"/>
        <v>194</v>
      </c>
    </row>
    <row r="1626" spans="1:11" ht="24">
      <c r="A1626" s="212">
        <v>25</v>
      </c>
      <c r="B1626" s="213" t="s">
        <v>2166</v>
      </c>
      <c r="C1626" s="954" t="s">
        <v>2167</v>
      </c>
      <c r="D1626" s="955" t="s">
        <v>2121</v>
      </c>
      <c r="E1626" s="956">
        <v>1</v>
      </c>
      <c r="F1626" s="197"/>
      <c r="G1626" s="197"/>
      <c r="H1626" s="197"/>
      <c r="I1626" s="197"/>
      <c r="J1626" s="957">
        <v>1800</v>
      </c>
      <c r="K1626" s="197">
        <f t="shared" si="107"/>
        <v>1800</v>
      </c>
    </row>
    <row r="1627" spans="1:11" ht="24">
      <c r="A1627" s="212">
        <v>26</v>
      </c>
      <c r="B1627" s="213" t="s">
        <v>2168</v>
      </c>
      <c r="C1627" s="954" t="s">
        <v>2169</v>
      </c>
      <c r="D1627" s="955" t="s">
        <v>2121</v>
      </c>
      <c r="E1627" s="956">
        <v>1</v>
      </c>
      <c r="F1627" s="197"/>
      <c r="G1627" s="197"/>
      <c r="H1627" s="197"/>
      <c r="I1627" s="197"/>
      <c r="J1627" s="957">
        <v>1000</v>
      </c>
      <c r="K1627" s="197">
        <f t="shared" si="107"/>
        <v>1000</v>
      </c>
    </row>
    <row r="1628" spans="1:11" ht="24">
      <c r="A1628" s="212">
        <v>27</v>
      </c>
      <c r="B1628" s="213" t="s">
        <v>2170</v>
      </c>
      <c r="C1628" s="954" t="s">
        <v>2171</v>
      </c>
      <c r="D1628" s="955" t="s">
        <v>2121</v>
      </c>
      <c r="E1628" s="956">
        <v>1</v>
      </c>
      <c r="F1628" s="197"/>
      <c r="G1628" s="197"/>
      <c r="H1628" s="197"/>
      <c r="I1628" s="197"/>
      <c r="J1628" s="957">
        <v>26600</v>
      </c>
      <c r="K1628" s="197">
        <f t="shared" si="107"/>
        <v>26600</v>
      </c>
    </row>
    <row r="1629" spans="1:11" ht="16.5">
      <c r="A1629" s="212">
        <v>28</v>
      </c>
      <c r="B1629" s="213" t="s">
        <v>2172</v>
      </c>
      <c r="C1629" s="954" t="s">
        <v>2173</v>
      </c>
      <c r="D1629" s="955" t="s">
        <v>2121</v>
      </c>
      <c r="E1629" s="956">
        <v>1</v>
      </c>
      <c r="F1629" s="197"/>
      <c r="G1629" s="197"/>
      <c r="H1629" s="197"/>
      <c r="I1629" s="197"/>
      <c r="J1629" s="957">
        <v>153</v>
      </c>
      <c r="K1629" s="197">
        <f t="shared" si="107"/>
        <v>153</v>
      </c>
    </row>
    <row r="1630" spans="1:11" ht="16.5">
      <c r="A1630" s="212">
        <v>29</v>
      </c>
      <c r="B1630" s="213"/>
      <c r="C1630" s="954" t="s">
        <v>2174</v>
      </c>
      <c r="D1630" s="955" t="s">
        <v>2121</v>
      </c>
      <c r="E1630" s="956">
        <v>1</v>
      </c>
      <c r="F1630" s="197"/>
      <c r="G1630" s="197"/>
      <c r="H1630" s="197"/>
      <c r="I1630" s="197"/>
      <c r="J1630" s="957">
        <v>187</v>
      </c>
      <c r="K1630" s="197">
        <f t="shared" si="107"/>
        <v>187</v>
      </c>
    </row>
    <row r="1631" spans="1:11" ht="16.5">
      <c r="A1631" s="212">
        <v>30</v>
      </c>
      <c r="B1631" s="213" t="s">
        <v>2175</v>
      </c>
      <c r="C1631" s="954" t="s">
        <v>2176</v>
      </c>
      <c r="D1631" s="955" t="s">
        <v>2121</v>
      </c>
      <c r="E1631" s="956">
        <v>6</v>
      </c>
      <c r="F1631" s="197"/>
      <c r="G1631" s="197"/>
      <c r="H1631" s="197"/>
      <c r="I1631" s="197"/>
      <c r="J1631" s="957"/>
      <c r="K1631" s="197">
        <f t="shared" si="107"/>
        <v>0</v>
      </c>
    </row>
    <row r="1632" spans="1:11" ht="16.5">
      <c r="A1632" s="212">
        <v>31</v>
      </c>
      <c r="B1632" s="213" t="s">
        <v>2177</v>
      </c>
      <c r="C1632" s="954" t="s">
        <v>2178</v>
      </c>
      <c r="D1632" s="955" t="s">
        <v>2121</v>
      </c>
      <c r="E1632" s="956">
        <v>2</v>
      </c>
      <c r="F1632" s="197"/>
      <c r="G1632" s="197"/>
      <c r="H1632" s="197"/>
      <c r="I1632" s="197"/>
      <c r="J1632" s="957"/>
      <c r="K1632" s="197">
        <f t="shared" si="107"/>
        <v>0</v>
      </c>
    </row>
    <row r="1633" spans="1:11" ht="24">
      <c r="A1633" s="212">
        <v>32</v>
      </c>
      <c r="B1633" s="213" t="s">
        <v>2179</v>
      </c>
      <c r="C1633" s="954" t="s">
        <v>2180</v>
      </c>
      <c r="D1633" s="955" t="s">
        <v>2121</v>
      </c>
      <c r="E1633" s="956">
        <v>1</v>
      </c>
      <c r="F1633" s="197"/>
      <c r="G1633" s="197"/>
      <c r="H1633" s="197"/>
      <c r="I1633" s="197"/>
      <c r="J1633" s="957"/>
      <c r="K1633" s="197">
        <f t="shared" si="107"/>
        <v>0</v>
      </c>
    </row>
    <row r="1634" spans="1:11" ht="24">
      <c r="A1634" s="212">
        <v>33</v>
      </c>
      <c r="B1634" s="213" t="s">
        <v>2181</v>
      </c>
      <c r="C1634" s="954" t="s">
        <v>2182</v>
      </c>
      <c r="D1634" s="955" t="s">
        <v>2121</v>
      </c>
      <c r="E1634" s="956">
        <v>1</v>
      </c>
      <c r="F1634" s="197"/>
      <c r="G1634" s="197"/>
      <c r="H1634" s="197"/>
      <c r="I1634" s="197"/>
      <c r="J1634" s="957"/>
      <c r="K1634" s="197">
        <f t="shared" si="107"/>
        <v>0</v>
      </c>
    </row>
    <row r="1635" spans="1:11" ht="16.5">
      <c r="A1635" s="212">
        <v>34</v>
      </c>
      <c r="B1635" s="213" t="s">
        <v>2183</v>
      </c>
      <c r="C1635" s="954" t="s">
        <v>2184</v>
      </c>
      <c r="D1635" s="955" t="s">
        <v>2121</v>
      </c>
      <c r="E1635" s="956">
        <v>1</v>
      </c>
      <c r="F1635" s="197"/>
      <c r="G1635" s="197"/>
      <c r="H1635" s="197"/>
      <c r="I1635" s="197"/>
      <c r="J1635" s="957"/>
      <c r="K1635" s="197">
        <f t="shared" si="107"/>
        <v>0</v>
      </c>
    </row>
    <row r="1636" spans="1:11" ht="16.5">
      <c r="A1636" s="212">
        <v>35</v>
      </c>
      <c r="B1636" s="213" t="s">
        <v>2185</v>
      </c>
      <c r="C1636" s="954" t="s">
        <v>2186</v>
      </c>
      <c r="D1636" s="955" t="s">
        <v>2121</v>
      </c>
      <c r="E1636" s="956">
        <v>1</v>
      </c>
      <c r="F1636" s="197"/>
      <c r="G1636" s="197"/>
      <c r="H1636" s="197"/>
      <c r="I1636" s="197"/>
      <c r="J1636" s="957"/>
      <c r="K1636" s="197">
        <f t="shared" si="107"/>
        <v>0</v>
      </c>
    </row>
    <row r="1637" spans="1:11" ht="16.5">
      <c r="A1637" s="212">
        <v>36</v>
      </c>
      <c r="B1637" s="213" t="s">
        <v>2187</v>
      </c>
      <c r="C1637" s="954" t="s">
        <v>2188</v>
      </c>
      <c r="D1637" s="955" t="s">
        <v>2121</v>
      </c>
      <c r="E1637" s="956">
        <v>1</v>
      </c>
      <c r="F1637" s="197"/>
      <c r="G1637" s="197"/>
      <c r="H1637" s="197"/>
      <c r="I1637" s="197"/>
      <c r="J1637" s="957"/>
      <c r="K1637" s="197">
        <f t="shared" si="107"/>
        <v>0</v>
      </c>
    </row>
    <row r="1638" spans="1:11" ht="24">
      <c r="A1638" s="212">
        <v>37</v>
      </c>
      <c r="B1638" s="213" t="s">
        <v>2189</v>
      </c>
      <c r="C1638" s="954" t="s">
        <v>2190</v>
      </c>
      <c r="D1638" s="955" t="s">
        <v>2121</v>
      </c>
      <c r="E1638" s="956">
        <v>1</v>
      </c>
      <c r="F1638" s="197"/>
      <c r="G1638" s="197"/>
      <c r="H1638" s="197"/>
      <c r="I1638" s="197"/>
      <c r="J1638" s="957">
        <v>6750</v>
      </c>
      <c r="K1638" s="197">
        <f t="shared" si="107"/>
        <v>6750</v>
      </c>
    </row>
    <row r="1639" spans="1:11" ht="24">
      <c r="A1639" s="212">
        <v>38</v>
      </c>
      <c r="B1639" s="213" t="s">
        <v>2189</v>
      </c>
      <c r="C1639" s="954" t="s">
        <v>2191</v>
      </c>
      <c r="D1639" s="955" t="s">
        <v>2121</v>
      </c>
      <c r="E1639" s="956">
        <v>1</v>
      </c>
      <c r="F1639" s="197"/>
      <c r="G1639" s="197"/>
      <c r="H1639" s="197"/>
      <c r="I1639" s="197"/>
      <c r="J1639" s="957">
        <v>6750</v>
      </c>
      <c r="K1639" s="197">
        <f t="shared" si="107"/>
        <v>6750</v>
      </c>
    </row>
    <row r="1640" spans="1:11" ht="16.5">
      <c r="A1640" s="212">
        <v>39</v>
      </c>
      <c r="B1640" s="213" t="s">
        <v>1657</v>
      </c>
      <c r="C1640" s="954" t="s">
        <v>2192</v>
      </c>
      <c r="D1640" s="955" t="s">
        <v>2121</v>
      </c>
      <c r="E1640" s="956">
        <v>1</v>
      </c>
      <c r="F1640" s="197"/>
      <c r="G1640" s="197"/>
      <c r="H1640" s="197"/>
      <c r="I1640" s="197"/>
      <c r="J1640" s="957">
        <v>10125</v>
      </c>
      <c r="K1640" s="197">
        <f t="shared" si="107"/>
        <v>10125</v>
      </c>
    </row>
    <row r="1641" spans="1:11" ht="36">
      <c r="A1641" s="212">
        <v>40</v>
      </c>
      <c r="B1641" s="213" t="s">
        <v>2193</v>
      </c>
      <c r="C1641" s="954" t="s">
        <v>2194</v>
      </c>
      <c r="D1641" s="955" t="s">
        <v>2121</v>
      </c>
      <c r="E1641" s="956">
        <v>1</v>
      </c>
      <c r="F1641" s="197"/>
      <c r="G1641" s="197"/>
      <c r="H1641" s="197"/>
      <c r="I1641" s="197"/>
      <c r="J1641" s="957">
        <v>13500</v>
      </c>
      <c r="K1641" s="197">
        <f t="shared" si="107"/>
        <v>13500</v>
      </c>
    </row>
    <row r="1642" spans="1:11" ht="24">
      <c r="A1642" s="212">
        <v>41</v>
      </c>
      <c r="B1642" s="213" t="s">
        <v>1665</v>
      </c>
      <c r="C1642" s="954" t="s">
        <v>2195</v>
      </c>
      <c r="D1642" s="955" t="s">
        <v>2121</v>
      </c>
      <c r="E1642" s="956">
        <v>1</v>
      </c>
      <c r="F1642" s="197"/>
      <c r="G1642" s="197"/>
      <c r="H1642" s="197"/>
      <c r="I1642" s="197"/>
      <c r="J1642" s="957">
        <v>11812</v>
      </c>
      <c r="K1642" s="197">
        <f t="shared" si="107"/>
        <v>11812</v>
      </c>
    </row>
    <row r="1643" spans="1:11" ht="24">
      <c r="A1643" s="212">
        <v>42</v>
      </c>
      <c r="B1643" s="213" t="s">
        <v>2196</v>
      </c>
      <c r="C1643" s="954" t="s">
        <v>2197</v>
      </c>
      <c r="D1643" s="955" t="s">
        <v>2121</v>
      </c>
      <c r="E1643" s="956">
        <v>1</v>
      </c>
      <c r="F1643" s="197"/>
      <c r="G1643" s="197"/>
      <c r="H1643" s="197"/>
      <c r="I1643" s="197"/>
      <c r="J1643" s="957">
        <v>9900</v>
      </c>
      <c r="K1643" s="197">
        <f t="shared" si="107"/>
        <v>9900</v>
      </c>
    </row>
    <row r="1644" spans="1:11" ht="16.5">
      <c r="A1644" s="212">
        <v>43</v>
      </c>
      <c r="B1644" s="213" t="s">
        <v>2198</v>
      </c>
      <c r="C1644" s="954" t="s">
        <v>2199</v>
      </c>
      <c r="D1644" s="955" t="s">
        <v>2121</v>
      </c>
      <c r="E1644" s="956">
        <v>1</v>
      </c>
      <c r="F1644" s="197"/>
      <c r="G1644" s="197"/>
      <c r="H1644" s="197"/>
      <c r="I1644" s="197"/>
      <c r="J1644" s="957">
        <v>9000</v>
      </c>
      <c r="K1644" s="197">
        <f t="shared" si="107"/>
        <v>9000</v>
      </c>
    </row>
    <row r="1645" spans="1:11" ht="16.5">
      <c r="A1645" s="212">
        <v>44</v>
      </c>
      <c r="B1645" s="213" t="s">
        <v>2200</v>
      </c>
      <c r="C1645" s="954" t="s">
        <v>2201</v>
      </c>
      <c r="D1645" s="955" t="s">
        <v>2121</v>
      </c>
      <c r="E1645" s="956">
        <v>1</v>
      </c>
      <c r="F1645" s="197"/>
      <c r="G1645" s="197"/>
      <c r="H1645" s="197"/>
      <c r="I1645" s="197"/>
      <c r="J1645" s="957">
        <v>11137</v>
      </c>
      <c r="K1645" s="197">
        <f t="shared" si="107"/>
        <v>11137</v>
      </c>
    </row>
    <row r="1646" spans="1:11" ht="24">
      <c r="A1646" s="212">
        <v>45</v>
      </c>
      <c r="B1646" s="213" t="s">
        <v>2202</v>
      </c>
      <c r="C1646" s="958" t="s">
        <v>2203</v>
      </c>
      <c r="D1646" s="955" t="s">
        <v>2121</v>
      </c>
      <c r="E1646" s="956">
        <v>1</v>
      </c>
      <c r="F1646" s="197"/>
      <c r="G1646" s="197"/>
      <c r="H1646" s="197"/>
      <c r="I1646" s="197"/>
      <c r="J1646" s="959">
        <v>15322.5</v>
      </c>
      <c r="K1646" s="197">
        <f t="shared" si="107"/>
        <v>15322.5</v>
      </c>
    </row>
    <row r="1647" spans="1:11" ht="24">
      <c r="A1647" s="212">
        <v>46</v>
      </c>
      <c r="B1647" s="213" t="s">
        <v>2204</v>
      </c>
      <c r="C1647" s="954" t="s">
        <v>2205</v>
      </c>
      <c r="D1647" s="955" t="s">
        <v>2121</v>
      </c>
      <c r="E1647" s="956">
        <v>1</v>
      </c>
      <c r="F1647" s="197"/>
      <c r="G1647" s="197"/>
      <c r="H1647" s="197"/>
      <c r="I1647" s="197"/>
      <c r="J1647" s="959">
        <v>3972.5</v>
      </c>
      <c r="K1647" s="197">
        <f t="shared" si="107"/>
        <v>3972.5</v>
      </c>
    </row>
    <row r="1648" spans="1:11" ht="36">
      <c r="A1648" s="212">
        <v>47</v>
      </c>
      <c r="B1648" s="213" t="s">
        <v>739</v>
      </c>
      <c r="C1648" s="954" t="s">
        <v>2206</v>
      </c>
      <c r="D1648" s="955" t="s">
        <v>2121</v>
      </c>
      <c r="E1648" s="956">
        <v>1</v>
      </c>
      <c r="F1648" s="197"/>
      <c r="G1648" s="197"/>
      <c r="H1648" s="197"/>
      <c r="I1648" s="197"/>
      <c r="J1648" s="959">
        <v>12768.75</v>
      </c>
      <c r="K1648" s="197">
        <f t="shared" si="107"/>
        <v>12768.75</v>
      </c>
    </row>
    <row r="1649" spans="1:11" ht="16.5">
      <c r="A1649" s="212">
        <v>48</v>
      </c>
      <c r="B1649" s="213" t="s">
        <v>2207</v>
      </c>
      <c r="C1649" s="954" t="s">
        <v>2208</v>
      </c>
      <c r="D1649" s="955" t="s">
        <v>2121</v>
      </c>
      <c r="E1649" s="956">
        <v>2</v>
      </c>
      <c r="F1649" s="197"/>
      <c r="G1649" s="197"/>
      <c r="H1649" s="197"/>
      <c r="I1649" s="197"/>
      <c r="J1649" s="959">
        <v>12768.75</v>
      </c>
      <c r="K1649" s="197">
        <f t="shared" si="107"/>
        <v>25537.5</v>
      </c>
    </row>
    <row r="1650" spans="1:11" ht="16.5">
      <c r="A1650" s="212">
        <v>49</v>
      </c>
      <c r="B1650" s="213" t="s">
        <v>2129</v>
      </c>
      <c r="C1650" s="954" t="s">
        <v>2209</v>
      </c>
      <c r="D1650" s="955" t="s">
        <v>2121</v>
      </c>
      <c r="E1650" s="956">
        <v>1</v>
      </c>
      <c r="F1650" s="197"/>
      <c r="G1650" s="197"/>
      <c r="H1650" s="197"/>
      <c r="I1650" s="197"/>
      <c r="J1650" s="960">
        <v>9874.5</v>
      </c>
      <c r="K1650" s="197">
        <f t="shared" si="107"/>
        <v>9874.5</v>
      </c>
    </row>
    <row r="1651" spans="1:11" ht="16.5">
      <c r="A1651" s="212">
        <v>50</v>
      </c>
      <c r="B1651" s="213" t="s">
        <v>2210</v>
      </c>
      <c r="C1651" s="954" t="s">
        <v>2211</v>
      </c>
      <c r="D1651" s="955" t="s">
        <v>2121</v>
      </c>
      <c r="E1651" s="956">
        <v>1</v>
      </c>
      <c r="F1651" s="197"/>
      <c r="G1651" s="197"/>
      <c r="H1651" s="197"/>
      <c r="I1651" s="197"/>
      <c r="J1651" s="960">
        <v>5902</v>
      </c>
      <c r="K1651" s="197">
        <f t="shared" si="107"/>
        <v>5902</v>
      </c>
    </row>
    <row r="1652" spans="1:11" ht="16.5">
      <c r="A1652" s="212">
        <v>51</v>
      </c>
      <c r="B1652" s="213" t="s">
        <v>2212</v>
      </c>
      <c r="C1652" s="954" t="s">
        <v>2213</v>
      </c>
      <c r="D1652" s="955" t="s">
        <v>2121</v>
      </c>
      <c r="E1652" s="956">
        <v>4</v>
      </c>
      <c r="F1652" s="197"/>
      <c r="G1652" s="197"/>
      <c r="H1652" s="197"/>
      <c r="I1652" s="197"/>
      <c r="J1652" s="960">
        <v>2724</v>
      </c>
      <c r="K1652" s="197">
        <f t="shared" si="107"/>
        <v>10896</v>
      </c>
    </row>
    <row r="1653" spans="1:11" ht="16.5">
      <c r="A1653" s="212">
        <v>52</v>
      </c>
      <c r="B1653" s="213" t="s">
        <v>2214</v>
      </c>
      <c r="C1653" s="954" t="s">
        <v>1688</v>
      </c>
      <c r="D1653" s="955" t="s">
        <v>2121</v>
      </c>
      <c r="E1653" s="956">
        <v>2</v>
      </c>
      <c r="F1653" s="197"/>
      <c r="G1653" s="197"/>
      <c r="H1653" s="197"/>
      <c r="I1653" s="197"/>
      <c r="J1653" s="960">
        <v>1135</v>
      </c>
      <c r="K1653" s="197">
        <f t="shared" si="107"/>
        <v>2270</v>
      </c>
    </row>
    <row r="1654" spans="1:11" ht="16.5">
      <c r="A1654" s="212">
        <v>53</v>
      </c>
      <c r="B1654" s="213"/>
      <c r="C1654" s="961" t="s">
        <v>2215</v>
      </c>
      <c r="D1654" s="955" t="s">
        <v>2121</v>
      </c>
      <c r="E1654" s="956">
        <v>1</v>
      </c>
      <c r="F1654" s="197"/>
      <c r="G1654" s="197"/>
      <c r="H1654" s="197"/>
      <c r="I1654" s="197"/>
      <c r="J1654" s="962">
        <v>27518.78</v>
      </c>
      <c r="K1654" s="197">
        <f t="shared" si="107"/>
        <v>27518.78</v>
      </c>
    </row>
    <row r="1655" spans="1:11" ht="16.5">
      <c r="A1655" s="212">
        <v>54</v>
      </c>
      <c r="B1655" s="213"/>
      <c r="C1655" s="963" t="s">
        <v>2216</v>
      </c>
      <c r="D1655" s="955" t="s">
        <v>2121</v>
      </c>
      <c r="E1655" s="956">
        <v>6</v>
      </c>
      <c r="F1655" s="197"/>
      <c r="G1655" s="197"/>
      <c r="H1655" s="197"/>
      <c r="I1655" s="197"/>
      <c r="J1655" s="962">
        <v>6717.74</v>
      </c>
      <c r="K1655" s="197">
        <f t="shared" si="107"/>
        <v>40306.44</v>
      </c>
    </row>
    <row r="1656" spans="1:11" ht="16.5">
      <c r="A1656" s="212">
        <v>55</v>
      </c>
      <c r="B1656" s="213"/>
      <c r="C1656" s="964" t="s">
        <v>2217</v>
      </c>
      <c r="D1656" s="955" t="s">
        <v>2121</v>
      </c>
      <c r="E1656" s="956">
        <v>1</v>
      </c>
      <c r="F1656" s="197"/>
      <c r="G1656" s="197"/>
      <c r="H1656" s="197"/>
      <c r="I1656" s="197"/>
      <c r="J1656" s="965">
        <v>29667.56</v>
      </c>
      <c r="K1656" s="197">
        <f t="shared" si="107"/>
        <v>29667.56</v>
      </c>
    </row>
    <row r="1657" spans="1:11">
      <c r="A1657" s="966" t="s">
        <v>2218</v>
      </c>
      <c r="B1657" s="966"/>
      <c r="C1657" s="966"/>
      <c r="D1657" s="966"/>
      <c r="E1657" s="966"/>
      <c r="F1657" s="966"/>
      <c r="G1657" s="966"/>
      <c r="H1657" s="966"/>
      <c r="I1657" s="966"/>
      <c r="J1657" s="966"/>
      <c r="K1657" s="967"/>
    </row>
    <row r="1658" spans="1:11">
      <c r="A1658" s="968"/>
      <c r="B1658" s="968"/>
      <c r="C1658" s="968"/>
      <c r="D1658" s="968"/>
      <c r="E1658" s="968"/>
      <c r="F1658" s="968"/>
      <c r="G1658" s="968"/>
      <c r="H1658" s="968"/>
      <c r="I1658" s="968"/>
      <c r="J1658" s="968"/>
      <c r="K1658" s="969"/>
    </row>
    <row r="1659" spans="1:11">
      <c r="A1659" s="968"/>
      <c r="B1659" s="968"/>
      <c r="C1659" s="968"/>
      <c r="D1659" s="968"/>
      <c r="E1659" s="968"/>
      <c r="F1659" s="968"/>
      <c r="G1659" s="968"/>
      <c r="H1659" s="968"/>
      <c r="I1659" s="968"/>
      <c r="J1659" s="968"/>
      <c r="K1659" s="969"/>
    </row>
    <row r="1660" spans="1:11" ht="16.5">
      <c r="A1660" s="17">
        <v>1</v>
      </c>
      <c r="B1660" s="970"/>
      <c r="C1660" s="971" t="s">
        <v>2219</v>
      </c>
      <c r="D1660" s="972" t="s">
        <v>206</v>
      </c>
      <c r="E1660" s="197"/>
      <c r="F1660" s="197"/>
      <c r="G1660" s="197"/>
      <c r="H1660" s="197"/>
      <c r="I1660" s="973">
        <v>1</v>
      </c>
      <c r="J1660" s="973">
        <v>0</v>
      </c>
      <c r="K1660" s="197">
        <f t="shared" si="107"/>
        <v>0</v>
      </c>
    </row>
    <row r="1661" spans="1:11" ht="24">
      <c r="A1661" s="974">
        <v>2</v>
      </c>
      <c r="B1661" s="213" t="s">
        <v>2220</v>
      </c>
      <c r="C1661" s="954" t="s">
        <v>2221</v>
      </c>
      <c r="D1661" s="955" t="s">
        <v>2121</v>
      </c>
      <c r="E1661" s="197"/>
      <c r="F1661" s="197"/>
      <c r="G1661" s="197"/>
      <c r="H1661" s="197"/>
      <c r="I1661" s="956">
        <v>4</v>
      </c>
      <c r="J1661" s="957">
        <v>550</v>
      </c>
      <c r="K1661" s="197">
        <f t="shared" si="107"/>
        <v>2200</v>
      </c>
    </row>
    <row r="1662" spans="1:11" ht="16.5">
      <c r="A1662" s="974">
        <v>3</v>
      </c>
      <c r="B1662" s="213" t="s">
        <v>2222</v>
      </c>
      <c r="C1662" s="954" t="s">
        <v>2223</v>
      </c>
      <c r="D1662" s="955" t="s">
        <v>2121</v>
      </c>
      <c r="E1662" s="197"/>
      <c r="F1662" s="197"/>
      <c r="G1662" s="197"/>
      <c r="H1662" s="197"/>
      <c r="I1662" s="956">
        <v>1</v>
      </c>
      <c r="J1662" s="957">
        <v>900</v>
      </c>
      <c r="K1662" s="197">
        <f t="shared" si="107"/>
        <v>900</v>
      </c>
    </row>
    <row r="1663" spans="1:11" ht="24">
      <c r="A1663" s="17">
        <v>4</v>
      </c>
      <c r="B1663" s="213" t="s">
        <v>2224</v>
      </c>
      <c r="C1663" s="954" t="s">
        <v>2225</v>
      </c>
      <c r="D1663" s="955" t="s">
        <v>2121</v>
      </c>
      <c r="E1663" s="975"/>
      <c r="F1663" s="197"/>
      <c r="G1663" s="197"/>
      <c r="H1663" s="197"/>
      <c r="I1663" s="975">
        <v>1</v>
      </c>
      <c r="J1663" s="957">
        <v>11036</v>
      </c>
      <c r="K1663" s="197">
        <f>J1663*(I1663+E1663)</f>
        <v>11036</v>
      </c>
    </row>
    <row r="1664" spans="1:11" ht="16.5">
      <c r="A1664" s="17">
        <v>5</v>
      </c>
      <c r="B1664" s="213" t="s">
        <v>2226</v>
      </c>
      <c r="C1664" s="954" t="s">
        <v>2227</v>
      </c>
      <c r="D1664" s="955" t="s">
        <v>2121</v>
      </c>
      <c r="E1664" s="956"/>
      <c r="F1664" s="197"/>
      <c r="G1664" s="197"/>
      <c r="H1664" s="197"/>
      <c r="I1664" s="956">
        <v>1</v>
      </c>
      <c r="J1664" s="957">
        <v>297</v>
      </c>
      <c r="K1664" s="197">
        <f>J1664*(I1664+E1664)</f>
        <v>297</v>
      </c>
    </row>
    <row r="1665" spans="1:11" ht="24">
      <c r="A1665" s="974">
        <v>6</v>
      </c>
      <c r="B1665" s="213" t="s">
        <v>2228</v>
      </c>
      <c r="C1665" s="954" t="s">
        <v>2229</v>
      </c>
      <c r="D1665" s="955" t="s">
        <v>2121</v>
      </c>
      <c r="E1665" s="956"/>
      <c r="F1665" s="197"/>
      <c r="G1665" s="197"/>
      <c r="H1665" s="197"/>
      <c r="I1665" s="956">
        <v>1</v>
      </c>
      <c r="J1665" s="957">
        <v>3330</v>
      </c>
      <c r="K1665" s="197">
        <f>J1665*(I1665+E1665)</f>
        <v>3330</v>
      </c>
    </row>
    <row r="1666" spans="1:11" ht="24">
      <c r="A1666" s="974">
        <v>7</v>
      </c>
      <c r="B1666" s="213" t="s">
        <v>2230</v>
      </c>
      <c r="C1666" s="954" t="s">
        <v>2231</v>
      </c>
      <c r="D1666" s="955" t="s">
        <v>2121</v>
      </c>
      <c r="E1666" s="956"/>
      <c r="F1666" s="197"/>
      <c r="G1666" s="197"/>
      <c r="H1666" s="197"/>
      <c r="I1666" s="956">
        <v>1</v>
      </c>
      <c r="J1666" s="957">
        <v>5157</v>
      </c>
      <c r="K1666" s="197">
        <f>J1666*(I1666+E1666)</f>
        <v>5157</v>
      </c>
    </row>
    <row r="1667" spans="1:11" ht="24">
      <c r="A1667" s="17">
        <v>8</v>
      </c>
      <c r="B1667" s="213" t="s">
        <v>2232</v>
      </c>
      <c r="C1667" s="954" t="s">
        <v>2233</v>
      </c>
      <c r="D1667" s="955" t="s">
        <v>2121</v>
      </c>
      <c r="E1667" s="197"/>
      <c r="F1667" s="197"/>
      <c r="G1667" s="197"/>
      <c r="H1667" s="197"/>
      <c r="I1667" s="975">
        <v>1</v>
      </c>
      <c r="J1667" s="957">
        <v>14062.5</v>
      </c>
      <c r="K1667" s="197">
        <f t="shared" si="107"/>
        <v>14062.5</v>
      </c>
    </row>
    <row r="1668" spans="1:11" ht="24">
      <c r="A1668" s="17">
        <v>9</v>
      </c>
      <c r="B1668" s="213" t="s">
        <v>2234</v>
      </c>
      <c r="C1668" s="954" t="s">
        <v>2235</v>
      </c>
      <c r="D1668" s="955" t="s">
        <v>2121</v>
      </c>
      <c r="E1668" s="197"/>
      <c r="F1668" s="197"/>
      <c r="G1668" s="197"/>
      <c r="H1668" s="197"/>
      <c r="I1668" s="956">
        <v>1</v>
      </c>
      <c r="J1668" s="957">
        <v>16312</v>
      </c>
      <c r="K1668" s="197">
        <f t="shared" ref="K1668:K1731" si="108">J1668*(I1668+E1668)</f>
        <v>16312</v>
      </c>
    </row>
    <row r="1669" spans="1:11" ht="36">
      <c r="A1669" s="17">
        <v>10</v>
      </c>
      <c r="B1669" s="213" t="s">
        <v>2236</v>
      </c>
      <c r="C1669" s="954" t="s">
        <v>2237</v>
      </c>
      <c r="D1669" s="955" t="s">
        <v>2121</v>
      </c>
      <c r="E1669" s="225"/>
      <c r="F1669" s="197"/>
      <c r="G1669" s="197"/>
      <c r="H1669" s="197"/>
      <c r="I1669" s="956">
        <v>1</v>
      </c>
      <c r="J1669" s="957">
        <v>12733</v>
      </c>
      <c r="K1669" s="197">
        <f t="shared" si="108"/>
        <v>12733</v>
      </c>
    </row>
    <row r="1670" spans="1:11" ht="24">
      <c r="A1670" s="17">
        <v>11</v>
      </c>
      <c r="B1670" s="213"/>
      <c r="C1670" s="954" t="s">
        <v>2238</v>
      </c>
      <c r="D1670" s="955" t="s">
        <v>2121</v>
      </c>
      <c r="E1670" s="956"/>
      <c r="F1670" s="197"/>
      <c r="G1670" s="197"/>
      <c r="H1670" s="197"/>
      <c r="I1670" s="197">
        <v>1</v>
      </c>
      <c r="J1670" s="957"/>
      <c r="K1670" s="197">
        <f t="shared" si="108"/>
        <v>0</v>
      </c>
    </row>
    <row r="1671" spans="1:11">
      <c r="A1671" s="976" t="s">
        <v>2239</v>
      </c>
      <c r="B1671" s="976"/>
      <c r="C1671" s="976"/>
      <c r="D1671" s="976"/>
      <c r="E1671" s="976"/>
      <c r="F1671" s="976"/>
      <c r="G1671" s="976"/>
      <c r="H1671" s="976"/>
      <c r="I1671" s="976"/>
      <c r="J1671" s="976"/>
      <c r="K1671" s="977"/>
    </row>
    <row r="1672" spans="1:11">
      <c r="A1672" s="978"/>
      <c r="B1672" s="978"/>
      <c r="C1672" s="978"/>
      <c r="D1672" s="978"/>
      <c r="E1672" s="978"/>
      <c r="F1672" s="978"/>
      <c r="G1672" s="978"/>
      <c r="H1672" s="978"/>
      <c r="I1672" s="978"/>
      <c r="J1672" s="978"/>
      <c r="K1672" s="979"/>
    </row>
    <row r="1673" spans="1:11" ht="16.5">
      <c r="A1673" s="195" t="s">
        <v>927</v>
      </c>
      <c r="B1673" s="196" t="s">
        <v>117</v>
      </c>
      <c r="C1673" s="195" t="s">
        <v>928</v>
      </c>
      <c r="D1673" s="197" t="s">
        <v>119</v>
      </c>
      <c r="E1673" s="198" t="s">
        <v>929</v>
      </c>
      <c r="F1673" s="199"/>
      <c r="G1673" s="199"/>
      <c r="H1673" s="199"/>
      <c r="I1673" s="200"/>
      <c r="J1673" s="201" t="s">
        <v>930</v>
      </c>
      <c r="K1673" s="201" t="s">
        <v>225</v>
      </c>
    </row>
    <row r="1674" spans="1:11" ht="16.5">
      <c r="A1674" s="202"/>
      <c r="B1674" s="203"/>
      <c r="C1674" s="202"/>
      <c r="D1674" s="204"/>
      <c r="E1674" s="206" t="s">
        <v>121</v>
      </c>
      <c r="F1674" s="206" t="s">
        <v>931</v>
      </c>
      <c r="G1674" s="206" t="s">
        <v>1</v>
      </c>
      <c r="H1674" s="206" t="s">
        <v>932</v>
      </c>
      <c r="I1674" s="206" t="s">
        <v>0</v>
      </c>
      <c r="J1674" s="207"/>
      <c r="K1674" s="207"/>
    </row>
    <row r="1675" spans="1:11" ht="16.5">
      <c r="A1675" s="980">
        <v>1</v>
      </c>
      <c r="B1675" s="980" t="s">
        <v>2240</v>
      </c>
      <c r="C1675" s="981" t="s">
        <v>325</v>
      </c>
      <c r="D1675" s="910" t="s">
        <v>387</v>
      </c>
      <c r="E1675" s="982" t="s">
        <v>2241</v>
      </c>
      <c r="F1675" s="983"/>
      <c r="G1675" s="197"/>
      <c r="H1675" s="983"/>
      <c r="I1675" s="197"/>
      <c r="J1675" s="886">
        <v>82.5</v>
      </c>
      <c r="K1675" s="197">
        <f t="shared" si="108"/>
        <v>22357.5</v>
      </c>
    </row>
    <row r="1676" spans="1:11" ht="16.5">
      <c r="A1676" s="980">
        <v>2</v>
      </c>
      <c r="B1676" s="214" t="s">
        <v>2240</v>
      </c>
      <c r="C1676" s="984" t="s">
        <v>545</v>
      </c>
      <c r="D1676" s="910" t="s">
        <v>498</v>
      </c>
      <c r="E1676" s="985" t="s">
        <v>2242</v>
      </c>
      <c r="F1676" s="197"/>
      <c r="G1676" s="197"/>
      <c r="H1676" s="983"/>
      <c r="I1676" s="197"/>
      <c r="J1676" s="886">
        <v>82500</v>
      </c>
      <c r="K1676" s="197">
        <f t="shared" si="108"/>
        <v>107250</v>
      </c>
    </row>
    <row r="1677" spans="1:11" ht="26.25">
      <c r="A1677" s="980">
        <v>3</v>
      </c>
      <c r="B1677" s="216" t="s">
        <v>2243</v>
      </c>
      <c r="C1677" s="984" t="s">
        <v>2244</v>
      </c>
      <c r="D1677" s="910" t="s">
        <v>208</v>
      </c>
      <c r="E1677" s="985" t="s">
        <v>2245</v>
      </c>
      <c r="F1677" s="197"/>
      <c r="G1677" s="197"/>
      <c r="H1677" s="983"/>
      <c r="I1677" s="197"/>
      <c r="J1677" s="886">
        <v>10</v>
      </c>
      <c r="K1677" s="197">
        <f t="shared" si="108"/>
        <v>426.5</v>
      </c>
    </row>
    <row r="1678" spans="1:11" ht="16.5">
      <c r="A1678" s="980">
        <v>4</v>
      </c>
      <c r="B1678" s="214" t="s">
        <v>2246</v>
      </c>
      <c r="C1678" s="986" t="s">
        <v>2247</v>
      </c>
      <c r="D1678" s="910" t="s">
        <v>2248</v>
      </c>
      <c r="E1678" s="985">
        <v>0.99</v>
      </c>
      <c r="F1678" s="197"/>
      <c r="G1678" s="197"/>
      <c r="H1678" s="983"/>
      <c r="I1678" s="197"/>
      <c r="J1678" s="886">
        <v>85125</v>
      </c>
      <c r="K1678" s="197">
        <f t="shared" si="108"/>
        <v>84273.75</v>
      </c>
    </row>
    <row r="1679" spans="1:11" ht="16.5">
      <c r="A1679" s="980">
        <v>5</v>
      </c>
      <c r="B1679" s="214" t="s">
        <v>2249</v>
      </c>
      <c r="C1679" s="986" t="s">
        <v>2250</v>
      </c>
      <c r="D1679" s="910" t="s">
        <v>2251</v>
      </c>
      <c r="E1679" s="985">
        <v>0.71</v>
      </c>
      <c r="F1679" s="197"/>
      <c r="G1679" s="197"/>
      <c r="H1679" s="983"/>
      <c r="I1679" s="197"/>
      <c r="J1679" s="886">
        <v>29841</v>
      </c>
      <c r="K1679" s="197">
        <f t="shared" si="108"/>
        <v>21187.11</v>
      </c>
    </row>
    <row r="1680" spans="1:11" ht="16.5">
      <c r="A1680" s="980">
        <v>6</v>
      </c>
      <c r="B1680" s="216" t="s">
        <v>2252</v>
      </c>
      <c r="C1680" s="986" t="s">
        <v>2253</v>
      </c>
      <c r="D1680" s="910" t="s">
        <v>2251</v>
      </c>
      <c r="E1680" s="985">
        <v>0.66600000000000004</v>
      </c>
      <c r="F1680" s="197"/>
      <c r="G1680" s="197"/>
      <c r="H1680" s="983"/>
      <c r="I1680" s="197"/>
      <c r="J1680" s="886">
        <v>27000</v>
      </c>
      <c r="K1680" s="197">
        <f t="shared" si="108"/>
        <v>17982</v>
      </c>
    </row>
    <row r="1681" spans="1:11" ht="26.25">
      <c r="A1681" s="980">
        <v>7</v>
      </c>
      <c r="B1681" s="216" t="s">
        <v>2254</v>
      </c>
      <c r="C1681" s="986" t="s">
        <v>2255</v>
      </c>
      <c r="D1681" s="910" t="s">
        <v>40</v>
      </c>
      <c r="E1681" s="985">
        <v>1000</v>
      </c>
      <c r="F1681" s="197"/>
      <c r="G1681" s="197"/>
      <c r="H1681" s="983"/>
      <c r="I1681" s="197"/>
      <c r="J1681" s="886">
        <v>3.38</v>
      </c>
      <c r="K1681" s="197">
        <f t="shared" si="108"/>
        <v>3380</v>
      </c>
    </row>
    <row r="1682" spans="1:11" ht="26.25">
      <c r="A1682" s="980">
        <v>8</v>
      </c>
      <c r="B1682" s="216" t="s">
        <v>2256</v>
      </c>
      <c r="C1682" s="986" t="s">
        <v>2257</v>
      </c>
      <c r="D1682" s="910" t="s">
        <v>2251</v>
      </c>
      <c r="E1682" s="985" t="s">
        <v>2258</v>
      </c>
      <c r="F1682" s="197"/>
      <c r="G1682" s="197"/>
      <c r="H1682" s="983"/>
      <c r="I1682" s="197"/>
      <c r="J1682" s="886">
        <v>116905</v>
      </c>
      <c r="K1682" s="197">
        <f t="shared" si="108"/>
        <v>1146978.3359999999</v>
      </c>
    </row>
    <row r="1683" spans="1:11" ht="26.25">
      <c r="A1683" s="980">
        <v>9</v>
      </c>
      <c r="B1683" s="214" t="s">
        <v>2259</v>
      </c>
      <c r="C1683" s="986" t="s">
        <v>2260</v>
      </c>
      <c r="D1683" s="910" t="s">
        <v>1093</v>
      </c>
      <c r="E1683" s="985" t="s">
        <v>2261</v>
      </c>
      <c r="F1683" s="197"/>
      <c r="G1683" s="197"/>
      <c r="H1683" s="983"/>
      <c r="I1683" s="197"/>
      <c r="J1683" s="987">
        <v>116.905</v>
      </c>
      <c r="K1683" s="197">
        <f t="shared" si="108"/>
        <v>8166.0480600000001</v>
      </c>
    </row>
    <row r="1684" spans="1:11" ht="26.25">
      <c r="A1684" s="980">
        <v>10</v>
      </c>
      <c r="B1684" s="216" t="s">
        <v>2262</v>
      </c>
      <c r="C1684" s="986" t="s">
        <v>2263</v>
      </c>
      <c r="D1684" s="910" t="s">
        <v>1093</v>
      </c>
      <c r="E1684" s="920">
        <v>28.625</v>
      </c>
      <c r="F1684" s="197"/>
      <c r="G1684" s="197"/>
      <c r="H1684" s="983"/>
      <c r="I1684" s="197"/>
      <c r="J1684" s="987">
        <v>116.905</v>
      </c>
      <c r="K1684" s="197">
        <f t="shared" si="108"/>
        <v>3346.4056249999999</v>
      </c>
    </row>
    <row r="1685" spans="1:11" ht="26.25">
      <c r="A1685" s="980">
        <v>11</v>
      </c>
      <c r="B1685" s="214" t="s">
        <v>2264</v>
      </c>
      <c r="C1685" s="986" t="s">
        <v>2265</v>
      </c>
      <c r="D1685" s="910" t="s">
        <v>1093</v>
      </c>
      <c r="E1685" s="920">
        <v>40.305</v>
      </c>
      <c r="F1685" s="197"/>
      <c r="G1685" s="197"/>
      <c r="H1685" s="983"/>
      <c r="I1685" s="197"/>
      <c r="J1685" s="987">
        <v>116.905</v>
      </c>
      <c r="K1685" s="197">
        <f t="shared" si="108"/>
        <v>4711.856025</v>
      </c>
    </row>
    <row r="1686" spans="1:11" ht="26.25">
      <c r="A1686" s="980">
        <v>12</v>
      </c>
      <c r="B1686" s="216" t="s">
        <v>1988</v>
      </c>
      <c r="C1686" s="986" t="s">
        <v>2266</v>
      </c>
      <c r="D1686" s="910" t="s">
        <v>1093</v>
      </c>
      <c r="E1686" s="985" t="s">
        <v>2267</v>
      </c>
      <c r="F1686" s="197"/>
      <c r="G1686" s="197"/>
      <c r="H1686" s="983"/>
      <c r="I1686" s="197"/>
      <c r="J1686" s="987">
        <v>116.905</v>
      </c>
      <c r="K1686" s="197">
        <f t="shared" si="108"/>
        <v>6068.0709299999999</v>
      </c>
    </row>
    <row r="1687" spans="1:11" ht="26.25">
      <c r="A1687" s="980">
        <v>13</v>
      </c>
      <c r="B1687" s="214" t="s">
        <v>2268</v>
      </c>
      <c r="C1687" s="986" t="s">
        <v>2269</v>
      </c>
      <c r="D1687" s="910" t="s">
        <v>1093</v>
      </c>
      <c r="E1687" s="920">
        <v>5.3719999999999999</v>
      </c>
      <c r="F1687" s="197"/>
      <c r="G1687" s="197"/>
      <c r="H1687" s="983"/>
      <c r="I1687" s="197"/>
      <c r="J1687" s="987">
        <v>116.905</v>
      </c>
      <c r="K1687" s="197">
        <f t="shared" si="108"/>
        <v>628.01365999999996</v>
      </c>
    </row>
    <row r="1688" spans="1:11" ht="26.25">
      <c r="A1688" s="980">
        <v>14</v>
      </c>
      <c r="B1688" s="216" t="s">
        <v>2270</v>
      </c>
      <c r="C1688" s="986" t="s">
        <v>2271</v>
      </c>
      <c r="D1688" s="910" t="s">
        <v>1093</v>
      </c>
      <c r="E1688" s="988" t="s">
        <v>2272</v>
      </c>
      <c r="F1688" s="197"/>
      <c r="G1688" s="197"/>
      <c r="H1688" s="983"/>
      <c r="I1688" s="197"/>
      <c r="J1688" s="987">
        <v>116.905</v>
      </c>
      <c r="K1688" s="197">
        <f t="shared" si="108"/>
        <v>36.240549999999999</v>
      </c>
    </row>
    <row r="1689" spans="1:11" ht="26.25">
      <c r="A1689" s="980">
        <v>15</v>
      </c>
      <c r="B1689" s="214" t="s">
        <v>2273</v>
      </c>
      <c r="C1689" s="986" t="s">
        <v>2274</v>
      </c>
      <c r="D1689" s="910" t="s">
        <v>1093</v>
      </c>
      <c r="E1689" s="985" t="s">
        <v>2275</v>
      </c>
      <c r="F1689" s="197"/>
      <c r="G1689" s="197"/>
      <c r="H1689" s="983"/>
      <c r="I1689" s="197"/>
      <c r="J1689" s="987">
        <v>116.905</v>
      </c>
      <c r="K1689" s="197">
        <f t="shared" si="108"/>
        <v>9978.0755600000011</v>
      </c>
    </row>
    <row r="1690" spans="1:11" ht="26.25">
      <c r="A1690" s="980">
        <v>16</v>
      </c>
      <c r="B1690" s="214" t="s">
        <v>2276</v>
      </c>
      <c r="C1690" s="986" t="s">
        <v>2277</v>
      </c>
      <c r="D1690" s="910" t="s">
        <v>1093</v>
      </c>
      <c r="E1690" s="985" t="s">
        <v>2278</v>
      </c>
      <c r="F1690" s="197"/>
      <c r="G1690" s="197"/>
      <c r="H1690" s="983"/>
      <c r="I1690" s="197"/>
      <c r="J1690" s="987">
        <v>116.905</v>
      </c>
      <c r="K1690" s="197">
        <f t="shared" si="108"/>
        <v>572.83450000000005</v>
      </c>
    </row>
    <row r="1691" spans="1:11" ht="26.25">
      <c r="A1691" s="980">
        <v>17</v>
      </c>
      <c r="B1691" s="216" t="s">
        <v>2279</v>
      </c>
      <c r="C1691" s="986" t="s">
        <v>2280</v>
      </c>
      <c r="D1691" s="910" t="s">
        <v>1093</v>
      </c>
      <c r="E1691" s="985" t="s">
        <v>2281</v>
      </c>
      <c r="F1691" s="197"/>
      <c r="G1691" s="197"/>
      <c r="H1691" s="983"/>
      <c r="I1691" s="197"/>
      <c r="J1691" s="987">
        <v>116.905</v>
      </c>
      <c r="K1691" s="197">
        <f t="shared" si="108"/>
        <v>631.28700000000003</v>
      </c>
    </row>
    <row r="1692" spans="1:11" ht="26.25">
      <c r="A1692" s="980">
        <v>18</v>
      </c>
      <c r="B1692" s="216" t="s">
        <v>2276</v>
      </c>
      <c r="C1692" s="986" t="s">
        <v>2282</v>
      </c>
      <c r="D1692" s="910" t="s">
        <v>1093</v>
      </c>
      <c r="E1692" s="985" t="s">
        <v>2283</v>
      </c>
      <c r="F1692" s="197"/>
      <c r="G1692" s="197"/>
      <c r="H1692" s="983"/>
      <c r="I1692" s="197"/>
      <c r="J1692" s="987">
        <v>116.905</v>
      </c>
      <c r="K1692" s="197">
        <f t="shared" si="108"/>
        <v>400.98415</v>
      </c>
    </row>
    <row r="1693" spans="1:11" ht="26.25">
      <c r="A1693" s="980">
        <v>19</v>
      </c>
      <c r="B1693" s="216" t="s">
        <v>2284</v>
      </c>
      <c r="C1693" s="989" t="s">
        <v>2285</v>
      </c>
      <c r="D1693" s="910" t="s">
        <v>1093</v>
      </c>
      <c r="E1693" s="985" t="s">
        <v>2286</v>
      </c>
      <c r="F1693" s="197"/>
      <c r="G1693" s="197"/>
      <c r="H1693" s="983"/>
      <c r="I1693" s="197"/>
      <c r="J1693" s="987">
        <v>116.905</v>
      </c>
      <c r="K1693" s="197">
        <f t="shared" si="108"/>
        <v>1015.553735</v>
      </c>
    </row>
    <row r="1694" spans="1:11" ht="39">
      <c r="A1694" s="980">
        <v>20</v>
      </c>
      <c r="B1694" s="214" t="s">
        <v>2287</v>
      </c>
      <c r="C1694" s="984" t="s">
        <v>2288</v>
      </c>
      <c r="D1694" s="990" t="s">
        <v>2251</v>
      </c>
      <c r="E1694" s="985" t="s">
        <v>2289</v>
      </c>
      <c r="F1694" s="197"/>
      <c r="G1694" s="197"/>
      <c r="H1694" s="983"/>
      <c r="I1694" s="197"/>
      <c r="J1694" s="991">
        <v>73775</v>
      </c>
      <c r="K1694" s="197">
        <f t="shared" si="108"/>
        <v>28477.15</v>
      </c>
    </row>
    <row r="1695" spans="1:11" ht="16.5">
      <c r="A1695" s="980">
        <v>21</v>
      </c>
      <c r="B1695" s="214" t="s">
        <v>2290</v>
      </c>
      <c r="C1695" s="984" t="s">
        <v>2291</v>
      </c>
      <c r="D1695" s="910" t="s">
        <v>2251</v>
      </c>
      <c r="E1695" s="985">
        <v>3.5870000000000002</v>
      </c>
      <c r="F1695" s="197"/>
      <c r="G1695" s="197"/>
      <c r="H1695" s="983"/>
      <c r="I1695" s="197"/>
      <c r="J1695" s="886">
        <v>76250</v>
      </c>
      <c r="K1695" s="197">
        <f t="shared" si="108"/>
        <v>273508.75</v>
      </c>
    </row>
    <row r="1696" spans="1:11" ht="16.5">
      <c r="A1696" s="980">
        <v>22</v>
      </c>
      <c r="B1696" s="216" t="s">
        <v>2292</v>
      </c>
      <c r="C1696" s="984" t="s">
        <v>2293</v>
      </c>
      <c r="D1696" s="910" t="s">
        <v>2251</v>
      </c>
      <c r="E1696" s="985">
        <v>4.0650000000000004</v>
      </c>
      <c r="F1696" s="197"/>
      <c r="G1696" s="197"/>
      <c r="H1696" s="983"/>
      <c r="I1696" s="197"/>
      <c r="J1696" s="886">
        <v>76250</v>
      </c>
      <c r="K1696" s="197">
        <f t="shared" si="108"/>
        <v>309956.25000000006</v>
      </c>
    </row>
    <row r="1697" spans="1:11" ht="16.5">
      <c r="A1697" s="980">
        <v>23</v>
      </c>
      <c r="B1697" s="216" t="s">
        <v>1394</v>
      </c>
      <c r="C1697" s="981" t="s">
        <v>2294</v>
      </c>
      <c r="D1697" s="910" t="s">
        <v>40</v>
      </c>
      <c r="E1697" s="985" t="s">
        <v>2295</v>
      </c>
      <c r="F1697" s="197"/>
      <c r="G1697" s="197"/>
      <c r="H1697" s="983"/>
      <c r="I1697" s="197"/>
      <c r="J1697" s="886">
        <v>80</v>
      </c>
      <c r="K1697" s="197">
        <f t="shared" si="108"/>
        <v>8000</v>
      </c>
    </row>
    <row r="1698" spans="1:11" ht="16.5">
      <c r="A1698" s="980">
        <v>24</v>
      </c>
      <c r="B1698" s="214" t="s">
        <v>1399</v>
      </c>
      <c r="C1698" s="986" t="s">
        <v>2296</v>
      </c>
      <c r="D1698" s="910" t="s">
        <v>40</v>
      </c>
      <c r="E1698" s="985" t="s">
        <v>2297</v>
      </c>
      <c r="F1698" s="197"/>
      <c r="G1698" s="197"/>
      <c r="H1698" s="983"/>
      <c r="I1698" s="197"/>
      <c r="J1698" s="886">
        <v>40</v>
      </c>
      <c r="K1698" s="197">
        <f t="shared" si="108"/>
        <v>2480</v>
      </c>
    </row>
    <row r="1699" spans="1:11" ht="26.25">
      <c r="A1699" s="980">
        <v>25</v>
      </c>
      <c r="B1699" s="216" t="s">
        <v>1396</v>
      </c>
      <c r="C1699" s="986" t="s">
        <v>2298</v>
      </c>
      <c r="D1699" s="910" t="s">
        <v>40</v>
      </c>
      <c r="E1699" s="985" t="s">
        <v>2299</v>
      </c>
      <c r="F1699" s="197"/>
      <c r="G1699" s="197"/>
      <c r="H1699" s="983"/>
      <c r="I1699" s="197"/>
      <c r="J1699" s="886">
        <v>30</v>
      </c>
      <c r="K1699" s="197">
        <f t="shared" si="108"/>
        <v>690</v>
      </c>
    </row>
    <row r="1700" spans="1:11" ht="51.75">
      <c r="A1700" s="980">
        <v>26</v>
      </c>
      <c r="B1700" s="216" t="s">
        <v>2300</v>
      </c>
      <c r="C1700" s="989" t="s">
        <v>2301</v>
      </c>
      <c r="D1700" s="910" t="s">
        <v>206</v>
      </c>
      <c r="E1700" s="985" t="s">
        <v>2302</v>
      </c>
      <c r="F1700" s="197"/>
      <c r="G1700" s="197"/>
      <c r="H1700" s="983"/>
      <c r="I1700" s="197"/>
      <c r="J1700" s="886">
        <v>9363.75</v>
      </c>
      <c r="K1700" s="197">
        <f t="shared" si="108"/>
        <v>18727.5</v>
      </c>
    </row>
    <row r="1701" spans="1:11" ht="26.25">
      <c r="A1701" s="980">
        <v>27</v>
      </c>
      <c r="B1701" s="216" t="s">
        <v>638</v>
      </c>
      <c r="C1701" s="984" t="s">
        <v>2303</v>
      </c>
      <c r="D1701" s="910" t="s">
        <v>206</v>
      </c>
      <c r="E1701" s="985" t="s">
        <v>2304</v>
      </c>
      <c r="F1701" s="197"/>
      <c r="G1701" s="197"/>
      <c r="H1701" s="983"/>
      <c r="I1701" s="197"/>
      <c r="J1701" s="886">
        <v>1475.5</v>
      </c>
      <c r="K1701" s="197">
        <f t="shared" si="108"/>
        <v>22132.5</v>
      </c>
    </row>
    <row r="1702" spans="1:11" ht="16.5">
      <c r="A1702" s="980">
        <v>28</v>
      </c>
      <c r="B1702" s="214" t="s">
        <v>634</v>
      </c>
      <c r="C1702" s="992" t="s">
        <v>2305</v>
      </c>
      <c r="D1702" s="910" t="s">
        <v>206</v>
      </c>
      <c r="E1702" s="985">
        <v>15</v>
      </c>
      <c r="F1702" s="197"/>
      <c r="G1702" s="197"/>
      <c r="H1702" s="983"/>
      <c r="I1702" s="197"/>
      <c r="J1702" s="886">
        <v>2258.65</v>
      </c>
      <c r="K1702" s="197">
        <f t="shared" si="108"/>
        <v>33879.75</v>
      </c>
    </row>
    <row r="1703" spans="1:11" ht="16.5">
      <c r="A1703" s="980">
        <v>29</v>
      </c>
      <c r="B1703" s="214" t="s">
        <v>1160</v>
      </c>
      <c r="C1703" s="984" t="s">
        <v>2306</v>
      </c>
      <c r="D1703" s="910" t="s">
        <v>62</v>
      </c>
      <c r="E1703" s="985" t="s">
        <v>2307</v>
      </c>
      <c r="F1703" s="197"/>
      <c r="G1703" s="197"/>
      <c r="H1703" s="983"/>
      <c r="I1703" s="197"/>
      <c r="J1703" s="886">
        <v>464</v>
      </c>
      <c r="K1703" s="197">
        <f t="shared" si="108"/>
        <v>54752</v>
      </c>
    </row>
    <row r="1704" spans="1:11" ht="16.5">
      <c r="A1704" s="980">
        <v>30</v>
      </c>
      <c r="B1704" s="214" t="s">
        <v>2308</v>
      </c>
      <c r="C1704" s="984" t="s">
        <v>2309</v>
      </c>
      <c r="D1704" s="910" t="s">
        <v>62</v>
      </c>
      <c r="E1704" s="985" t="s">
        <v>2310</v>
      </c>
      <c r="F1704" s="197"/>
      <c r="G1704" s="197"/>
      <c r="H1704" s="983"/>
      <c r="I1704" s="197"/>
      <c r="J1704" s="886">
        <v>300</v>
      </c>
      <c r="K1704" s="197">
        <f t="shared" si="108"/>
        <v>166500</v>
      </c>
    </row>
    <row r="1705" spans="1:11" ht="45">
      <c r="A1705" s="980">
        <v>31</v>
      </c>
      <c r="B1705" s="214" t="s">
        <v>2311</v>
      </c>
      <c r="C1705" s="946" t="s">
        <v>2312</v>
      </c>
      <c r="D1705" s="910" t="s">
        <v>62</v>
      </c>
      <c r="E1705" s="985" t="s">
        <v>848</v>
      </c>
      <c r="F1705" s="197"/>
      <c r="G1705" s="197"/>
      <c r="H1705" s="983"/>
      <c r="I1705" s="197"/>
      <c r="J1705" s="886">
        <v>9555.64</v>
      </c>
      <c r="K1705" s="197">
        <f t="shared" si="108"/>
        <v>38222.559999999998</v>
      </c>
    </row>
    <row r="1706" spans="1:11" ht="26.25">
      <c r="A1706" s="980">
        <v>32</v>
      </c>
      <c r="B1706" s="913"/>
      <c r="C1706" s="986" t="s">
        <v>2313</v>
      </c>
      <c r="D1706" s="910" t="s">
        <v>387</v>
      </c>
      <c r="E1706" s="985">
        <v>280</v>
      </c>
      <c r="F1706" s="197"/>
      <c r="G1706" s="197"/>
      <c r="H1706" s="983"/>
      <c r="I1706" s="197"/>
      <c r="J1706" s="886">
        <v>355.95</v>
      </c>
      <c r="K1706" s="197">
        <f t="shared" si="108"/>
        <v>99666</v>
      </c>
    </row>
    <row r="1707" spans="1:11" ht="26.25">
      <c r="A1707" s="980">
        <v>33</v>
      </c>
      <c r="B1707" s="214"/>
      <c r="C1707" s="986" t="s">
        <v>2314</v>
      </c>
      <c r="D1707" s="910" t="s">
        <v>2251</v>
      </c>
      <c r="E1707" s="985" t="s">
        <v>2315</v>
      </c>
      <c r="F1707" s="197"/>
      <c r="G1707" s="197"/>
      <c r="H1707" s="983"/>
      <c r="I1707" s="197"/>
      <c r="J1707" s="886">
        <v>29841</v>
      </c>
      <c r="K1707" s="197">
        <f t="shared" si="108"/>
        <v>96967.434269999998</v>
      </c>
    </row>
    <row r="1708" spans="1:11" ht="26.25">
      <c r="A1708" s="980">
        <v>34</v>
      </c>
      <c r="B1708" s="214"/>
      <c r="C1708" s="986" t="s">
        <v>2316</v>
      </c>
      <c r="D1708" s="910" t="s">
        <v>2251</v>
      </c>
      <c r="E1708" s="985" t="s">
        <v>2317</v>
      </c>
      <c r="F1708" s="197"/>
      <c r="G1708" s="197"/>
      <c r="H1708" s="983"/>
      <c r="I1708" s="197"/>
      <c r="J1708" s="886">
        <v>79450</v>
      </c>
      <c r="K1708" s="197">
        <f t="shared" si="108"/>
        <v>28395.43</v>
      </c>
    </row>
    <row r="1709" spans="1:11" ht="16.5">
      <c r="A1709" s="980">
        <v>35</v>
      </c>
      <c r="B1709" s="214"/>
      <c r="C1709" s="984" t="s">
        <v>2318</v>
      </c>
      <c r="D1709" s="910" t="s">
        <v>2251</v>
      </c>
      <c r="E1709" s="988" t="s">
        <v>2319</v>
      </c>
      <c r="F1709" s="197"/>
      <c r="G1709" s="197"/>
      <c r="H1709" s="983"/>
      <c r="I1709" s="197"/>
      <c r="J1709" s="886">
        <v>29841</v>
      </c>
      <c r="K1709" s="197">
        <f t="shared" si="108"/>
        <v>227761.4325</v>
      </c>
    </row>
    <row r="1710" spans="1:11" ht="51.75">
      <c r="A1710" s="980">
        <v>36</v>
      </c>
      <c r="B1710" s="993" t="s">
        <v>2290</v>
      </c>
      <c r="C1710" s="994" t="s">
        <v>2320</v>
      </c>
      <c r="D1710" s="973" t="s">
        <v>4</v>
      </c>
      <c r="E1710" s="995">
        <v>1.3662000000000001</v>
      </c>
      <c r="F1710" s="223"/>
      <c r="G1710" s="223"/>
      <c r="H1710" s="983"/>
      <c r="I1710" s="223"/>
      <c r="J1710" s="996">
        <v>156751.20000000001</v>
      </c>
      <c r="K1710" s="197">
        <f t="shared" si="108"/>
        <v>214153.48944000003</v>
      </c>
    </row>
    <row r="1711" spans="1:11" ht="51.75">
      <c r="A1711" s="980">
        <v>37</v>
      </c>
      <c r="B1711" s="993" t="s">
        <v>2292</v>
      </c>
      <c r="C1711" s="994" t="s">
        <v>2321</v>
      </c>
      <c r="D1711" s="973" t="s">
        <v>4</v>
      </c>
      <c r="E1711" s="995">
        <v>2.3904000000000001</v>
      </c>
      <c r="F1711" s="223"/>
      <c r="G1711" s="223"/>
      <c r="H1711" s="983"/>
      <c r="I1711" s="223"/>
      <c r="J1711" s="996">
        <v>156751.20000000001</v>
      </c>
      <c r="K1711" s="197">
        <f t="shared" si="108"/>
        <v>374698.06848000002</v>
      </c>
    </row>
    <row r="1712" spans="1:11" ht="51.75">
      <c r="A1712" s="980">
        <v>38</v>
      </c>
      <c r="B1712" s="993" t="s">
        <v>2322</v>
      </c>
      <c r="C1712" s="994" t="s">
        <v>2323</v>
      </c>
      <c r="D1712" s="973" t="s">
        <v>4</v>
      </c>
      <c r="E1712" s="995">
        <v>2.1537000000000002</v>
      </c>
      <c r="F1712" s="223"/>
      <c r="G1712" s="223"/>
      <c r="H1712" s="983"/>
      <c r="I1712" s="223"/>
      <c r="J1712" s="996">
        <v>156751.20000000001</v>
      </c>
      <c r="K1712" s="197">
        <f t="shared" si="108"/>
        <v>337595.05944000004</v>
      </c>
    </row>
    <row r="1713" spans="1:11" ht="16.5">
      <c r="A1713" s="980">
        <v>39</v>
      </c>
      <c r="B1713" s="980" t="s">
        <v>2240</v>
      </c>
      <c r="C1713" s="997" t="s">
        <v>2324</v>
      </c>
      <c r="D1713" s="910" t="s">
        <v>2325</v>
      </c>
      <c r="E1713" s="995">
        <v>7.4370000000000003</v>
      </c>
      <c r="F1713" s="223"/>
      <c r="G1713" s="223"/>
      <c r="H1713" s="983"/>
      <c r="I1713" s="223"/>
      <c r="J1713" s="996">
        <v>294287.28000000003</v>
      </c>
      <c r="K1713" s="197">
        <f t="shared" si="108"/>
        <v>2188614.5013600001</v>
      </c>
    </row>
    <row r="1714" spans="1:11" ht="16.5">
      <c r="A1714" s="980">
        <v>40</v>
      </c>
      <c r="B1714" s="993"/>
      <c r="C1714" s="998" t="s">
        <v>2326</v>
      </c>
      <c r="D1714" s="910" t="s">
        <v>2325</v>
      </c>
      <c r="E1714" s="995">
        <v>0.80100000000000005</v>
      </c>
      <c r="F1714" s="223"/>
      <c r="G1714" s="223"/>
      <c r="H1714" s="983"/>
      <c r="I1714" s="223"/>
      <c r="J1714" s="996">
        <v>57806.43</v>
      </c>
      <c r="K1714" s="197">
        <f t="shared" si="108"/>
        <v>46302.950430000004</v>
      </c>
    </row>
    <row r="1715" spans="1:11" ht="51.75">
      <c r="A1715" s="980">
        <v>41</v>
      </c>
      <c r="B1715" s="993" t="s">
        <v>2327</v>
      </c>
      <c r="C1715" s="999" t="s">
        <v>2328</v>
      </c>
      <c r="D1715" s="910" t="s">
        <v>250</v>
      </c>
      <c r="E1715" s="995">
        <v>13</v>
      </c>
      <c r="F1715" s="223"/>
      <c r="G1715" s="223"/>
      <c r="H1715" s="983"/>
      <c r="I1715" s="223"/>
      <c r="J1715" s="996">
        <v>6352.1760000000004</v>
      </c>
      <c r="K1715" s="197">
        <f t="shared" si="108"/>
        <v>82578.288</v>
      </c>
    </row>
    <row r="1716" spans="1:11" ht="39">
      <c r="A1716" s="980">
        <v>42</v>
      </c>
      <c r="B1716" s="993"/>
      <c r="C1716" s="994" t="s">
        <v>2329</v>
      </c>
      <c r="D1716" s="910" t="s">
        <v>250</v>
      </c>
      <c r="E1716" s="995">
        <v>24</v>
      </c>
      <c r="F1716" s="223"/>
      <c r="G1716" s="223"/>
      <c r="H1716" s="983"/>
      <c r="I1716" s="223"/>
      <c r="J1716" s="996">
        <v>2064.2919999999999</v>
      </c>
      <c r="K1716" s="197">
        <f t="shared" si="108"/>
        <v>49543.008000000002</v>
      </c>
    </row>
    <row r="1717" spans="1:11" ht="16.5">
      <c r="A1717" s="980">
        <v>43</v>
      </c>
      <c r="B1717" s="993"/>
      <c r="C1717" s="997" t="s">
        <v>2330</v>
      </c>
      <c r="D1717" s="910" t="s">
        <v>250</v>
      </c>
      <c r="E1717" s="995">
        <v>2</v>
      </c>
      <c r="F1717" s="223"/>
      <c r="G1717" s="223"/>
      <c r="H1717" s="983"/>
      <c r="I1717" s="223"/>
      <c r="J1717" s="996">
        <v>1058.6959999999999</v>
      </c>
      <c r="K1717" s="197">
        <f t="shared" si="108"/>
        <v>2117.3919999999998</v>
      </c>
    </row>
    <row r="1718" spans="1:11" ht="16.5">
      <c r="A1718" s="980">
        <v>44</v>
      </c>
      <c r="B1718" s="216" t="s">
        <v>1394</v>
      </c>
      <c r="C1718" s="997" t="s">
        <v>2331</v>
      </c>
      <c r="D1718" s="910" t="s">
        <v>62</v>
      </c>
      <c r="E1718" s="995">
        <v>21</v>
      </c>
      <c r="F1718" s="223"/>
      <c r="G1718" s="223"/>
      <c r="H1718" s="983"/>
      <c r="I1718" s="223"/>
      <c r="J1718" s="996">
        <v>1164.5655999999999</v>
      </c>
      <c r="K1718" s="197">
        <f t="shared" si="108"/>
        <v>24455.8776</v>
      </c>
    </row>
    <row r="1719" spans="1:11" ht="16.5">
      <c r="A1719" s="980">
        <v>45</v>
      </c>
      <c r="B1719" s="216" t="s">
        <v>1396</v>
      </c>
      <c r="C1719" s="997" t="s">
        <v>2332</v>
      </c>
      <c r="D1719" s="910" t="s">
        <v>62</v>
      </c>
      <c r="E1719" s="995">
        <v>5</v>
      </c>
      <c r="F1719" s="223"/>
      <c r="G1719" s="223"/>
      <c r="H1719" s="983"/>
      <c r="I1719" s="223"/>
      <c r="J1719" s="996">
        <v>476.41320000000002</v>
      </c>
      <c r="K1719" s="197">
        <f t="shared" si="108"/>
        <v>2382.0660000000003</v>
      </c>
    </row>
    <row r="1720" spans="1:11" ht="16.5">
      <c r="A1720" s="980">
        <v>46</v>
      </c>
      <c r="B1720" s="993" t="s">
        <v>2333</v>
      </c>
      <c r="C1720" s="1000" t="s">
        <v>574</v>
      </c>
      <c r="D1720" s="910" t="s">
        <v>62</v>
      </c>
      <c r="E1720" s="995">
        <v>1</v>
      </c>
      <c r="F1720" s="223"/>
      <c r="G1720" s="223"/>
      <c r="H1720" s="983"/>
      <c r="I1720" s="223"/>
      <c r="J1720" s="996">
        <v>1164.5655999999999</v>
      </c>
      <c r="K1720" s="197">
        <f t="shared" si="108"/>
        <v>1164.5655999999999</v>
      </c>
    </row>
    <row r="1721" spans="1:11" ht="16.5">
      <c r="A1721" s="980">
        <v>47</v>
      </c>
      <c r="B1721" s="214" t="s">
        <v>2308</v>
      </c>
      <c r="C1721" s="997" t="s">
        <v>2334</v>
      </c>
      <c r="D1721" s="910" t="s">
        <v>62</v>
      </c>
      <c r="E1721" s="995">
        <v>121</v>
      </c>
      <c r="F1721" s="223"/>
      <c r="G1721" s="223"/>
      <c r="H1721" s="983"/>
      <c r="I1721" s="223"/>
      <c r="J1721" s="996">
        <v>289.0292</v>
      </c>
      <c r="K1721" s="197">
        <f t="shared" si="108"/>
        <v>34972.533199999998</v>
      </c>
    </row>
    <row r="1722" spans="1:11" ht="16.5">
      <c r="A1722" s="980">
        <v>48</v>
      </c>
      <c r="B1722" s="980" t="s">
        <v>2335</v>
      </c>
      <c r="C1722" s="997" t="s">
        <v>2336</v>
      </c>
      <c r="D1722" s="910" t="s">
        <v>2325</v>
      </c>
      <c r="E1722" s="995">
        <v>1.2450000000000001</v>
      </c>
      <c r="F1722" s="223"/>
      <c r="G1722" s="223"/>
      <c r="H1722" s="983"/>
      <c r="I1722" s="223"/>
      <c r="J1722" s="996">
        <v>366729.27399999998</v>
      </c>
      <c r="K1722" s="197">
        <f t="shared" si="108"/>
        <v>456577.94613</v>
      </c>
    </row>
    <row r="1723" spans="1:11" ht="16.5">
      <c r="A1723" s="980">
        <v>49</v>
      </c>
      <c r="B1723" s="993"/>
      <c r="C1723" s="997" t="s">
        <v>2337</v>
      </c>
      <c r="D1723" s="910" t="s">
        <v>2325</v>
      </c>
      <c r="E1723" s="995">
        <v>1.1990000000000001</v>
      </c>
      <c r="F1723" s="223"/>
      <c r="G1723" s="223"/>
      <c r="H1723" s="983"/>
      <c r="I1723" s="223"/>
      <c r="J1723" s="996">
        <v>110572.431</v>
      </c>
      <c r="K1723" s="197">
        <f t="shared" si="108"/>
        <v>132576.34476900002</v>
      </c>
    </row>
    <row r="1724" spans="1:11" ht="51.75">
      <c r="A1724" s="980">
        <v>50</v>
      </c>
      <c r="B1724" s="993" t="s">
        <v>2338</v>
      </c>
      <c r="C1724" s="994" t="s">
        <v>2339</v>
      </c>
      <c r="D1724" s="910" t="s">
        <v>250</v>
      </c>
      <c r="E1724" s="995">
        <v>2</v>
      </c>
      <c r="F1724" s="223"/>
      <c r="G1724" s="223"/>
      <c r="H1724" s="983"/>
      <c r="I1724" s="223"/>
      <c r="J1724" s="996">
        <v>14484.5</v>
      </c>
      <c r="K1724" s="197">
        <f t="shared" si="108"/>
        <v>28969</v>
      </c>
    </row>
    <row r="1725" spans="1:11" ht="16.5">
      <c r="A1725" s="980">
        <v>51</v>
      </c>
      <c r="B1725" s="993"/>
      <c r="C1725" s="997" t="s">
        <v>2340</v>
      </c>
      <c r="D1725" s="910" t="s">
        <v>62</v>
      </c>
      <c r="E1725" s="995">
        <v>6</v>
      </c>
      <c r="F1725" s="223"/>
      <c r="G1725" s="223"/>
      <c r="H1725" s="983"/>
      <c r="I1725" s="223"/>
      <c r="J1725" s="996">
        <v>2655</v>
      </c>
      <c r="K1725" s="197">
        <f t="shared" si="108"/>
        <v>15930</v>
      </c>
    </row>
    <row r="1726" spans="1:11" ht="16.5">
      <c r="A1726" s="980">
        <v>52</v>
      </c>
      <c r="B1726" s="993" t="s">
        <v>275</v>
      </c>
      <c r="C1726" s="997" t="s">
        <v>2341</v>
      </c>
      <c r="D1726" s="910" t="s">
        <v>62</v>
      </c>
      <c r="E1726" s="995">
        <v>6</v>
      </c>
      <c r="F1726" s="223"/>
      <c r="G1726" s="223"/>
      <c r="H1726" s="983"/>
      <c r="I1726" s="223"/>
      <c r="J1726" s="996">
        <v>1071.617</v>
      </c>
      <c r="K1726" s="197">
        <f t="shared" si="108"/>
        <v>6429.7019999999993</v>
      </c>
    </row>
    <row r="1727" spans="1:11" ht="16.5">
      <c r="A1727" s="980">
        <v>53</v>
      </c>
      <c r="B1727" s="993"/>
      <c r="C1727" s="997" t="s">
        <v>2342</v>
      </c>
      <c r="D1727" s="910" t="s">
        <v>62</v>
      </c>
      <c r="E1727" s="995">
        <v>3</v>
      </c>
      <c r="F1727" s="223"/>
      <c r="G1727" s="223"/>
      <c r="H1727" s="983"/>
      <c r="I1727" s="223"/>
      <c r="J1727" s="996">
        <v>2912.7946000000002</v>
      </c>
      <c r="K1727" s="197">
        <f t="shared" si="108"/>
        <v>8738.3837999999996</v>
      </c>
    </row>
    <row r="1728" spans="1:11" ht="16.5">
      <c r="A1728" s="980">
        <v>54</v>
      </c>
      <c r="B1728" s="993"/>
      <c r="C1728" s="997" t="s">
        <v>2343</v>
      </c>
      <c r="D1728" s="910" t="s">
        <v>62</v>
      </c>
      <c r="E1728" s="995">
        <v>3</v>
      </c>
      <c r="F1728" s="223"/>
      <c r="G1728" s="223"/>
      <c r="H1728" s="983"/>
      <c r="I1728" s="223"/>
      <c r="J1728" s="996">
        <v>359.60500000000002</v>
      </c>
      <c r="K1728" s="197">
        <f t="shared" si="108"/>
        <v>1078.8150000000001</v>
      </c>
    </row>
    <row r="1729" spans="1:11" ht="16.5">
      <c r="A1729" s="980">
        <v>55</v>
      </c>
      <c r="B1729" s="993"/>
      <c r="C1729" s="997" t="s">
        <v>2344</v>
      </c>
      <c r="D1729" s="910" t="s">
        <v>62</v>
      </c>
      <c r="E1729" s="995">
        <v>1</v>
      </c>
      <c r="F1729" s="223"/>
      <c r="G1729" s="223"/>
      <c r="H1729" s="983"/>
      <c r="I1729" s="223"/>
      <c r="J1729" s="996">
        <v>2414.2800000000002</v>
      </c>
      <c r="K1729" s="197">
        <f t="shared" si="108"/>
        <v>2414.2800000000002</v>
      </c>
    </row>
    <row r="1730" spans="1:11" ht="38.25">
      <c r="A1730" s="980">
        <v>56</v>
      </c>
      <c r="B1730" s="993"/>
      <c r="C1730" s="1001" t="s">
        <v>2345</v>
      </c>
      <c r="D1730" s="910" t="s">
        <v>250</v>
      </c>
      <c r="E1730" s="995">
        <v>1</v>
      </c>
      <c r="F1730" s="223"/>
      <c r="G1730" s="223"/>
      <c r="H1730" s="983"/>
      <c r="I1730" s="223"/>
      <c r="J1730" s="996">
        <v>2013.788</v>
      </c>
      <c r="K1730" s="197">
        <f t="shared" si="108"/>
        <v>2013.788</v>
      </c>
    </row>
    <row r="1731" spans="1:11" ht="16.5">
      <c r="A1731" s="980">
        <v>57</v>
      </c>
      <c r="B1731" s="216" t="s">
        <v>175</v>
      </c>
      <c r="C1731" s="994" t="s">
        <v>2346</v>
      </c>
      <c r="D1731" s="910" t="s">
        <v>62</v>
      </c>
      <c r="E1731" s="995">
        <v>7</v>
      </c>
      <c r="F1731" s="223"/>
      <c r="G1731" s="223"/>
      <c r="H1731" s="983"/>
      <c r="I1731" s="223"/>
      <c r="J1731" s="996">
        <v>1124.1505999999999</v>
      </c>
      <c r="K1731" s="197">
        <f t="shared" si="108"/>
        <v>7869.0541999999996</v>
      </c>
    </row>
    <row r="1732" spans="1:11" ht="18.75">
      <c r="A1732" s="934" t="s">
        <v>2347</v>
      </c>
      <c r="B1732" s="935"/>
      <c r="C1732" s="935"/>
      <c r="D1732" s="1002"/>
      <c r="E1732" s="1003"/>
      <c r="F1732" s="1004"/>
      <c r="G1732" s="1004"/>
      <c r="H1732" s="1005"/>
      <c r="I1732" s="1004"/>
      <c r="J1732" s="1006"/>
      <c r="K1732" s="1007"/>
    </row>
    <row r="1733" spans="1:11" ht="26.25">
      <c r="A1733" s="980">
        <v>58</v>
      </c>
      <c r="B1733" s="980" t="s">
        <v>2240</v>
      </c>
      <c r="C1733" s="984" t="s">
        <v>2348</v>
      </c>
      <c r="D1733" s="910" t="s">
        <v>46</v>
      </c>
      <c r="E1733" s="1008"/>
      <c r="F1733" s="1008"/>
      <c r="G1733" s="1008"/>
      <c r="H1733" s="1009"/>
      <c r="I1733" s="1008">
        <v>1904</v>
      </c>
      <c r="J1733" s="1010">
        <v>50</v>
      </c>
      <c r="K1733" s="1011">
        <f>I1733*J1733</f>
        <v>95200</v>
      </c>
    </row>
    <row r="1734" spans="1:11" ht="26.25">
      <c r="A1734" s="980">
        <v>59</v>
      </c>
      <c r="B1734" s="216" t="s">
        <v>2246</v>
      </c>
      <c r="C1734" s="984" t="s">
        <v>2349</v>
      </c>
      <c r="D1734" s="910" t="s">
        <v>46</v>
      </c>
      <c r="E1734" s="1008"/>
      <c r="F1734" s="1008"/>
      <c r="G1734" s="1008"/>
      <c r="H1734" s="1009"/>
      <c r="I1734" s="1008">
        <v>2010</v>
      </c>
      <c r="J1734" s="1010">
        <v>76.5</v>
      </c>
      <c r="K1734" s="1011">
        <f t="shared" ref="K1734:K1735" si="109">I1734*J1734</f>
        <v>153765</v>
      </c>
    </row>
    <row r="1735" spans="1:11" ht="26.25">
      <c r="A1735" s="980">
        <v>60</v>
      </c>
      <c r="B1735" s="216"/>
      <c r="C1735" s="981" t="s">
        <v>2350</v>
      </c>
      <c r="D1735" s="910" t="s">
        <v>2251</v>
      </c>
      <c r="E1735" s="1008"/>
      <c r="F1735" s="1008"/>
      <c r="G1735" s="1008"/>
      <c r="H1735" s="1009"/>
      <c r="I1735" s="1008">
        <v>4.1900000000000004</v>
      </c>
      <c r="J1735" s="1010">
        <v>29841</v>
      </c>
      <c r="K1735" s="1011">
        <f t="shared" si="109"/>
        <v>125033.79000000001</v>
      </c>
    </row>
    <row r="1736" spans="1:11">
      <c r="A1736" s="214"/>
      <c r="B1736" s="1012"/>
      <c r="C1736" s="1013"/>
      <c r="D1736" s="1002"/>
      <c r="E1736" s="1014"/>
      <c r="F1736" s="1014"/>
      <c r="G1736" s="1014"/>
      <c r="H1736" s="1015"/>
      <c r="I1736" s="1014"/>
      <c r="J1736" s="1016"/>
      <c r="K1736" s="1017">
        <f>SUM(K1733:K1735)</f>
        <v>373998.79000000004</v>
      </c>
    </row>
    <row r="1737" spans="1:11" ht="18.75">
      <c r="A1737" s="209" t="s">
        <v>2351</v>
      </c>
      <c r="B1737" s="210"/>
      <c r="C1737" s="210"/>
      <c r="D1737" s="210"/>
      <c r="E1737" s="210"/>
      <c r="F1737" s="210"/>
      <c r="G1737" s="210"/>
      <c r="H1737" s="210"/>
      <c r="I1737" s="210"/>
      <c r="J1737" s="210"/>
      <c r="K1737" s="211"/>
    </row>
    <row r="1738" spans="1:11" ht="16.5">
      <c r="A1738" s="195" t="s">
        <v>927</v>
      </c>
      <c r="B1738" s="196" t="s">
        <v>117</v>
      </c>
      <c r="C1738" s="195" t="s">
        <v>928</v>
      </c>
      <c r="D1738" s="197" t="s">
        <v>119</v>
      </c>
      <c r="E1738" s="198" t="s">
        <v>929</v>
      </c>
      <c r="F1738" s="199"/>
      <c r="G1738" s="199"/>
      <c r="H1738" s="199"/>
      <c r="I1738" s="200"/>
      <c r="J1738" s="201" t="s">
        <v>930</v>
      </c>
      <c r="K1738" s="201" t="s">
        <v>225</v>
      </c>
    </row>
    <row r="1739" spans="1:11" ht="16.5">
      <c r="A1739" s="202"/>
      <c r="B1739" s="203"/>
      <c r="C1739" s="202"/>
      <c r="D1739" s="204"/>
      <c r="E1739" s="206" t="s">
        <v>121</v>
      </c>
      <c r="F1739" s="206" t="s">
        <v>931</v>
      </c>
      <c r="G1739" s="206" t="s">
        <v>1</v>
      </c>
      <c r="H1739" s="206" t="s">
        <v>932</v>
      </c>
      <c r="I1739" s="206" t="s">
        <v>0</v>
      </c>
      <c r="J1739" s="207"/>
      <c r="K1739" s="207"/>
    </row>
    <row r="1740" spans="1:11" ht="36">
      <c r="A1740" s="218">
        <v>1</v>
      </c>
      <c r="B1740" s="213" t="s">
        <v>300</v>
      </c>
      <c r="C1740" s="954" t="s">
        <v>2352</v>
      </c>
      <c r="D1740" s="955" t="s">
        <v>2121</v>
      </c>
      <c r="E1740" s="956">
        <v>2</v>
      </c>
      <c r="F1740" s="197"/>
      <c r="G1740" s="197"/>
      <c r="H1740" s="197"/>
      <c r="I1740" s="197"/>
      <c r="J1740" s="957">
        <v>6619.8</v>
      </c>
      <c r="K1740" s="197">
        <f t="shared" ref="K1740:K1747" si="110">J1740*(I1740+E1740)</f>
        <v>13239.6</v>
      </c>
    </row>
    <row r="1741" spans="1:11" ht="36">
      <c r="A1741" s="218">
        <v>2</v>
      </c>
      <c r="B1741" s="213" t="s">
        <v>302</v>
      </c>
      <c r="C1741" s="954" t="s">
        <v>2353</v>
      </c>
      <c r="D1741" s="955" t="s">
        <v>2121</v>
      </c>
      <c r="E1741" s="956">
        <v>1</v>
      </c>
      <c r="F1741" s="197"/>
      <c r="G1741" s="197"/>
      <c r="H1741" s="197"/>
      <c r="I1741" s="197"/>
      <c r="J1741" s="957">
        <v>4590.2</v>
      </c>
      <c r="K1741" s="197">
        <f t="shared" si="110"/>
        <v>4590.2</v>
      </c>
    </row>
    <row r="1742" spans="1:11" ht="24">
      <c r="A1742" s="218">
        <v>3</v>
      </c>
      <c r="B1742" s="213" t="s">
        <v>1110</v>
      </c>
      <c r="C1742" s="954" t="s">
        <v>2354</v>
      </c>
      <c r="D1742" s="955" t="s">
        <v>2121</v>
      </c>
      <c r="E1742" s="956">
        <v>2</v>
      </c>
      <c r="F1742" s="197"/>
      <c r="G1742" s="197"/>
      <c r="H1742" s="197"/>
      <c r="I1742" s="197"/>
      <c r="J1742" s="957">
        <v>3964.8</v>
      </c>
      <c r="K1742" s="197">
        <f t="shared" si="110"/>
        <v>7929.6</v>
      </c>
    </row>
    <row r="1743" spans="1:11" ht="16.5">
      <c r="A1743" s="218">
        <v>4</v>
      </c>
      <c r="B1743" s="213" t="s">
        <v>727</v>
      </c>
      <c r="C1743" s="954" t="s">
        <v>1117</v>
      </c>
      <c r="D1743" s="955" t="s">
        <v>2121</v>
      </c>
      <c r="E1743" s="956">
        <v>2</v>
      </c>
      <c r="F1743" s="197"/>
      <c r="G1743" s="197"/>
      <c r="H1743" s="197"/>
      <c r="I1743" s="197"/>
      <c r="J1743" s="957">
        <v>342.2</v>
      </c>
      <c r="K1743" s="197">
        <f t="shared" si="110"/>
        <v>684.4</v>
      </c>
    </row>
    <row r="1744" spans="1:11" ht="16.5">
      <c r="A1744" s="218">
        <v>5</v>
      </c>
      <c r="B1744" s="213" t="s">
        <v>310</v>
      </c>
      <c r="C1744" s="954" t="s">
        <v>2355</v>
      </c>
      <c r="D1744" s="955" t="s">
        <v>2121</v>
      </c>
      <c r="E1744" s="956">
        <v>2</v>
      </c>
      <c r="F1744" s="197"/>
      <c r="G1744" s="197"/>
      <c r="H1744" s="197"/>
      <c r="I1744" s="197"/>
      <c r="J1744" s="957">
        <v>2808.4</v>
      </c>
      <c r="K1744" s="197">
        <f t="shared" si="110"/>
        <v>5616.8</v>
      </c>
    </row>
    <row r="1745" spans="1:16" ht="16.5">
      <c r="A1745" s="218">
        <v>6</v>
      </c>
      <c r="B1745" s="213"/>
      <c r="C1745" s="954" t="s">
        <v>2356</v>
      </c>
      <c r="D1745" s="955" t="s">
        <v>2121</v>
      </c>
      <c r="E1745" s="956">
        <v>1</v>
      </c>
      <c r="F1745" s="197"/>
      <c r="G1745" s="197"/>
      <c r="H1745" s="197"/>
      <c r="I1745" s="197"/>
      <c r="J1745" s="957">
        <v>46728</v>
      </c>
      <c r="K1745" s="197">
        <f t="shared" si="110"/>
        <v>46728</v>
      </c>
    </row>
    <row r="1746" spans="1:16" ht="24">
      <c r="A1746" s="218">
        <v>7</v>
      </c>
      <c r="B1746" s="213" t="s">
        <v>2357</v>
      </c>
      <c r="C1746" s="954" t="s">
        <v>2358</v>
      </c>
      <c r="D1746" s="955" t="s">
        <v>2121</v>
      </c>
      <c r="E1746" s="956">
        <v>1</v>
      </c>
      <c r="F1746" s="197"/>
      <c r="G1746" s="197"/>
      <c r="H1746" s="197"/>
      <c r="I1746" s="197"/>
      <c r="J1746" s="957">
        <v>3410.2</v>
      </c>
      <c r="K1746" s="197">
        <f t="shared" si="110"/>
        <v>3410.2</v>
      </c>
    </row>
    <row r="1747" spans="1:16" ht="24">
      <c r="A1747" s="218">
        <v>8</v>
      </c>
      <c r="B1747" s="213" t="s">
        <v>2357</v>
      </c>
      <c r="C1747" s="954" t="s">
        <v>2359</v>
      </c>
      <c r="D1747" s="955" t="s">
        <v>2121</v>
      </c>
      <c r="E1747" s="956">
        <v>1</v>
      </c>
      <c r="F1747" s="197"/>
      <c r="G1747" s="197"/>
      <c r="H1747" s="197"/>
      <c r="I1747" s="197"/>
      <c r="J1747" s="957">
        <v>6442.8</v>
      </c>
      <c r="K1747" s="197">
        <f t="shared" si="110"/>
        <v>6442.8</v>
      </c>
    </row>
    <row r="1748" spans="1:16" ht="16.5">
      <c r="A1748" s="225"/>
      <c r="B1748" s="225"/>
      <c r="C1748" s="225"/>
      <c r="D1748" s="225"/>
      <c r="E1748" s="225"/>
      <c r="F1748" s="225"/>
      <c r="G1748" s="225"/>
      <c r="H1748" s="225"/>
      <c r="I1748" s="225"/>
      <c r="J1748" s="225"/>
      <c r="K1748" s="225"/>
    </row>
    <row r="1750" spans="1:16" ht="18.75">
      <c r="A1750" s="1018" t="s">
        <v>2360</v>
      </c>
      <c r="B1750" s="1018"/>
      <c r="C1750" s="1018"/>
      <c r="D1750"/>
      <c r="E1750"/>
      <c r="F1750"/>
      <c r="G1750"/>
      <c r="H1750"/>
      <c r="I1750"/>
      <c r="J1750"/>
      <c r="K1750"/>
      <c r="L1750"/>
      <c r="M1750"/>
      <c r="N1750"/>
      <c r="O1750"/>
      <c r="P1750"/>
    </row>
    <row r="1751" spans="1:16" ht="18.75">
      <c r="A1751" s="1018" t="s">
        <v>2361</v>
      </c>
      <c r="B1751" s="1018"/>
      <c r="C1751" s="1018"/>
      <c r="D1751"/>
      <c r="E1751"/>
      <c r="F1751"/>
      <c r="G1751"/>
      <c r="H1751"/>
      <c r="I1751"/>
      <c r="J1751"/>
      <c r="K1751"/>
      <c r="L1751"/>
      <c r="M1751"/>
      <c r="N1751"/>
      <c r="O1751"/>
      <c r="P1751"/>
    </row>
    <row r="1752" spans="1:16" ht="37.5">
      <c r="A1752" s="1019" t="s">
        <v>116</v>
      </c>
      <c r="B1752" s="1019" t="s">
        <v>117</v>
      </c>
      <c r="C1752" s="1019" t="s">
        <v>118</v>
      </c>
      <c r="D1752" s="1019" t="s">
        <v>119</v>
      </c>
      <c r="E1752" s="1019" t="s">
        <v>120</v>
      </c>
      <c r="F1752" s="1020" t="s">
        <v>121</v>
      </c>
      <c r="G1752" s="1021"/>
      <c r="H1752" s="1020" t="s">
        <v>122</v>
      </c>
      <c r="I1752" s="1021"/>
      <c r="J1752" s="1020" t="s">
        <v>123</v>
      </c>
      <c r="K1752" s="1021"/>
      <c r="L1752" s="1020" t="s">
        <v>1</v>
      </c>
      <c r="M1752" s="1021"/>
      <c r="N1752" s="1020" t="s">
        <v>0</v>
      </c>
      <c r="O1752" s="1021"/>
      <c r="P1752" s="1022" t="s">
        <v>124</v>
      </c>
    </row>
    <row r="1753" spans="1:16" ht="75">
      <c r="A1753" s="1023"/>
      <c r="B1753" s="1023"/>
      <c r="C1753" s="1023"/>
      <c r="D1753" s="1023"/>
      <c r="E1753" s="1023"/>
      <c r="F1753" s="1019" t="s">
        <v>125</v>
      </c>
      <c r="G1753" s="1019" t="s">
        <v>126</v>
      </c>
      <c r="H1753" s="1019" t="s">
        <v>125</v>
      </c>
      <c r="I1753" s="1019" t="s">
        <v>126</v>
      </c>
      <c r="J1753" s="1019" t="s">
        <v>125</v>
      </c>
      <c r="K1753" s="1019" t="s">
        <v>126</v>
      </c>
      <c r="L1753" s="1019" t="s">
        <v>125</v>
      </c>
      <c r="M1753" s="1019" t="s">
        <v>126</v>
      </c>
      <c r="N1753" s="1019" t="s">
        <v>125</v>
      </c>
      <c r="O1753" s="1019" t="s">
        <v>126</v>
      </c>
      <c r="P1753" s="1022"/>
    </row>
    <row r="1754" spans="1:16" ht="21">
      <c r="A1754" s="1023">
        <v>1</v>
      </c>
      <c r="B1754" s="1024" t="s">
        <v>2362</v>
      </c>
      <c r="C1754" s="1025" t="s">
        <v>2363</v>
      </c>
      <c r="D1754" s="1026" t="s">
        <v>2364</v>
      </c>
      <c r="E1754" s="1027">
        <v>300</v>
      </c>
      <c r="F1754" s="1028">
        <v>584</v>
      </c>
      <c r="G1754" s="1019">
        <f t="shared" ref="G1754:G1756" si="111">F1754*E1754</f>
        <v>175200</v>
      </c>
      <c r="H1754" s="1019" t="s">
        <v>2365</v>
      </c>
      <c r="I1754" s="1019" t="s">
        <v>2365</v>
      </c>
      <c r="J1754" s="1019" t="s">
        <v>2365</v>
      </c>
      <c r="K1754" s="1019" t="s">
        <v>2365</v>
      </c>
      <c r="L1754" s="1019" t="s">
        <v>2365</v>
      </c>
      <c r="M1754" s="1019" t="s">
        <v>2365</v>
      </c>
      <c r="N1754" s="1019" t="s">
        <v>2365</v>
      </c>
      <c r="O1754" s="1029" t="s">
        <v>2365</v>
      </c>
      <c r="P1754" s="1019">
        <f t="shared" ref="P1754:P1755" si="112">F1754*E1754</f>
        <v>175200</v>
      </c>
    </row>
    <row r="1755" spans="1:16" ht="31.5">
      <c r="A1755" s="1023">
        <v>2</v>
      </c>
      <c r="B1755" s="1028" t="s">
        <v>326</v>
      </c>
      <c r="C1755" s="23" t="s">
        <v>2366</v>
      </c>
      <c r="D1755" s="219" t="s">
        <v>37</v>
      </c>
      <c r="E1755" s="1030">
        <v>90</v>
      </c>
      <c r="F1755" s="66">
        <v>480</v>
      </c>
      <c r="G1755" s="1031">
        <f t="shared" si="111"/>
        <v>43200</v>
      </c>
      <c r="H1755" s="1019" t="s">
        <v>2365</v>
      </c>
      <c r="I1755" s="1019" t="s">
        <v>2365</v>
      </c>
      <c r="J1755" s="1019" t="s">
        <v>2365</v>
      </c>
      <c r="K1755" s="1019" t="s">
        <v>2365</v>
      </c>
      <c r="L1755" s="1019" t="s">
        <v>2365</v>
      </c>
      <c r="M1755" s="1019" t="s">
        <v>2365</v>
      </c>
      <c r="N1755" s="1019" t="s">
        <v>2365</v>
      </c>
      <c r="O1755" s="1029" t="s">
        <v>2365</v>
      </c>
      <c r="P1755" s="1019">
        <f t="shared" si="112"/>
        <v>43200</v>
      </c>
    </row>
    <row r="1756" spans="1:16" ht="37.5">
      <c r="A1756" s="1023">
        <v>3</v>
      </c>
      <c r="B1756" s="1023" t="s">
        <v>324</v>
      </c>
      <c r="C1756" s="1032" t="s">
        <v>2367</v>
      </c>
      <c r="D1756" s="1033" t="s">
        <v>2364</v>
      </c>
      <c r="E1756" s="1027">
        <v>30</v>
      </c>
      <c r="F1756" s="1028">
        <v>2640</v>
      </c>
      <c r="G1756" s="1019">
        <f t="shared" si="111"/>
        <v>79200</v>
      </c>
      <c r="H1756" s="1019" t="s">
        <v>2368</v>
      </c>
      <c r="I1756" s="1019" t="s">
        <v>2365</v>
      </c>
      <c r="J1756" s="1019" t="s">
        <v>2365</v>
      </c>
      <c r="K1756" s="1019" t="s">
        <v>2365</v>
      </c>
      <c r="L1756" s="1019" t="s">
        <v>2365</v>
      </c>
      <c r="M1756" s="1019" t="s">
        <v>2365</v>
      </c>
      <c r="N1756" s="1019" t="s">
        <v>2365</v>
      </c>
      <c r="O1756" s="1029" t="s">
        <v>2365</v>
      </c>
      <c r="P1756" s="1019">
        <f>F1756*E1756</f>
        <v>79200</v>
      </c>
    </row>
    <row r="1757" spans="1:16" ht="63">
      <c r="A1757" s="1023">
        <v>4</v>
      </c>
      <c r="B1757" s="1028" t="s">
        <v>2369</v>
      </c>
      <c r="C1757" s="1034" t="s">
        <v>2370</v>
      </c>
      <c r="D1757" s="1035" t="s">
        <v>700</v>
      </c>
      <c r="E1757" s="1027">
        <v>30</v>
      </c>
      <c r="F1757" s="62">
        <v>80</v>
      </c>
      <c r="G1757" s="1019">
        <f>F1757*E1757</f>
        <v>2400</v>
      </c>
      <c r="H1757" s="1019" t="s">
        <v>2365</v>
      </c>
      <c r="I1757" s="1019" t="s">
        <v>2365</v>
      </c>
      <c r="J1757" s="1019" t="s">
        <v>2365</v>
      </c>
      <c r="K1757" s="1019" t="s">
        <v>2365</v>
      </c>
      <c r="L1757" s="1019" t="s">
        <v>2365</v>
      </c>
      <c r="M1757" s="1019" t="s">
        <v>2365</v>
      </c>
      <c r="N1757" s="1019" t="s">
        <v>2365</v>
      </c>
      <c r="O1757" s="1029" t="s">
        <v>2365</v>
      </c>
      <c r="P1757" s="1019">
        <f t="shared" ref="P1757:P1759" si="113">F1757*E1757</f>
        <v>2400</v>
      </c>
    </row>
    <row r="1758" spans="1:16" ht="75">
      <c r="A1758" s="1023">
        <v>5</v>
      </c>
      <c r="B1758" s="1028" t="s">
        <v>2371</v>
      </c>
      <c r="C1758" s="1036" t="s">
        <v>2372</v>
      </c>
      <c r="D1758" s="1033" t="s">
        <v>1093</v>
      </c>
      <c r="E1758" s="1027">
        <v>20</v>
      </c>
      <c r="F1758" s="1037">
        <v>5800</v>
      </c>
      <c r="G1758" s="1019">
        <f>F1758*E1758</f>
        <v>116000</v>
      </c>
      <c r="H1758" s="1019" t="s">
        <v>2365</v>
      </c>
      <c r="I1758" s="1019" t="s">
        <v>2365</v>
      </c>
      <c r="J1758" s="1019" t="s">
        <v>2365</v>
      </c>
      <c r="K1758" s="1019" t="s">
        <v>2365</v>
      </c>
      <c r="L1758" s="1019" t="s">
        <v>2365</v>
      </c>
      <c r="M1758" s="1019" t="s">
        <v>2365</v>
      </c>
      <c r="N1758" s="1019" t="s">
        <v>2365</v>
      </c>
      <c r="O1758" s="1029" t="s">
        <v>2365</v>
      </c>
      <c r="P1758" s="1019">
        <f t="shared" si="113"/>
        <v>116000</v>
      </c>
    </row>
    <row r="1759" spans="1:16" ht="75">
      <c r="A1759" s="1023">
        <v>6</v>
      </c>
      <c r="B1759" s="1028" t="s">
        <v>2373</v>
      </c>
      <c r="C1759" s="1038" t="s">
        <v>2374</v>
      </c>
      <c r="D1759" s="1037" t="s">
        <v>7</v>
      </c>
      <c r="E1759" s="1039">
        <v>24.646999999999998</v>
      </c>
      <c r="F1759" s="1028">
        <v>16955</v>
      </c>
      <c r="G1759" s="1019">
        <f t="shared" ref="G1759" si="114">F1759*E1759</f>
        <v>417889.88499999995</v>
      </c>
      <c r="H1759" s="1019" t="s">
        <v>2365</v>
      </c>
      <c r="I1759" s="1019" t="s">
        <v>2365</v>
      </c>
      <c r="J1759" s="1019" t="s">
        <v>2365</v>
      </c>
      <c r="K1759" s="1019" t="s">
        <v>2365</v>
      </c>
      <c r="L1759" s="1019" t="s">
        <v>2365</v>
      </c>
      <c r="M1759" s="1019" t="s">
        <v>2365</v>
      </c>
      <c r="N1759" s="1019" t="s">
        <v>2365</v>
      </c>
      <c r="O1759" s="1029" t="s">
        <v>2365</v>
      </c>
      <c r="P1759" s="1031">
        <f t="shared" si="113"/>
        <v>417889.88499999995</v>
      </c>
    </row>
    <row r="1760" spans="1:16" ht="75">
      <c r="A1760" s="1023">
        <v>7</v>
      </c>
      <c r="B1760" s="1028" t="s">
        <v>2375</v>
      </c>
      <c r="C1760" s="1040" t="s">
        <v>2376</v>
      </c>
      <c r="D1760" s="1033" t="s">
        <v>1093</v>
      </c>
      <c r="E1760" s="1027">
        <v>25</v>
      </c>
      <c r="F1760" s="1037">
        <v>936</v>
      </c>
      <c r="G1760" s="1019">
        <f>F1760*E1760</f>
        <v>23400</v>
      </c>
      <c r="H1760" s="1019" t="s">
        <v>2368</v>
      </c>
      <c r="I1760" s="1019" t="s">
        <v>2368</v>
      </c>
      <c r="J1760" s="1019" t="s">
        <v>2368</v>
      </c>
      <c r="K1760" s="1019" t="s">
        <v>2368</v>
      </c>
      <c r="L1760" s="1019" t="s">
        <v>2368</v>
      </c>
      <c r="M1760" s="1019" t="s">
        <v>2368</v>
      </c>
      <c r="N1760" s="1019" t="s">
        <v>2368</v>
      </c>
      <c r="O1760" s="1029" t="s">
        <v>2368</v>
      </c>
      <c r="P1760" s="1019">
        <f>F1760*E1760</f>
        <v>23400</v>
      </c>
    </row>
    <row r="1761" spans="1:16" ht="112.5">
      <c r="A1761" s="1023">
        <v>8</v>
      </c>
      <c r="B1761" s="1028" t="s">
        <v>2377</v>
      </c>
      <c r="C1761" s="1041" t="s">
        <v>2378</v>
      </c>
      <c r="D1761" s="1033" t="s">
        <v>2379</v>
      </c>
      <c r="E1761" s="1027">
        <v>97589.19</v>
      </c>
      <c r="F1761" s="1028">
        <v>0.70499999999999996</v>
      </c>
      <c r="G1761" s="1031">
        <f t="shared" ref="G1761" si="115">F1761*E1761</f>
        <v>68800.378949999998</v>
      </c>
      <c r="H1761" s="1019" t="s">
        <v>2365</v>
      </c>
      <c r="I1761" s="1019" t="s">
        <v>2365</v>
      </c>
      <c r="J1761" s="1019" t="s">
        <v>2365</v>
      </c>
      <c r="K1761" s="1019" t="s">
        <v>2365</v>
      </c>
      <c r="L1761" s="1019" t="s">
        <v>2365</v>
      </c>
      <c r="M1761" s="1019" t="s">
        <v>2365</v>
      </c>
      <c r="N1761" s="1019" t="s">
        <v>2365</v>
      </c>
      <c r="O1761" s="1029" t="s">
        <v>2365</v>
      </c>
      <c r="P1761" s="1031">
        <f t="shared" ref="P1761" si="116">F1761*E1761</f>
        <v>68800.378949999998</v>
      </c>
    </row>
    <row r="1762" spans="1:16" ht="18.75">
      <c r="A1762" s="1023">
        <v>9</v>
      </c>
      <c r="B1762" s="1028" t="s">
        <v>2380</v>
      </c>
      <c r="C1762" s="1042" t="s">
        <v>2381</v>
      </c>
      <c r="D1762" s="1033" t="s">
        <v>208</v>
      </c>
      <c r="E1762" s="1030">
        <v>120</v>
      </c>
      <c r="F1762" s="1028" t="s">
        <v>2368</v>
      </c>
      <c r="G1762" s="1028" t="s">
        <v>2368</v>
      </c>
      <c r="H1762" s="1028"/>
      <c r="I1762" s="1028"/>
      <c r="J1762" s="1028"/>
      <c r="K1762" s="1028"/>
      <c r="L1762" s="1028"/>
      <c r="M1762" s="1028"/>
      <c r="N1762" s="1019">
        <v>10</v>
      </c>
      <c r="O1762" s="1029">
        <f t="shared" ref="O1762" si="117">N1762*E1762</f>
        <v>1200</v>
      </c>
      <c r="P1762" s="1019">
        <f t="shared" ref="P1762" si="118">O1762</f>
        <v>1200</v>
      </c>
    </row>
    <row r="1763" spans="1:16" ht="18.75">
      <c r="A1763" s="1023">
        <v>10</v>
      </c>
      <c r="B1763" s="1028" t="s">
        <v>495</v>
      </c>
      <c r="C1763" s="1032" t="s">
        <v>2382</v>
      </c>
      <c r="D1763" s="1043" t="s">
        <v>2383</v>
      </c>
      <c r="E1763" s="1027">
        <v>90</v>
      </c>
      <c r="F1763" s="1044">
        <v>5</v>
      </c>
      <c r="G1763" s="1019">
        <f t="shared" ref="G1763:G1764" si="119">F1763*E1763</f>
        <v>450</v>
      </c>
      <c r="H1763" s="1019"/>
      <c r="I1763" s="1019" t="s">
        <v>2365</v>
      </c>
      <c r="J1763" s="1019" t="s">
        <v>2365</v>
      </c>
      <c r="K1763" s="1019" t="s">
        <v>2365</v>
      </c>
      <c r="L1763" s="1019" t="s">
        <v>2365</v>
      </c>
      <c r="M1763" s="1019" t="s">
        <v>2365</v>
      </c>
      <c r="N1763" s="1019" t="s">
        <v>2365</v>
      </c>
      <c r="O1763" s="1029" t="s">
        <v>2365</v>
      </c>
      <c r="P1763" s="1019">
        <f t="shared" ref="P1763:P1773" si="120">F1763*E1763</f>
        <v>450</v>
      </c>
    </row>
    <row r="1764" spans="1:16" ht="31.5">
      <c r="A1764" s="1023">
        <v>11</v>
      </c>
      <c r="B1764" s="1028" t="s">
        <v>353</v>
      </c>
      <c r="C1764" s="1045" t="s">
        <v>2384</v>
      </c>
      <c r="D1764" s="219" t="s">
        <v>37</v>
      </c>
      <c r="E1764" s="1030">
        <v>150</v>
      </c>
      <c r="F1764" s="66">
        <v>27</v>
      </c>
      <c r="G1764" s="1031">
        <f t="shared" si="119"/>
        <v>4050</v>
      </c>
      <c r="H1764" s="1019" t="s">
        <v>2365</v>
      </c>
      <c r="I1764" s="1019" t="s">
        <v>2365</v>
      </c>
      <c r="J1764" s="1019" t="s">
        <v>2365</v>
      </c>
      <c r="K1764" s="1019" t="s">
        <v>2365</v>
      </c>
      <c r="L1764" s="1019" t="s">
        <v>2365</v>
      </c>
      <c r="M1764" s="1019" t="s">
        <v>2365</v>
      </c>
      <c r="N1764" s="1019" t="s">
        <v>2365</v>
      </c>
      <c r="O1764" s="1029" t="s">
        <v>2365</v>
      </c>
      <c r="P1764" s="1019">
        <f t="shared" si="120"/>
        <v>4050</v>
      </c>
    </row>
    <row r="1765" spans="1:16" ht="18.75">
      <c r="A1765" s="1023">
        <v>12</v>
      </c>
      <c r="B1765" s="1028" t="s">
        <v>2385</v>
      </c>
      <c r="C1765" s="65" t="s">
        <v>2386</v>
      </c>
      <c r="D1765" s="1033" t="s">
        <v>37</v>
      </c>
      <c r="E1765" s="1027">
        <v>696.2</v>
      </c>
      <c r="F1765" s="1028">
        <v>3</v>
      </c>
      <c r="G1765" s="1019">
        <f>F1765*E1765</f>
        <v>2088.6000000000004</v>
      </c>
      <c r="H1765" s="1019" t="s">
        <v>2365</v>
      </c>
      <c r="I1765" s="1019" t="s">
        <v>2365</v>
      </c>
      <c r="J1765" s="1019" t="s">
        <v>2365</v>
      </c>
      <c r="K1765" s="1019" t="s">
        <v>2365</v>
      </c>
      <c r="L1765" s="1019" t="s">
        <v>2365</v>
      </c>
      <c r="M1765" s="1019" t="s">
        <v>2365</v>
      </c>
      <c r="N1765" s="1019" t="s">
        <v>2365</v>
      </c>
      <c r="O1765" s="1029" t="s">
        <v>2365</v>
      </c>
      <c r="P1765" s="1019">
        <f t="shared" si="120"/>
        <v>2088.6000000000004</v>
      </c>
    </row>
    <row r="1766" spans="1:16" ht="60">
      <c r="A1766" s="1023">
        <v>13</v>
      </c>
      <c r="B1766" s="1028" t="s">
        <v>2387</v>
      </c>
      <c r="C1766" s="1046" t="s">
        <v>2388</v>
      </c>
      <c r="D1766" s="219" t="s">
        <v>37</v>
      </c>
      <c r="E1766" s="62">
        <v>4932.3999999999996</v>
      </c>
      <c r="F1766" s="62">
        <v>1</v>
      </c>
      <c r="G1766" s="62">
        <f>F1766*E1766</f>
        <v>4932.3999999999996</v>
      </c>
      <c r="H1766" s="1019" t="s">
        <v>2365</v>
      </c>
      <c r="I1766" s="1019" t="s">
        <v>2365</v>
      </c>
      <c r="J1766" s="1019" t="s">
        <v>2365</v>
      </c>
      <c r="K1766" s="1019" t="s">
        <v>2365</v>
      </c>
      <c r="L1766" s="1019" t="s">
        <v>2365</v>
      </c>
      <c r="M1766" s="1019" t="s">
        <v>2365</v>
      </c>
      <c r="N1766" s="1019" t="s">
        <v>2365</v>
      </c>
      <c r="O1766" s="1029" t="s">
        <v>2365</v>
      </c>
      <c r="P1766" s="1019">
        <f t="shared" si="120"/>
        <v>4932.3999999999996</v>
      </c>
    </row>
    <row r="1767" spans="1:16" ht="42">
      <c r="A1767" s="1023">
        <v>14</v>
      </c>
      <c r="B1767" s="1047" t="s">
        <v>634</v>
      </c>
      <c r="C1767" s="1048" t="s">
        <v>2389</v>
      </c>
      <c r="D1767" s="1035" t="s">
        <v>62</v>
      </c>
      <c r="E1767" s="1027">
        <v>3186</v>
      </c>
      <c r="F1767" s="62">
        <v>12</v>
      </c>
      <c r="G1767" s="1019">
        <f t="shared" ref="G1767:G1769" si="121">F1767*E1767</f>
        <v>38232</v>
      </c>
      <c r="H1767" s="1019" t="s">
        <v>2365</v>
      </c>
      <c r="I1767" s="1019" t="s">
        <v>2365</v>
      </c>
      <c r="J1767" s="1019" t="s">
        <v>2365</v>
      </c>
      <c r="K1767" s="1019" t="s">
        <v>2365</v>
      </c>
      <c r="L1767" s="1019" t="s">
        <v>2365</v>
      </c>
      <c r="M1767" s="1019" t="s">
        <v>2365</v>
      </c>
      <c r="N1767" s="1019" t="s">
        <v>2365</v>
      </c>
      <c r="O1767" s="1029" t="s">
        <v>2365</v>
      </c>
      <c r="P1767" s="1019">
        <f t="shared" si="120"/>
        <v>38232</v>
      </c>
    </row>
    <row r="1768" spans="1:16" ht="42">
      <c r="A1768" s="1023">
        <v>15</v>
      </c>
      <c r="B1768" s="1028" t="s">
        <v>2016</v>
      </c>
      <c r="C1768" s="1048" t="s">
        <v>2390</v>
      </c>
      <c r="D1768" s="1035" t="s">
        <v>62</v>
      </c>
      <c r="E1768" s="1027">
        <v>1770</v>
      </c>
      <c r="F1768" s="62">
        <v>1</v>
      </c>
      <c r="G1768" s="1019">
        <f t="shared" si="121"/>
        <v>1770</v>
      </c>
      <c r="H1768" s="1019" t="s">
        <v>2365</v>
      </c>
      <c r="I1768" s="1019" t="s">
        <v>2365</v>
      </c>
      <c r="J1768" s="1019" t="s">
        <v>2365</v>
      </c>
      <c r="K1768" s="1019" t="s">
        <v>2365</v>
      </c>
      <c r="L1768" s="1019" t="s">
        <v>2365</v>
      </c>
      <c r="M1768" s="1019" t="s">
        <v>2365</v>
      </c>
      <c r="N1768" s="1019" t="s">
        <v>2365</v>
      </c>
      <c r="O1768" s="1029" t="s">
        <v>2365</v>
      </c>
      <c r="P1768" s="1019">
        <f t="shared" si="120"/>
        <v>1770</v>
      </c>
    </row>
    <row r="1769" spans="1:16" ht="18.75">
      <c r="A1769" s="1023">
        <v>16</v>
      </c>
      <c r="B1769" s="1028" t="s">
        <v>246</v>
      </c>
      <c r="C1769" s="1049" t="s">
        <v>2391</v>
      </c>
      <c r="D1769" s="1033" t="s">
        <v>37</v>
      </c>
      <c r="E1769" s="1027">
        <v>1067.05</v>
      </c>
      <c r="F1769" s="1028">
        <v>18</v>
      </c>
      <c r="G1769" s="1019">
        <f t="shared" si="121"/>
        <v>19206.899999999998</v>
      </c>
      <c r="H1769" s="1019" t="s">
        <v>2365</v>
      </c>
      <c r="I1769" s="1019" t="s">
        <v>2365</v>
      </c>
      <c r="J1769" s="1019" t="s">
        <v>2365</v>
      </c>
      <c r="K1769" s="1019" t="s">
        <v>2365</v>
      </c>
      <c r="L1769" s="1019" t="s">
        <v>2365</v>
      </c>
      <c r="M1769" s="1019" t="s">
        <v>2365</v>
      </c>
      <c r="N1769" s="1019" t="s">
        <v>2365</v>
      </c>
      <c r="O1769" s="1029" t="s">
        <v>2365</v>
      </c>
      <c r="P1769" s="1019">
        <f t="shared" si="120"/>
        <v>19206.899999999998</v>
      </c>
    </row>
    <row r="1770" spans="1:16" ht="56.25">
      <c r="A1770" s="1023">
        <v>17</v>
      </c>
      <c r="B1770" s="1028" t="s">
        <v>244</v>
      </c>
      <c r="C1770" s="1050" t="s">
        <v>2392</v>
      </c>
      <c r="D1770" s="1033" t="s">
        <v>37</v>
      </c>
      <c r="E1770" s="1027">
        <v>649</v>
      </c>
      <c r="F1770" s="1028">
        <v>18</v>
      </c>
      <c r="G1770" s="1019">
        <f>F1770*E1770</f>
        <v>11682</v>
      </c>
      <c r="H1770" s="1019" t="s">
        <v>2365</v>
      </c>
      <c r="I1770" s="1019" t="s">
        <v>2365</v>
      </c>
      <c r="J1770" s="1019" t="s">
        <v>2365</v>
      </c>
      <c r="K1770" s="1019" t="s">
        <v>2365</v>
      </c>
      <c r="L1770" s="1019" t="s">
        <v>2365</v>
      </c>
      <c r="M1770" s="1019" t="s">
        <v>2365</v>
      </c>
      <c r="N1770" s="1019" t="s">
        <v>2365</v>
      </c>
      <c r="O1770" s="1029" t="s">
        <v>2365</v>
      </c>
      <c r="P1770" s="1019">
        <f t="shared" si="120"/>
        <v>11682</v>
      </c>
    </row>
    <row r="1771" spans="1:16" ht="75">
      <c r="A1771" s="1023">
        <v>18</v>
      </c>
      <c r="B1771" s="1028" t="s">
        <v>251</v>
      </c>
      <c r="C1771" s="1038" t="s">
        <v>2393</v>
      </c>
      <c r="D1771" s="1033" t="s">
        <v>37</v>
      </c>
      <c r="E1771" s="1027">
        <v>30</v>
      </c>
      <c r="F1771" s="1028">
        <v>3</v>
      </c>
      <c r="G1771" s="1019">
        <f t="shared" ref="G1771:G1773" si="122">F1771*E1771</f>
        <v>90</v>
      </c>
      <c r="H1771" s="1019" t="s">
        <v>2365</v>
      </c>
      <c r="I1771" s="1019" t="s">
        <v>2365</v>
      </c>
      <c r="J1771" s="1019" t="s">
        <v>2365</v>
      </c>
      <c r="K1771" s="1019" t="s">
        <v>2365</v>
      </c>
      <c r="L1771" s="1019" t="s">
        <v>2365</v>
      </c>
      <c r="M1771" s="1019" t="s">
        <v>2365</v>
      </c>
      <c r="N1771" s="1019" t="s">
        <v>2365</v>
      </c>
      <c r="O1771" s="1029" t="s">
        <v>2365</v>
      </c>
      <c r="P1771" s="1019">
        <f t="shared" si="120"/>
        <v>90</v>
      </c>
    </row>
    <row r="1772" spans="1:16" ht="18.75">
      <c r="A1772" s="1023">
        <v>19</v>
      </c>
      <c r="B1772" s="1028" t="s">
        <v>486</v>
      </c>
      <c r="C1772" s="1049" t="s">
        <v>2394</v>
      </c>
      <c r="D1772" s="1033" t="s">
        <v>277</v>
      </c>
      <c r="E1772" s="1027">
        <v>1277.82</v>
      </c>
      <c r="F1772" s="1028">
        <v>10</v>
      </c>
      <c r="G1772" s="1019">
        <f t="shared" si="122"/>
        <v>12778.199999999999</v>
      </c>
      <c r="H1772" s="1019" t="s">
        <v>2368</v>
      </c>
      <c r="I1772" s="1019" t="s">
        <v>2365</v>
      </c>
      <c r="J1772" s="1019" t="s">
        <v>2365</v>
      </c>
      <c r="K1772" s="1019" t="s">
        <v>2365</v>
      </c>
      <c r="L1772" s="1019" t="s">
        <v>2365</v>
      </c>
      <c r="M1772" s="1019" t="s">
        <v>2365</v>
      </c>
      <c r="N1772" s="1019" t="s">
        <v>2365</v>
      </c>
      <c r="O1772" s="1029" t="s">
        <v>2365</v>
      </c>
      <c r="P1772" s="1019">
        <f t="shared" si="120"/>
        <v>12778.199999999999</v>
      </c>
    </row>
    <row r="1773" spans="1:16" ht="42">
      <c r="A1773" s="1023">
        <v>20</v>
      </c>
      <c r="B1773" s="1051" t="s">
        <v>2395</v>
      </c>
      <c r="C1773" s="1048" t="s">
        <v>2396</v>
      </c>
      <c r="D1773" s="1035" t="s">
        <v>62</v>
      </c>
      <c r="E1773" s="1027">
        <v>1298</v>
      </c>
      <c r="F1773" s="62">
        <v>32</v>
      </c>
      <c r="G1773" s="1019">
        <f t="shared" si="122"/>
        <v>41536</v>
      </c>
      <c r="H1773" s="1019" t="s">
        <v>2365</v>
      </c>
      <c r="I1773" s="1019" t="s">
        <v>2365</v>
      </c>
      <c r="J1773" s="1019" t="s">
        <v>2365</v>
      </c>
      <c r="K1773" s="1019" t="s">
        <v>2365</v>
      </c>
      <c r="L1773" s="1019" t="s">
        <v>2365</v>
      </c>
      <c r="M1773" s="1019" t="s">
        <v>2365</v>
      </c>
      <c r="N1773" s="1019" t="s">
        <v>2365</v>
      </c>
      <c r="O1773" s="1029" t="s">
        <v>2365</v>
      </c>
      <c r="P1773" s="1019">
        <f t="shared" si="120"/>
        <v>41536</v>
      </c>
    </row>
    <row r="1774" spans="1:16" ht="18.75">
      <c r="A1774" s="1023">
        <v>21</v>
      </c>
      <c r="B1774" s="1023" t="s">
        <v>255</v>
      </c>
      <c r="C1774" s="1032" t="s">
        <v>2397</v>
      </c>
      <c r="D1774" s="1043" t="s">
        <v>37</v>
      </c>
      <c r="E1774" s="1027">
        <v>1105.75</v>
      </c>
      <c r="F1774" s="1028">
        <v>8</v>
      </c>
      <c r="G1774" s="1019">
        <f>F1774*E1774</f>
        <v>8846</v>
      </c>
      <c r="H1774" s="1019" t="s">
        <v>2365</v>
      </c>
      <c r="I1774" s="1019" t="s">
        <v>2365</v>
      </c>
      <c r="J1774" s="1019" t="s">
        <v>2365</v>
      </c>
      <c r="K1774" s="1019" t="s">
        <v>2365</v>
      </c>
      <c r="L1774" s="1019" t="s">
        <v>2365</v>
      </c>
      <c r="M1774" s="1019" t="s">
        <v>2365</v>
      </c>
      <c r="N1774" s="1019" t="s">
        <v>2365</v>
      </c>
      <c r="O1774" s="1029" t="s">
        <v>2365</v>
      </c>
      <c r="P1774" s="1019">
        <f>F1774*E1774</f>
        <v>8846</v>
      </c>
    </row>
    <row r="1775" spans="1:16" ht="105">
      <c r="A1775" s="1023">
        <v>22</v>
      </c>
      <c r="B1775" s="1051" t="s">
        <v>2398</v>
      </c>
      <c r="C1775" s="1052" t="s">
        <v>2399</v>
      </c>
      <c r="D1775" s="1053" t="s">
        <v>2400</v>
      </c>
      <c r="E1775" s="1027">
        <v>6962</v>
      </c>
      <c r="F1775" s="62">
        <v>3</v>
      </c>
      <c r="G1775" s="1019">
        <f t="shared" ref="G1775:G1777" si="123">F1775*E1775</f>
        <v>20886</v>
      </c>
      <c r="H1775" s="1019" t="s">
        <v>2365</v>
      </c>
      <c r="I1775" s="1019" t="s">
        <v>2365</v>
      </c>
      <c r="J1775" s="1019" t="s">
        <v>2365</v>
      </c>
      <c r="K1775" s="1019" t="s">
        <v>2365</v>
      </c>
      <c r="L1775" s="1019" t="s">
        <v>2365</v>
      </c>
      <c r="M1775" s="1019" t="s">
        <v>2365</v>
      </c>
      <c r="N1775" s="1019" t="s">
        <v>2365</v>
      </c>
      <c r="O1775" s="1029" t="s">
        <v>2365</v>
      </c>
      <c r="P1775" s="1019">
        <f t="shared" ref="P1775:P1777" si="124">F1775*E1775</f>
        <v>20886</v>
      </c>
    </row>
    <row r="1776" spans="1:16" ht="18.75">
      <c r="A1776" s="1023">
        <v>23</v>
      </c>
      <c r="B1776" s="1028" t="s">
        <v>1402</v>
      </c>
      <c r="C1776" s="1032" t="s">
        <v>2401</v>
      </c>
      <c r="D1776" s="219" t="s">
        <v>37</v>
      </c>
      <c r="E1776" s="1030">
        <v>160</v>
      </c>
      <c r="F1776" s="62">
        <v>4</v>
      </c>
      <c r="G1776" s="1031">
        <f t="shared" si="123"/>
        <v>640</v>
      </c>
      <c r="H1776" s="1019" t="s">
        <v>2365</v>
      </c>
      <c r="I1776" s="1019" t="s">
        <v>2365</v>
      </c>
      <c r="J1776" s="1019" t="s">
        <v>2365</v>
      </c>
      <c r="K1776" s="1019" t="s">
        <v>2365</v>
      </c>
      <c r="L1776" s="1019" t="s">
        <v>2365</v>
      </c>
      <c r="M1776" s="1019" t="s">
        <v>2365</v>
      </c>
      <c r="N1776" s="1019" t="s">
        <v>2365</v>
      </c>
      <c r="O1776" s="1029" t="s">
        <v>2365</v>
      </c>
      <c r="P1776" s="1019">
        <f t="shared" si="124"/>
        <v>640</v>
      </c>
    </row>
    <row r="1777" spans="1:16" ht="56.25">
      <c r="A1777" s="1023">
        <v>24</v>
      </c>
      <c r="B1777" s="1028" t="s">
        <v>501</v>
      </c>
      <c r="C1777" s="1043" t="s">
        <v>2402</v>
      </c>
      <c r="D1777" s="1033" t="s">
        <v>37</v>
      </c>
      <c r="E1777" s="1027">
        <v>4653.92</v>
      </c>
      <c r="F1777" s="1028">
        <v>4</v>
      </c>
      <c r="G1777" s="1019">
        <f t="shared" si="123"/>
        <v>18615.68</v>
      </c>
      <c r="H1777" s="1019" t="s">
        <v>2365</v>
      </c>
      <c r="I1777" s="1019" t="s">
        <v>2365</v>
      </c>
      <c r="J1777" s="1019" t="s">
        <v>2365</v>
      </c>
      <c r="K1777" s="1019" t="s">
        <v>2365</v>
      </c>
      <c r="L1777" s="1019" t="s">
        <v>2365</v>
      </c>
      <c r="M1777" s="1019" t="s">
        <v>2365</v>
      </c>
      <c r="N1777" s="1019" t="s">
        <v>2365</v>
      </c>
      <c r="O1777" s="1029" t="s">
        <v>2365</v>
      </c>
      <c r="P1777" s="1019">
        <f t="shared" si="124"/>
        <v>18615.68</v>
      </c>
    </row>
    <row r="1778" spans="1:16" ht="56.25">
      <c r="A1778" s="1023">
        <v>25</v>
      </c>
      <c r="B1778" s="1028" t="s">
        <v>259</v>
      </c>
      <c r="C1778" s="1054" t="s">
        <v>2403</v>
      </c>
      <c r="D1778" s="1033" t="s">
        <v>277</v>
      </c>
      <c r="E1778" s="1027">
        <v>1669.7</v>
      </c>
      <c r="F1778" s="1037">
        <v>6</v>
      </c>
      <c r="G1778" s="1019">
        <f>F1778*E1778</f>
        <v>10018.200000000001</v>
      </c>
      <c r="H1778" s="1019" t="s">
        <v>2365</v>
      </c>
      <c r="I1778" s="1019" t="s">
        <v>2365</v>
      </c>
      <c r="J1778" s="1019" t="s">
        <v>2365</v>
      </c>
      <c r="K1778" s="1019" t="s">
        <v>2365</v>
      </c>
      <c r="L1778" s="1019" t="s">
        <v>2365</v>
      </c>
      <c r="M1778" s="1019" t="s">
        <v>2365</v>
      </c>
      <c r="N1778" s="1019" t="s">
        <v>2365</v>
      </c>
      <c r="O1778" s="1029" t="s">
        <v>2365</v>
      </c>
      <c r="P1778" s="1019">
        <f>F1778*E1778</f>
        <v>10018.200000000001</v>
      </c>
    </row>
    <row r="1779" spans="1:16" ht="56.25">
      <c r="A1779" s="1023">
        <v>26</v>
      </c>
      <c r="B1779" s="1028" t="s">
        <v>603</v>
      </c>
      <c r="C1779" s="1038" t="s">
        <v>2404</v>
      </c>
      <c r="D1779" s="219" t="s">
        <v>37</v>
      </c>
      <c r="E1779" s="1030">
        <v>300</v>
      </c>
      <c r="F1779" s="62">
        <v>18</v>
      </c>
      <c r="G1779" s="1031">
        <f t="shared" ref="G1779:G1791" si="125">F1779*E1779</f>
        <v>5400</v>
      </c>
      <c r="H1779" s="1019" t="s">
        <v>2365</v>
      </c>
      <c r="I1779" s="1019" t="s">
        <v>2365</v>
      </c>
      <c r="J1779" s="1019" t="s">
        <v>2365</v>
      </c>
      <c r="K1779" s="1019" t="s">
        <v>2365</v>
      </c>
      <c r="L1779" s="1019" t="s">
        <v>2365</v>
      </c>
      <c r="M1779" s="1019" t="s">
        <v>2365</v>
      </c>
      <c r="N1779" s="1019" t="s">
        <v>2365</v>
      </c>
      <c r="O1779" s="1029" t="s">
        <v>2365</v>
      </c>
      <c r="P1779" s="1019">
        <f t="shared" ref="P1779:P1791" si="126">F1779*E1779</f>
        <v>5400</v>
      </c>
    </row>
    <row r="1780" spans="1:16" ht="18.75">
      <c r="A1780" s="1023">
        <v>27</v>
      </c>
      <c r="B1780" s="1028" t="s">
        <v>1849</v>
      </c>
      <c r="C1780" s="1055" t="s">
        <v>2405</v>
      </c>
      <c r="D1780" s="1037" t="s">
        <v>40</v>
      </c>
      <c r="E1780" s="1027">
        <v>0</v>
      </c>
      <c r="F1780" s="1028">
        <v>4</v>
      </c>
      <c r="G1780" s="1019">
        <f t="shared" si="125"/>
        <v>0</v>
      </c>
      <c r="H1780" s="1019" t="s">
        <v>2365</v>
      </c>
      <c r="I1780" s="1019" t="s">
        <v>2365</v>
      </c>
      <c r="J1780" s="1019" t="s">
        <v>2365</v>
      </c>
      <c r="K1780" s="1019" t="s">
        <v>2365</v>
      </c>
      <c r="L1780" s="1019" t="s">
        <v>2365</v>
      </c>
      <c r="M1780" s="1019" t="s">
        <v>2365</v>
      </c>
      <c r="N1780" s="1019" t="s">
        <v>2365</v>
      </c>
      <c r="O1780" s="1029" t="s">
        <v>2365</v>
      </c>
      <c r="P1780" s="1019">
        <f t="shared" si="126"/>
        <v>0</v>
      </c>
    </row>
    <row r="1781" spans="1:16" ht="18.75">
      <c r="A1781" s="1023">
        <v>28</v>
      </c>
      <c r="B1781" s="1044" t="s">
        <v>1849</v>
      </c>
      <c r="C1781" s="1055" t="s">
        <v>2406</v>
      </c>
      <c r="D1781" s="1056" t="s">
        <v>40</v>
      </c>
      <c r="E1781" s="1027">
        <v>3916</v>
      </c>
      <c r="F1781" s="1028">
        <v>3</v>
      </c>
      <c r="G1781" s="1019">
        <f t="shared" si="125"/>
        <v>11748</v>
      </c>
      <c r="H1781" s="1019" t="s">
        <v>2365</v>
      </c>
      <c r="I1781" s="1019" t="s">
        <v>2365</v>
      </c>
      <c r="J1781" s="1019" t="s">
        <v>2365</v>
      </c>
      <c r="K1781" s="1019" t="s">
        <v>2365</v>
      </c>
      <c r="L1781" s="1019" t="s">
        <v>2365</v>
      </c>
      <c r="M1781" s="1019" t="s">
        <v>2365</v>
      </c>
      <c r="N1781" s="1019" t="s">
        <v>2365</v>
      </c>
      <c r="O1781" s="1029" t="s">
        <v>2365</v>
      </c>
      <c r="P1781" s="1019">
        <f t="shared" si="126"/>
        <v>11748</v>
      </c>
    </row>
    <row r="1782" spans="1:16" ht="18.75">
      <c r="A1782" s="1023">
        <v>29</v>
      </c>
      <c r="B1782" s="1028" t="s">
        <v>1867</v>
      </c>
      <c r="C1782" s="1055" t="s">
        <v>2407</v>
      </c>
      <c r="D1782" s="1056" t="s">
        <v>40</v>
      </c>
      <c r="E1782" s="1027">
        <v>2459</v>
      </c>
      <c r="F1782" s="1028">
        <v>4</v>
      </c>
      <c r="G1782" s="1019">
        <f t="shared" si="125"/>
        <v>9836</v>
      </c>
      <c r="H1782" s="1019" t="s">
        <v>2365</v>
      </c>
      <c r="I1782" s="1019" t="s">
        <v>2365</v>
      </c>
      <c r="J1782" s="1019" t="s">
        <v>2365</v>
      </c>
      <c r="K1782" s="1019" t="s">
        <v>2365</v>
      </c>
      <c r="L1782" s="1019" t="s">
        <v>2365</v>
      </c>
      <c r="M1782" s="1019" t="s">
        <v>2365</v>
      </c>
      <c r="N1782" s="1019" t="s">
        <v>2365</v>
      </c>
      <c r="O1782" s="1029" t="s">
        <v>2365</v>
      </c>
      <c r="P1782" s="1019">
        <f t="shared" si="126"/>
        <v>9836</v>
      </c>
    </row>
    <row r="1783" spans="1:16" ht="18.75">
      <c r="A1783" s="1023">
        <v>30</v>
      </c>
      <c r="B1783" s="1028" t="s">
        <v>2408</v>
      </c>
      <c r="C1783" s="1055" t="s">
        <v>2409</v>
      </c>
      <c r="D1783" s="1037" t="s">
        <v>40</v>
      </c>
      <c r="E1783" s="1027">
        <v>12267</v>
      </c>
      <c r="F1783" s="1028">
        <v>2</v>
      </c>
      <c r="G1783" s="1019">
        <f t="shared" si="125"/>
        <v>24534</v>
      </c>
      <c r="H1783" s="1019" t="s">
        <v>2365</v>
      </c>
      <c r="I1783" s="1019" t="s">
        <v>2365</v>
      </c>
      <c r="J1783" s="1019" t="s">
        <v>2365</v>
      </c>
      <c r="K1783" s="1019" t="s">
        <v>2365</v>
      </c>
      <c r="L1783" s="1019" t="s">
        <v>2365</v>
      </c>
      <c r="M1783" s="1019" t="s">
        <v>2365</v>
      </c>
      <c r="N1783" s="1019" t="s">
        <v>2365</v>
      </c>
      <c r="O1783" s="1029" t="s">
        <v>2365</v>
      </c>
      <c r="P1783" s="1019">
        <f t="shared" si="126"/>
        <v>24534</v>
      </c>
    </row>
    <row r="1784" spans="1:16" ht="18.75">
      <c r="A1784" s="1023">
        <v>31</v>
      </c>
      <c r="B1784" s="1028" t="s">
        <v>1430</v>
      </c>
      <c r="C1784" s="1055" t="s">
        <v>2410</v>
      </c>
      <c r="D1784" s="1037" t="s">
        <v>40</v>
      </c>
      <c r="E1784" s="1027">
        <v>0</v>
      </c>
      <c r="F1784" s="1028">
        <v>1</v>
      </c>
      <c r="G1784" s="1019">
        <f t="shared" si="125"/>
        <v>0</v>
      </c>
      <c r="H1784" s="1019" t="s">
        <v>2365</v>
      </c>
      <c r="I1784" s="1019" t="s">
        <v>2365</v>
      </c>
      <c r="J1784" s="1019" t="s">
        <v>2365</v>
      </c>
      <c r="K1784" s="1019" t="s">
        <v>2365</v>
      </c>
      <c r="L1784" s="1019" t="s">
        <v>2365</v>
      </c>
      <c r="M1784" s="1019" t="s">
        <v>2365</v>
      </c>
      <c r="N1784" s="1019" t="s">
        <v>2365</v>
      </c>
      <c r="O1784" s="1029" t="s">
        <v>2365</v>
      </c>
      <c r="P1784" s="1019">
        <f t="shared" si="126"/>
        <v>0</v>
      </c>
    </row>
    <row r="1785" spans="1:16" ht="18.75">
      <c r="A1785" s="1023">
        <v>32</v>
      </c>
      <c r="B1785" s="1028" t="s">
        <v>2411</v>
      </c>
      <c r="C1785" s="1055" t="s">
        <v>2412</v>
      </c>
      <c r="D1785" s="1056" t="s">
        <v>40</v>
      </c>
      <c r="E1785" s="1027">
        <v>7882.5</v>
      </c>
      <c r="F1785" s="1028">
        <v>2</v>
      </c>
      <c r="G1785" s="1019">
        <f t="shared" si="125"/>
        <v>15765</v>
      </c>
      <c r="H1785" s="1019" t="s">
        <v>2365</v>
      </c>
      <c r="I1785" s="1019" t="s">
        <v>2365</v>
      </c>
      <c r="J1785" s="1019" t="s">
        <v>2365</v>
      </c>
      <c r="K1785" s="1019" t="s">
        <v>2365</v>
      </c>
      <c r="L1785" s="1019" t="s">
        <v>2365</v>
      </c>
      <c r="M1785" s="1019" t="s">
        <v>2365</v>
      </c>
      <c r="N1785" s="1019" t="s">
        <v>2365</v>
      </c>
      <c r="O1785" s="1029" t="s">
        <v>2365</v>
      </c>
      <c r="P1785" s="1019">
        <f t="shared" si="126"/>
        <v>15765</v>
      </c>
    </row>
    <row r="1786" spans="1:16" ht="18.75">
      <c r="A1786" s="1023">
        <v>33</v>
      </c>
      <c r="B1786" s="1028" t="s">
        <v>405</v>
      </c>
      <c r="C1786" s="1049" t="s">
        <v>2413</v>
      </c>
      <c r="D1786" s="1033" t="s">
        <v>494</v>
      </c>
      <c r="E1786" s="1030">
        <v>5830.82</v>
      </c>
      <c r="F1786" s="1028">
        <v>10</v>
      </c>
      <c r="G1786" s="1019">
        <f t="shared" si="125"/>
        <v>58308.2</v>
      </c>
      <c r="H1786" s="1019" t="s">
        <v>2365</v>
      </c>
      <c r="I1786" s="1019" t="s">
        <v>2365</v>
      </c>
      <c r="J1786" s="1019" t="s">
        <v>2365</v>
      </c>
      <c r="K1786" s="1019" t="s">
        <v>2365</v>
      </c>
      <c r="L1786" s="1019" t="s">
        <v>2365</v>
      </c>
      <c r="M1786" s="1019" t="s">
        <v>2365</v>
      </c>
      <c r="N1786" s="1019" t="s">
        <v>2365</v>
      </c>
      <c r="O1786" s="1029" t="s">
        <v>2365</v>
      </c>
      <c r="P1786" s="1019">
        <f t="shared" si="126"/>
        <v>58308.2</v>
      </c>
    </row>
    <row r="1787" spans="1:16" ht="18.75">
      <c r="A1787" s="1023">
        <v>34</v>
      </c>
      <c r="B1787" s="1028" t="s">
        <v>2414</v>
      </c>
      <c r="C1787" s="1055" t="s">
        <v>2415</v>
      </c>
      <c r="D1787" s="1056" t="s">
        <v>40</v>
      </c>
      <c r="E1787" s="1027">
        <v>0</v>
      </c>
      <c r="F1787" s="1028">
        <v>2</v>
      </c>
      <c r="G1787" s="1019">
        <f t="shared" si="125"/>
        <v>0</v>
      </c>
      <c r="H1787" s="1019" t="s">
        <v>2365</v>
      </c>
      <c r="I1787" s="1019" t="s">
        <v>2365</v>
      </c>
      <c r="J1787" s="1019" t="s">
        <v>2365</v>
      </c>
      <c r="K1787" s="1019" t="s">
        <v>2365</v>
      </c>
      <c r="L1787" s="1019" t="s">
        <v>2365</v>
      </c>
      <c r="M1787" s="1019" t="s">
        <v>2365</v>
      </c>
      <c r="N1787" s="1019" t="s">
        <v>2365</v>
      </c>
      <c r="O1787" s="1029" t="s">
        <v>2365</v>
      </c>
      <c r="P1787" s="1019">
        <f t="shared" si="126"/>
        <v>0</v>
      </c>
    </row>
    <row r="1788" spans="1:16" ht="45">
      <c r="A1788" s="1023">
        <v>35</v>
      </c>
      <c r="B1788" s="1028" t="s">
        <v>2416</v>
      </c>
      <c r="C1788" s="1046" t="s">
        <v>2417</v>
      </c>
      <c r="D1788" s="219" t="s">
        <v>37</v>
      </c>
      <c r="E1788" s="62">
        <v>1410.1</v>
      </c>
      <c r="F1788" s="62">
        <v>2</v>
      </c>
      <c r="G1788" s="1019">
        <f t="shared" si="125"/>
        <v>2820.2</v>
      </c>
      <c r="H1788" s="1019" t="s">
        <v>2365</v>
      </c>
      <c r="I1788" s="1019" t="s">
        <v>2365</v>
      </c>
      <c r="J1788" s="1019" t="s">
        <v>2365</v>
      </c>
      <c r="K1788" s="1019" t="s">
        <v>2365</v>
      </c>
      <c r="L1788" s="1019" t="s">
        <v>2365</v>
      </c>
      <c r="M1788" s="1019" t="s">
        <v>2365</v>
      </c>
      <c r="N1788" s="1019" t="s">
        <v>2365</v>
      </c>
      <c r="O1788" s="1029" t="s">
        <v>2365</v>
      </c>
      <c r="P1788" s="1019">
        <f t="shared" si="126"/>
        <v>2820.2</v>
      </c>
    </row>
    <row r="1789" spans="1:16" ht="18.75">
      <c r="A1789" s="1023">
        <v>36</v>
      </c>
      <c r="B1789" s="1028" t="s">
        <v>396</v>
      </c>
      <c r="C1789" s="1049" t="s">
        <v>2418</v>
      </c>
      <c r="D1789" s="1033" t="s">
        <v>37</v>
      </c>
      <c r="E1789" s="1027">
        <v>800</v>
      </c>
      <c r="F1789" s="1028">
        <v>1</v>
      </c>
      <c r="G1789" s="1019">
        <f t="shared" si="125"/>
        <v>800</v>
      </c>
      <c r="H1789" s="1019" t="s">
        <v>2365</v>
      </c>
      <c r="I1789" s="1019" t="s">
        <v>2365</v>
      </c>
      <c r="J1789" s="1019" t="s">
        <v>2365</v>
      </c>
      <c r="K1789" s="1019" t="s">
        <v>2365</v>
      </c>
      <c r="L1789" s="1019" t="s">
        <v>2365</v>
      </c>
      <c r="M1789" s="1019" t="s">
        <v>2365</v>
      </c>
      <c r="N1789" s="1019" t="s">
        <v>2365</v>
      </c>
      <c r="O1789" s="1029" t="s">
        <v>2365</v>
      </c>
      <c r="P1789" s="1019">
        <f t="shared" si="126"/>
        <v>800</v>
      </c>
    </row>
    <row r="1790" spans="1:16" ht="18.75">
      <c r="A1790" s="1023">
        <v>37</v>
      </c>
      <c r="B1790" s="1028" t="s">
        <v>42</v>
      </c>
      <c r="C1790" s="1057" t="s">
        <v>2419</v>
      </c>
      <c r="D1790" s="27" t="s">
        <v>37</v>
      </c>
      <c r="E1790" s="27">
        <v>2000</v>
      </c>
      <c r="F1790" s="1028">
        <v>1</v>
      </c>
      <c r="G1790" s="1019">
        <f t="shared" si="125"/>
        <v>2000</v>
      </c>
      <c r="H1790" s="1019" t="s">
        <v>2365</v>
      </c>
      <c r="I1790" s="1019" t="s">
        <v>2365</v>
      </c>
      <c r="J1790" s="1019" t="s">
        <v>2365</v>
      </c>
      <c r="K1790" s="1019" t="s">
        <v>2365</v>
      </c>
      <c r="L1790" s="1019" t="s">
        <v>2365</v>
      </c>
      <c r="M1790" s="1019" t="s">
        <v>2365</v>
      </c>
      <c r="N1790" s="1019" t="s">
        <v>2365</v>
      </c>
      <c r="O1790" s="1019" t="s">
        <v>2365</v>
      </c>
      <c r="P1790" s="1019">
        <f t="shared" si="126"/>
        <v>2000</v>
      </c>
    </row>
    <row r="1791" spans="1:16" ht="126">
      <c r="A1791" s="1023">
        <v>38</v>
      </c>
      <c r="B1791" s="1058" t="s">
        <v>2420</v>
      </c>
      <c r="C1791" s="1048" t="s">
        <v>2421</v>
      </c>
      <c r="D1791" s="1053" t="s">
        <v>2400</v>
      </c>
      <c r="E1791" s="1027">
        <v>11682</v>
      </c>
      <c r="F1791" s="62">
        <v>3</v>
      </c>
      <c r="G1791" s="1019">
        <f t="shared" si="125"/>
        <v>35046</v>
      </c>
      <c r="H1791" s="1019" t="s">
        <v>2365</v>
      </c>
      <c r="I1791" s="1019" t="s">
        <v>2365</v>
      </c>
      <c r="J1791" s="1019" t="s">
        <v>2365</v>
      </c>
      <c r="K1791" s="1019" t="s">
        <v>2365</v>
      </c>
      <c r="L1791" s="1019" t="s">
        <v>2365</v>
      </c>
      <c r="M1791" s="1019" t="s">
        <v>2365</v>
      </c>
      <c r="N1791" s="1019" t="s">
        <v>2365</v>
      </c>
      <c r="O1791" s="1029" t="s">
        <v>2365</v>
      </c>
      <c r="P1791" s="1019">
        <f t="shared" si="126"/>
        <v>35046</v>
      </c>
    </row>
    <row r="1792" spans="1:16" ht="56.25">
      <c r="A1792" s="1023">
        <v>39</v>
      </c>
      <c r="B1792" s="1028" t="s">
        <v>2422</v>
      </c>
      <c r="C1792" s="1059" t="s">
        <v>2423</v>
      </c>
      <c r="D1792" s="1033" t="s">
        <v>37</v>
      </c>
      <c r="E1792" s="1030">
        <v>150</v>
      </c>
      <c r="F1792" s="1028" t="s">
        <v>2365</v>
      </c>
      <c r="G1792" s="1028" t="s">
        <v>2368</v>
      </c>
      <c r="H1792" s="1028"/>
      <c r="I1792" s="1028"/>
      <c r="J1792" s="1028"/>
      <c r="K1792" s="1028"/>
      <c r="L1792" s="1028"/>
      <c r="M1792" s="1028"/>
      <c r="N1792" s="1019">
        <v>11</v>
      </c>
      <c r="O1792" s="1029">
        <f t="shared" ref="O1792" si="127">N1792*E1792</f>
        <v>1650</v>
      </c>
      <c r="P1792" s="1019">
        <f t="shared" ref="P1792" si="128">O1792</f>
        <v>1650</v>
      </c>
    </row>
    <row r="1793" spans="1:16" ht="18.75">
      <c r="A1793" s="1023">
        <v>40</v>
      </c>
      <c r="B1793" s="1028" t="s">
        <v>2424</v>
      </c>
      <c r="C1793" s="1060" t="s">
        <v>2425</v>
      </c>
      <c r="D1793" s="1033" t="s">
        <v>208</v>
      </c>
      <c r="E1793" s="1027">
        <v>15</v>
      </c>
      <c r="F1793" s="1037">
        <v>330</v>
      </c>
      <c r="G1793" s="1019">
        <f t="shared" ref="G1793:G1807" si="129">F1793*E1793</f>
        <v>4950</v>
      </c>
      <c r="H1793" s="1028" t="s">
        <v>2365</v>
      </c>
      <c r="I1793" s="1028" t="s">
        <v>2365</v>
      </c>
      <c r="J1793" s="1028" t="s">
        <v>2365</v>
      </c>
      <c r="K1793" s="1028" t="s">
        <v>2365</v>
      </c>
      <c r="L1793" s="1028" t="s">
        <v>2365</v>
      </c>
      <c r="M1793" s="1028" t="s">
        <v>2365</v>
      </c>
      <c r="N1793" s="1028" t="s">
        <v>2365</v>
      </c>
      <c r="O1793" s="1061" t="s">
        <v>2365</v>
      </c>
      <c r="P1793" s="1019">
        <f>F1793*E1793</f>
        <v>4950</v>
      </c>
    </row>
    <row r="1794" spans="1:16" ht="131.25">
      <c r="A1794" s="1023">
        <v>41</v>
      </c>
      <c r="B1794" s="1028" t="s">
        <v>628</v>
      </c>
      <c r="C1794" s="1062" t="s">
        <v>2426</v>
      </c>
      <c r="D1794" s="1033" t="s">
        <v>37</v>
      </c>
      <c r="E1794" s="1027">
        <v>19116</v>
      </c>
      <c r="F1794" s="1037">
        <v>3</v>
      </c>
      <c r="G1794" s="1019">
        <f t="shared" si="129"/>
        <v>57348</v>
      </c>
      <c r="H1794" s="1019" t="s">
        <v>2365</v>
      </c>
      <c r="I1794" s="1019" t="s">
        <v>2365</v>
      </c>
      <c r="J1794" s="1019" t="s">
        <v>2365</v>
      </c>
      <c r="K1794" s="1019" t="s">
        <v>2365</v>
      </c>
      <c r="L1794" s="1019" t="s">
        <v>2365</v>
      </c>
      <c r="M1794" s="1019" t="s">
        <v>2365</v>
      </c>
      <c r="N1794" s="1019" t="s">
        <v>2365</v>
      </c>
      <c r="O1794" s="1029" t="s">
        <v>2365</v>
      </c>
      <c r="P1794" s="1019">
        <f>F1794*E1794</f>
        <v>57348</v>
      </c>
    </row>
    <row r="1795" spans="1:16" ht="262.5">
      <c r="A1795" s="1023">
        <v>42</v>
      </c>
      <c r="B1795" s="1044" t="s">
        <v>628</v>
      </c>
      <c r="C1795" s="1023" t="s">
        <v>2427</v>
      </c>
      <c r="D1795" s="1033" t="s">
        <v>37</v>
      </c>
      <c r="E1795" s="1027">
        <v>19057</v>
      </c>
      <c r="F1795" s="1037">
        <v>2</v>
      </c>
      <c r="G1795" s="1019">
        <f t="shared" si="129"/>
        <v>38114</v>
      </c>
      <c r="H1795" s="1019" t="s">
        <v>2365</v>
      </c>
      <c r="I1795" s="1019" t="s">
        <v>2365</v>
      </c>
      <c r="J1795" s="1019" t="s">
        <v>2365</v>
      </c>
      <c r="K1795" s="1019" t="s">
        <v>2365</v>
      </c>
      <c r="L1795" s="1019" t="s">
        <v>2365</v>
      </c>
      <c r="M1795" s="1019" t="s">
        <v>2365</v>
      </c>
      <c r="N1795" s="1019" t="s">
        <v>2365</v>
      </c>
      <c r="O1795" s="1029" t="s">
        <v>2365</v>
      </c>
      <c r="P1795" s="1019">
        <f t="shared" ref="P1795:P1809" si="130">F1795*E1795</f>
        <v>38114</v>
      </c>
    </row>
    <row r="1796" spans="1:16" ht="131.25">
      <c r="A1796" s="1023">
        <v>43</v>
      </c>
      <c r="B1796" s="1028" t="s">
        <v>622</v>
      </c>
      <c r="C1796" s="1063" t="s">
        <v>2428</v>
      </c>
      <c r="D1796" s="1033" t="s">
        <v>37</v>
      </c>
      <c r="E1796" s="1027">
        <v>19470</v>
      </c>
      <c r="F1796" s="1037">
        <v>3</v>
      </c>
      <c r="G1796" s="1019">
        <f t="shared" si="129"/>
        <v>58410</v>
      </c>
      <c r="H1796" s="1019" t="s">
        <v>2365</v>
      </c>
      <c r="I1796" s="1019" t="s">
        <v>2365</v>
      </c>
      <c r="J1796" s="1019" t="s">
        <v>2365</v>
      </c>
      <c r="K1796" s="1019" t="s">
        <v>2365</v>
      </c>
      <c r="L1796" s="1019" t="s">
        <v>2365</v>
      </c>
      <c r="M1796" s="1019" t="s">
        <v>2365</v>
      </c>
      <c r="N1796" s="1019" t="s">
        <v>2365</v>
      </c>
      <c r="O1796" s="1029" t="s">
        <v>2365</v>
      </c>
      <c r="P1796" s="1019">
        <f t="shared" si="130"/>
        <v>58410</v>
      </c>
    </row>
    <row r="1797" spans="1:16" ht="270">
      <c r="A1797" s="1023">
        <v>44</v>
      </c>
      <c r="B1797" s="1044" t="s">
        <v>622</v>
      </c>
      <c r="C1797" s="1064" t="s">
        <v>2429</v>
      </c>
      <c r="D1797" s="1033" t="s">
        <v>37</v>
      </c>
      <c r="E1797" s="1027">
        <v>19883</v>
      </c>
      <c r="F1797" s="1037">
        <v>2</v>
      </c>
      <c r="G1797" s="1019">
        <f t="shared" si="129"/>
        <v>39766</v>
      </c>
      <c r="H1797" s="1019" t="s">
        <v>2365</v>
      </c>
      <c r="I1797" s="1019" t="s">
        <v>2365</v>
      </c>
      <c r="J1797" s="1019" t="s">
        <v>2365</v>
      </c>
      <c r="K1797" s="1019" t="s">
        <v>2365</v>
      </c>
      <c r="L1797" s="1019" t="s">
        <v>2365</v>
      </c>
      <c r="M1797" s="1019" t="s">
        <v>2365</v>
      </c>
      <c r="N1797" s="1019" t="s">
        <v>2365</v>
      </c>
      <c r="O1797" s="1029" t="s">
        <v>2365</v>
      </c>
      <c r="P1797" s="1019">
        <f t="shared" si="130"/>
        <v>39766</v>
      </c>
    </row>
    <row r="1798" spans="1:16" ht="18.75">
      <c r="A1798" s="1023">
        <v>45</v>
      </c>
      <c r="B1798" s="1028" t="s">
        <v>2430</v>
      </c>
      <c r="C1798" s="1055" t="s">
        <v>2431</v>
      </c>
      <c r="D1798" s="1037" t="s">
        <v>40</v>
      </c>
      <c r="E1798" s="1027">
        <v>0</v>
      </c>
      <c r="F1798" s="1028">
        <v>3</v>
      </c>
      <c r="G1798" s="1019">
        <f t="shared" si="129"/>
        <v>0</v>
      </c>
      <c r="H1798" s="1019" t="s">
        <v>2365</v>
      </c>
      <c r="I1798" s="1019" t="s">
        <v>2365</v>
      </c>
      <c r="J1798" s="1019" t="s">
        <v>2365</v>
      </c>
      <c r="K1798" s="1019" t="s">
        <v>2365</v>
      </c>
      <c r="L1798" s="1019" t="s">
        <v>2365</v>
      </c>
      <c r="M1798" s="1019" t="s">
        <v>2365</v>
      </c>
      <c r="N1798" s="1019" t="s">
        <v>2365</v>
      </c>
      <c r="O1798" s="1029" t="s">
        <v>2365</v>
      </c>
      <c r="P1798" s="1019">
        <f t="shared" si="130"/>
        <v>0</v>
      </c>
    </row>
    <row r="1799" spans="1:16" ht="18.75">
      <c r="A1799" s="1023">
        <v>46</v>
      </c>
      <c r="B1799" s="1028" t="s">
        <v>1483</v>
      </c>
      <c r="C1799" s="1055" t="s">
        <v>2432</v>
      </c>
      <c r="D1799" s="1056" t="s">
        <v>40</v>
      </c>
      <c r="E1799" s="1027">
        <v>15000</v>
      </c>
      <c r="F1799" s="1028">
        <v>3</v>
      </c>
      <c r="G1799" s="1019">
        <f t="shared" si="129"/>
        <v>45000</v>
      </c>
      <c r="H1799" s="1019" t="s">
        <v>2365</v>
      </c>
      <c r="I1799" s="1019" t="s">
        <v>2365</v>
      </c>
      <c r="J1799" s="1019" t="s">
        <v>2365</v>
      </c>
      <c r="K1799" s="1019" t="s">
        <v>2365</v>
      </c>
      <c r="L1799" s="1019" t="s">
        <v>2365</v>
      </c>
      <c r="M1799" s="1019" t="s">
        <v>2365</v>
      </c>
      <c r="N1799" s="1019" t="s">
        <v>2365</v>
      </c>
      <c r="O1799" s="1029" t="s">
        <v>2365</v>
      </c>
      <c r="P1799" s="1019">
        <f t="shared" si="130"/>
        <v>45000</v>
      </c>
    </row>
    <row r="1800" spans="1:16" ht="75">
      <c r="A1800" s="1023">
        <v>47</v>
      </c>
      <c r="B1800" s="1028" t="s">
        <v>419</v>
      </c>
      <c r="C1800" s="1046" t="s">
        <v>2433</v>
      </c>
      <c r="D1800" s="219" t="s">
        <v>37</v>
      </c>
      <c r="E1800" s="62">
        <v>1174.0999999999999</v>
      </c>
      <c r="F1800" s="62">
        <v>1</v>
      </c>
      <c r="G1800" s="1019">
        <f t="shared" si="129"/>
        <v>1174.0999999999999</v>
      </c>
      <c r="H1800" s="1019" t="s">
        <v>2365</v>
      </c>
      <c r="I1800" s="1019" t="s">
        <v>2365</v>
      </c>
      <c r="J1800" s="1019" t="s">
        <v>2365</v>
      </c>
      <c r="K1800" s="1019" t="s">
        <v>2365</v>
      </c>
      <c r="L1800" s="1019" t="s">
        <v>2365</v>
      </c>
      <c r="M1800" s="1019" t="s">
        <v>2365</v>
      </c>
      <c r="N1800" s="1019" t="s">
        <v>2365</v>
      </c>
      <c r="O1800" s="1029" t="s">
        <v>2365</v>
      </c>
      <c r="P1800" s="1019">
        <f t="shared" si="130"/>
        <v>1174.0999999999999</v>
      </c>
    </row>
    <row r="1801" spans="1:16" ht="63">
      <c r="A1801" s="1023">
        <v>48</v>
      </c>
      <c r="B1801" s="1051" t="s">
        <v>1340</v>
      </c>
      <c r="C1801" s="1048" t="s">
        <v>2434</v>
      </c>
      <c r="D1801" s="1035" t="s">
        <v>62</v>
      </c>
      <c r="E1801" s="1027">
        <v>2242</v>
      </c>
      <c r="F1801" s="62">
        <v>4</v>
      </c>
      <c r="G1801" s="1019">
        <f t="shared" si="129"/>
        <v>8968</v>
      </c>
      <c r="H1801" s="1019" t="s">
        <v>2365</v>
      </c>
      <c r="I1801" s="1019" t="s">
        <v>2365</v>
      </c>
      <c r="J1801" s="1019" t="s">
        <v>2365</v>
      </c>
      <c r="K1801" s="1019" t="s">
        <v>2365</v>
      </c>
      <c r="L1801" s="1019" t="s">
        <v>2365</v>
      </c>
      <c r="M1801" s="1019" t="s">
        <v>2365</v>
      </c>
      <c r="N1801" s="1019" t="s">
        <v>2365</v>
      </c>
      <c r="O1801" s="1029" t="s">
        <v>2365</v>
      </c>
      <c r="P1801" s="1019">
        <f t="shared" si="130"/>
        <v>8968</v>
      </c>
    </row>
    <row r="1802" spans="1:16" ht="47.25">
      <c r="A1802" s="1023">
        <v>49</v>
      </c>
      <c r="B1802" s="1028" t="s">
        <v>2435</v>
      </c>
      <c r="C1802" s="1045" t="s">
        <v>2436</v>
      </c>
      <c r="D1802" s="219" t="s">
        <v>37</v>
      </c>
      <c r="E1802" s="1030">
        <v>180</v>
      </c>
      <c r="F1802" s="66">
        <v>8</v>
      </c>
      <c r="G1802" s="1031">
        <f t="shared" si="129"/>
        <v>1440</v>
      </c>
      <c r="H1802" s="1019" t="s">
        <v>2365</v>
      </c>
      <c r="I1802" s="1019" t="s">
        <v>2365</v>
      </c>
      <c r="J1802" s="1019" t="s">
        <v>2365</v>
      </c>
      <c r="K1802" s="1019" t="s">
        <v>2365</v>
      </c>
      <c r="L1802" s="1019" t="s">
        <v>2365</v>
      </c>
      <c r="M1802" s="1019" t="s">
        <v>2365</v>
      </c>
      <c r="N1802" s="1019" t="s">
        <v>2365</v>
      </c>
      <c r="O1802" s="1029" t="s">
        <v>2365</v>
      </c>
      <c r="P1802" s="1019">
        <f t="shared" si="130"/>
        <v>1440</v>
      </c>
    </row>
    <row r="1803" spans="1:16" ht="45">
      <c r="A1803" s="1023">
        <v>50</v>
      </c>
      <c r="B1803" s="1028" t="s">
        <v>1905</v>
      </c>
      <c r="C1803" s="1046" t="s">
        <v>2437</v>
      </c>
      <c r="D1803" s="219" t="s">
        <v>37</v>
      </c>
      <c r="E1803" s="62">
        <v>1286.2</v>
      </c>
      <c r="F1803" s="62">
        <v>2</v>
      </c>
      <c r="G1803" s="1019">
        <f t="shared" si="129"/>
        <v>2572.4</v>
      </c>
      <c r="H1803" s="1019" t="s">
        <v>2365</v>
      </c>
      <c r="I1803" s="1019" t="s">
        <v>2365</v>
      </c>
      <c r="J1803" s="1019" t="s">
        <v>2365</v>
      </c>
      <c r="K1803" s="1019" t="s">
        <v>2365</v>
      </c>
      <c r="L1803" s="1019" t="s">
        <v>2365</v>
      </c>
      <c r="M1803" s="1019" t="s">
        <v>2365</v>
      </c>
      <c r="N1803" s="1019" t="s">
        <v>2365</v>
      </c>
      <c r="O1803" s="1029" t="s">
        <v>2365</v>
      </c>
      <c r="P1803" s="1019">
        <f t="shared" si="130"/>
        <v>2572.4</v>
      </c>
    </row>
    <row r="1804" spans="1:16" ht="18.75">
      <c r="A1804" s="1023">
        <v>51</v>
      </c>
      <c r="B1804" s="1028" t="s">
        <v>2438</v>
      </c>
      <c r="C1804" s="1055" t="s">
        <v>2439</v>
      </c>
      <c r="D1804" s="1033" t="s">
        <v>37</v>
      </c>
      <c r="E1804" s="1027">
        <v>914.92</v>
      </c>
      <c r="F1804" s="1065">
        <v>12</v>
      </c>
      <c r="G1804" s="1019">
        <f t="shared" si="129"/>
        <v>10979.039999999999</v>
      </c>
      <c r="H1804" s="1019" t="s">
        <v>2365</v>
      </c>
      <c r="I1804" s="1019" t="s">
        <v>2365</v>
      </c>
      <c r="J1804" s="1019" t="s">
        <v>2365</v>
      </c>
      <c r="K1804" s="1019" t="s">
        <v>2365</v>
      </c>
      <c r="L1804" s="1019" t="s">
        <v>2365</v>
      </c>
      <c r="M1804" s="1019" t="s">
        <v>2365</v>
      </c>
      <c r="N1804" s="1019" t="s">
        <v>2365</v>
      </c>
      <c r="O1804" s="1029" t="s">
        <v>2365</v>
      </c>
      <c r="P1804" s="1019">
        <f t="shared" si="130"/>
        <v>10979.039999999999</v>
      </c>
    </row>
    <row r="1805" spans="1:16" ht="75">
      <c r="A1805" s="1023">
        <v>52</v>
      </c>
      <c r="B1805" s="1028" t="s">
        <v>429</v>
      </c>
      <c r="C1805" s="1050" t="s">
        <v>2440</v>
      </c>
      <c r="D1805" s="1033" t="s">
        <v>37</v>
      </c>
      <c r="E1805" s="1027">
        <v>1298</v>
      </c>
      <c r="F1805" s="1028">
        <v>1</v>
      </c>
      <c r="G1805" s="1019">
        <f t="shared" si="129"/>
        <v>1298</v>
      </c>
      <c r="H1805" s="1019" t="s">
        <v>2365</v>
      </c>
      <c r="I1805" s="1019" t="s">
        <v>2365</v>
      </c>
      <c r="J1805" s="1019" t="s">
        <v>2365</v>
      </c>
      <c r="K1805" s="1019" t="s">
        <v>2365</v>
      </c>
      <c r="L1805" s="1019" t="s">
        <v>2365</v>
      </c>
      <c r="M1805" s="1019" t="s">
        <v>2365</v>
      </c>
      <c r="N1805" s="1019" t="s">
        <v>2365</v>
      </c>
      <c r="O1805" s="1029" t="s">
        <v>2365</v>
      </c>
      <c r="P1805" s="1019">
        <f t="shared" si="130"/>
        <v>1298</v>
      </c>
    </row>
    <row r="1806" spans="1:16" ht="93.75">
      <c r="A1806" s="1023">
        <v>53</v>
      </c>
      <c r="B1806" s="1028" t="s">
        <v>407</v>
      </c>
      <c r="C1806" s="1038" t="s">
        <v>2441</v>
      </c>
      <c r="D1806" s="1033" t="s">
        <v>37</v>
      </c>
      <c r="E1806" s="1027">
        <v>1593.73</v>
      </c>
      <c r="F1806" s="1028">
        <v>2</v>
      </c>
      <c r="G1806" s="1019">
        <f t="shared" si="129"/>
        <v>3187.46</v>
      </c>
      <c r="H1806" s="1019" t="s">
        <v>2365</v>
      </c>
      <c r="I1806" s="1019" t="s">
        <v>2365</v>
      </c>
      <c r="J1806" s="1019" t="s">
        <v>2365</v>
      </c>
      <c r="K1806" s="1019" t="s">
        <v>2365</v>
      </c>
      <c r="L1806" s="1019" t="s">
        <v>2365</v>
      </c>
      <c r="M1806" s="1019" t="s">
        <v>2365</v>
      </c>
      <c r="N1806" s="1019" t="s">
        <v>2365</v>
      </c>
      <c r="O1806" s="1029" t="s">
        <v>2365</v>
      </c>
      <c r="P1806" s="1019">
        <f t="shared" si="130"/>
        <v>3187.46</v>
      </c>
    </row>
    <row r="1807" spans="1:16" ht="63">
      <c r="A1807" s="1023">
        <v>54</v>
      </c>
      <c r="B1807" s="1028" t="s">
        <v>2442</v>
      </c>
      <c r="C1807" s="1066" t="s">
        <v>2443</v>
      </c>
      <c r="D1807" s="219" t="s">
        <v>37</v>
      </c>
      <c r="E1807" s="62">
        <v>1410.1</v>
      </c>
      <c r="F1807" s="62">
        <v>2</v>
      </c>
      <c r="G1807" s="1019">
        <f t="shared" si="129"/>
        <v>2820.2</v>
      </c>
      <c r="H1807" s="1019" t="s">
        <v>2365</v>
      </c>
      <c r="I1807" s="1019" t="s">
        <v>2365</v>
      </c>
      <c r="J1807" s="1019" t="s">
        <v>2365</v>
      </c>
      <c r="K1807" s="1019" t="s">
        <v>2365</v>
      </c>
      <c r="L1807" s="1019" t="s">
        <v>2365</v>
      </c>
      <c r="M1807" s="1019" t="s">
        <v>2365</v>
      </c>
      <c r="N1807" s="1019" t="s">
        <v>2365</v>
      </c>
      <c r="O1807" s="1029" t="s">
        <v>2365</v>
      </c>
      <c r="P1807" s="1019">
        <f t="shared" si="130"/>
        <v>2820.2</v>
      </c>
    </row>
    <row r="1808" spans="1:16" ht="105">
      <c r="A1808" s="1023">
        <v>55</v>
      </c>
      <c r="B1808" s="1028" t="s">
        <v>2444</v>
      </c>
      <c r="C1808" s="1067" t="s">
        <v>2445</v>
      </c>
      <c r="D1808" s="219" t="s">
        <v>37</v>
      </c>
      <c r="E1808" s="62">
        <v>10145.64</v>
      </c>
      <c r="F1808" s="62">
        <v>1</v>
      </c>
      <c r="G1808" s="1031">
        <f>F1808*E1808</f>
        <v>10145.64</v>
      </c>
      <c r="H1808" s="1019" t="s">
        <v>2365</v>
      </c>
      <c r="I1808" s="1019" t="s">
        <v>2365</v>
      </c>
      <c r="J1808" s="1019" t="s">
        <v>2365</v>
      </c>
      <c r="K1808" s="1019" t="s">
        <v>2365</v>
      </c>
      <c r="L1808" s="1019" t="s">
        <v>2365</v>
      </c>
      <c r="M1808" s="1019" t="s">
        <v>2365</v>
      </c>
      <c r="N1808" s="1019" t="s">
        <v>2365</v>
      </c>
      <c r="O1808" s="1029" t="s">
        <v>2365</v>
      </c>
      <c r="P1808" s="1019">
        <f t="shared" si="130"/>
        <v>10145.64</v>
      </c>
    </row>
    <row r="1809" spans="1:16" ht="105">
      <c r="A1809" s="1023">
        <v>56</v>
      </c>
      <c r="B1809" s="1028" t="s">
        <v>1531</v>
      </c>
      <c r="C1809" s="1067" t="s">
        <v>2446</v>
      </c>
      <c r="D1809" s="219" t="s">
        <v>37</v>
      </c>
      <c r="E1809" s="62">
        <v>7430.46</v>
      </c>
      <c r="F1809" s="62">
        <v>1</v>
      </c>
      <c r="G1809" s="1031">
        <f>F1809*E1809</f>
        <v>7430.46</v>
      </c>
      <c r="H1809" s="1019" t="s">
        <v>2365</v>
      </c>
      <c r="I1809" s="1019" t="s">
        <v>2365</v>
      </c>
      <c r="J1809" s="1019" t="s">
        <v>2365</v>
      </c>
      <c r="K1809" s="1019" t="s">
        <v>2365</v>
      </c>
      <c r="L1809" s="1019" t="s">
        <v>2365</v>
      </c>
      <c r="M1809" s="1019" t="s">
        <v>2365</v>
      </c>
      <c r="N1809" s="1019" t="s">
        <v>2365</v>
      </c>
      <c r="O1809" s="1029" t="s">
        <v>2365</v>
      </c>
      <c r="P1809" s="1019">
        <f t="shared" si="130"/>
        <v>7430.46</v>
      </c>
    </row>
    <row r="1810" spans="1:16" ht="37.5">
      <c r="A1810" s="1023">
        <v>57</v>
      </c>
      <c r="B1810" s="1028" t="s">
        <v>933</v>
      </c>
      <c r="C1810" s="1038" t="s">
        <v>2447</v>
      </c>
      <c r="D1810" s="219" t="s">
        <v>7</v>
      </c>
      <c r="E1810" s="62">
        <v>73.16</v>
      </c>
      <c r="F1810" s="62">
        <v>404</v>
      </c>
      <c r="G1810" s="1031">
        <f>F1810*E1810</f>
        <v>29556.639999999999</v>
      </c>
      <c r="H1810" s="1019" t="s">
        <v>2365</v>
      </c>
      <c r="I1810" s="1019" t="s">
        <v>2365</v>
      </c>
      <c r="J1810" s="1019" t="s">
        <v>2365</v>
      </c>
      <c r="K1810" s="1019" t="s">
        <v>2365</v>
      </c>
      <c r="L1810" s="1019" t="s">
        <v>2365</v>
      </c>
      <c r="M1810" s="1019" t="s">
        <v>2365</v>
      </c>
      <c r="N1810" s="1019" t="s">
        <v>2365</v>
      </c>
      <c r="O1810" s="1029" t="s">
        <v>2365</v>
      </c>
      <c r="P1810" s="1019">
        <f>F1810*E1810</f>
        <v>29556.639999999999</v>
      </c>
    </row>
    <row r="1811" spans="1:16" ht="18.75">
      <c r="A1811" s="1023">
        <v>58</v>
      </c>
      <c r="B1811" s="1028" t="s">
        <v>330</v>
      </c>
      <c r="C1811" s="1042" t="s">
        <v>2448</v>
      </c>
      <c r="D1811" s="1033" t="s">
        <v>37</v>
      </c>
      <c r="E1811" s="1030">
        <v>250</v>
      </c>
      <c r="F1811" s="1028" t="s">
        <v>2368</v>
      </c>
      <c r="G1811" s="1028" t="s">
        <v>2365</v>
      </c>
      <c r="H1811" s="1028"/>
      <c r="I1811" s="1028"/>
      <c r="J1811" s="1028"/>
      <c r="K1811" s="1028"/>
      <c r="L1811" s="1028"/>
      <c r="M1811" s="1028"/>
      <c r="N1811" s="1019">
        <v>40</v>
      </c>
      <c r="O1811" s="1029">
        <f t="shared" ref="O1811" si="131">N1811*E1811</f>
        <v>10000</v>
      </c>
      <c r="P1811" s="1019">
        <f>O1811</f>
        <v>10000</v>
      </c>
    </row>
    <row r="1812" spans="1:16" ht="56.25">
      <c r="A1812" s="1023">
        <v>59</v>
      </c>
      <c r="B1812" s="1028" t="s">
        <v>2449</v>
      </c>
      <c r="C1812" s="1054" t="s">
        <v>2450</v>
      </c>
      <c r="D1812" s="1033" t="s">
        <v>37</v>
      </c>
      <c r="E1812" s="1027">
        <v>58764</v>
      </c>
      <c r="F1812" s="1037">
        <v>1</v>
      </c>
      <c r="G1812" s="1019">
        <f t="shared" ref="G1812:G1813" si="132">F1812*E1812</f>
        <v>58764</v>
      </c>
      <c r="H1812" s="1019" t="s">
        <v>2365</v>
      </c>
      <c r="I1812" s="1019" t="s">
        <v>2365</v>
      </c>
      <c r="J1812" s="1019" t="s">
        <v>2365</v>
      </c>
      <c r="K1812" s="1019" t="s">
        <v>2365</v>
      </c>
      <c r="L1812" s="1019" t="s">
        <v>2365</v>
      </c>
      <c r="M1812" s="1019" t="s">
        <v>2365</v>
      </c>
      <c r="N1812" s="1019" t="s">
        <v>2365</v>
      </c>
      <c r="O1812" s="1029" t="s">
        <v>2365</v>
      </c>
      <c r="P1812" s="1019">
        <f t="shared" ref="P1812:P1813" si="133">F1812*E1812</f>
        <v>58764</v>
      </c>
    </row>
    <row r="1813" spans="1:16" ht="18.75">
      <c r="A1813" s="1023">
        <v>60</v>
      </c>
      <c r="B1813" s="1028" t="s">
        <v>1564</v>
      </c>
      <c r="C1813" s="1055" t="s">
        <v>2451</v>
      </c>
      <c r="D1813" s="1056" t="s">
        <v>40</v>
      </c>
      <c r="E1813" s="1027">
        <v>22132.5</v>
      </c>
      <c r="F1813" s="1028">
        <v>2</v>
      </c>
      <c r="G1813" s="1019">
        <f t="shared" si="132"/>
        <v>44265</v>
      </c>
      <c r="H1813" s="1019" t="s">
        <v>2365</v>
      </c>
      <c r="I1813" s="1019" t="s">
        <v>2365</v>
      </c>
      <c r="J1813" s="1019" t="s">
        <v>2365</v>
      </c>
      <c r="K1813" s="1019" t="s">
        <v>2365</v>
      </c>
      <c r="L1813" s="1019" t="s">
        <v>2365</v>
      </c>
      <c r="M1813" s="1019" t="s">
        <v>2365</v>
      </c>
      <c r="N1813" s="1019" t="s">
        <v>2365</v>
      </c>
      <c r="O1813" s="1029" t="s">
        <v>2365</v>
      </c>
      <c r="P1813" s="1019">
        <f t="shared" si="133"/>
        <v>44265</v>
      </c>
    </row>
    <row r="1814" spans="1:16" ht="93.75">
      <c r="A1814" s="1023">
        <v>61</v>
      </c>
      <c r="B1814" s="1028" t="s">
        <v>2452</v>
      </c>
      <c r="C1814" s="1068" t="s">
        <v>2453</v>
      </c>
      <c r="D1814" s="1033" t="s">
        <v>37</v>
      </c>
      <c r="E1814" s="1030">
        <v>2200</v>
      </c>
      <c r="F1814" s="1028" t="s">
        <v>2368</v>
      </c>
      <c r="G1814" s="1028" t="s">
        <v>2368</v>
      </c>
      <c r="H1814" s="1028" t="s">
        <v>2368</v>
      </c>
      <c r="I1814" s="1028" t="s">
        <v>2368</v>
      </c>
      <c r="J1814" s="1028" t="s">
        <v>2368</v>
      </c>
      <c r="K1814" s="1028" t="s">
        <v>2368</v>
      </c>
      <c r="L1814" s="1028" t="s">
        <v>2368</v>
      </c>
      <c r="M1814" s="1028" t="s">
        <v>2368</v>
      </c>
      <c r="N1814" s="1019">
        <v>1</v>
      </c>
      <c r="O1814" s="1029">
        <f t="shared" ref="O1814" si="134">N1814*E1814</f>
        <v>2200</v>
      </c>
      <c r="P1814" s="1019">
        <f>O1814</f>
        <v>2200</v>
      </c>
    </row>
    <row r="1815" spans="1:16" ht="18.75">
      <c r="A1815" s="1023">
        <v>62</v>
      </c>
      <c r="B1815" s="1028" t="s">
        <v>2454</v>
      </c>
      <c r="C1815" s="1055" t="s">
        <v>2455</v>
      </c>
      <c r="D1815" s="1037" t="s">
        <v>40</v>
      </c>
      <c r="E1815" s="1027">
        <v>50000</v>
      </c>
      <c r="F1815" s="1028">
        <v>1</v>
      </c>
      <c r="G1815" s="1019">
        <f t="shared" ref="G1815:G1817" si="135">F1815*E1815</f>
        <v>50000</v>
      </c>
      <c r="H1815" s="1019" t="s">
        <v>2365</v>
      </c>
      <c r="I1815" s="1019" t="s">
        <v>2365</v>
      </c>
      <c r="J1815" s="1019" t="s">
        <v>2365</v>
      </c>
      <c r="K1815" s="1019" t="s">
        <v>2365</v>
      </c>
      <c r="L1815" s="1019" t="s">
        <v>2365</v>
      </c>
      <c r="M1815" s="1019" t="s">
        <v>2365</v>
      </c>
      <c r="N1815" s="1019" t="s">
        <v>2365</v>
      </c>
      <c r="O1815" s="1029" t="s">
        <v>2365</v>
      </c>
      <c r="P1815" s="1019">
        <f t="shared" ref="P1815:P1817" si="136">F1815*E1815</f>
        <v>50000</v>
      </c>
    </row>
    <row r="1816" spans="1:16" ht="56.25">
      <c r="A1816" s="1023">
        <v>63</v>
      </c>
      <c r="B1816" s="1044" t="s">
        <v>2454</v>
      </c>
      <c r="C1816" s="1041" t="s">
        <v>2456</v>
      </c>
      <c r="D1816" s="1033" t="s">
        <v>37</v>
      </c>
      <c r="E1816" s="1027">
        <v>193800</v>
      </c>
      <c r="F1816" s="1028">
        <v>1</v>
      </c>
      <c r="G1816" s="1019">
        <f t="shared" si="135"/>
        <v>193800</v>
      </c>
      <c r="H1816" s="1019" t="s">
        <v>2365</v>
      </c>
      <c r="I1816" s="1019" t="s">
        <v>2365</v>
      </c>
      <c r="J1816" s="1019" t="s">
        <v>2365</v>
      </c>
      <c r="K1816" s="1019" t="s">
        <v>2365</v>
      </c>
      <c r="L1816" s="1019" t="s">
        <v>2365</v>
      </c>
      <c r="M1816" s="1019" t="s">
        <v>2365</v>
      </c>
      <c r="N1816" s="1019" t="s">
        <v>2365</v>
      </c>
      <c r="O1816" s="1029" t="s">
        <v>2365</v>
      </c>
      <c r="P1816" s="1019">
        <f t="shared" si="136"/>
        <v>193800</v>
      </c>
    </row>
    <row r="1817" spans="1:16" ht="18.75">
      <c r="A1817" s="1023">
        <v>64</v>
      </c>
      <c r="B1817" s="1028" t="s">
        <v>2457</v>
      </c>
      <c r="C1817" s="1055" t="s">
        <v>2458</v>
      </c>
      <c r="D1817" s="1056" t="s">
        <v>40</v>
      </c>
      <c r="E1817" s="1027">
        <v>55501.5</v>
      </c>
      <c r="F1817" s="1028">
        <v>1</v>
      </c>
      <c r="G1817" s="1019">
        <f t="shared" si="135"/>
        <v>55501.5</v>
      </c>
      <c r="H1817" s="1019" t="s">
        <v>2365</v>
      </c>
      <c r="I1817" s="1019" t="s">
        <v>2365</v>
      </c>
      <c r="J1817" s="1019" t="s">
        <v>2365</v>
      </c>
      <c r="K1817" s="1019" t="s">
        <v>2365</v>
      </c>
      <c r="L1817" s="1019" t="s">
        <v>2365</v>
      </c>
      <c r="M1817" s="1019" t="s">
        <v>2365</v>
      </c>
      <c r="N1817" s="1019" t="s">
        <v>2365</v>
      </c>
      <c r="O1817" s="1029" t="s">
        <v>2365</v>
      </c>
      <c r="P1817" s="1019">
        <f t="shared" si="136"/>
        <v>55501.5</v>
      </c>
    </row>
    <row r="1818" spans="1:16" ht="18.75">
      <c r="A1818" s="1023">
        <v>65</v>
      </c>
      <c r="B1818" s="1044" t="s">
        <v>2457</v>
      </c>
      <c r="C1818" s="1060" t="s">
        <v>2459</v>
      </c>
      <c r="D1818" s="1033" t="s">
        <v>37</v>
      </c>
      <c r="E1818" s="1027">
        <v>2000</v>
      </c>
      <c r="F1818" s="1037">
        <v>1</v>
      </c>
      <c r="G1818" s="1019">
        <f>F1818*E1818</f>
        <v>2000</v>
      </c>
      <c r="H1818" s="1028" t="s">
        <v>2365</v>
      </c>
      <c r="I1818" s="1028" t="s">
        <v>2365</v>
      </c>
      <c r="J1818" s="1028" t="s">
        <v>2365</v>
      </c>
      <c r="K1818" s="1028" t="s">
        <v>2365</v>
      </c>
      <c r="L1818" s="1028" t="s">
        <v>2365</v>
      </c>
      <c r="M1818" s="1028" t="s">
        <v>2365</v>
      </c>
      <c r="N1818" s="1028" t="s">
        <v>2365</v>
      </c>
      <c r="O1818" s="1061" t="s">
        <v>2365</v>
      </c>
      <c r="P1818" s="1019">
        <f>G1818*F1818</f>
        <v>2000</v>
      </c>
    </row>
    <row r="1819" spans="1:16" ht="75">
      <c r="A1819" s="1023">
        <v>66</v>
      </c>
      <c r="B1819" s="1028" t="s">
        <v>2460</v>
      </c>
      <c r="C1819" s="1069" t="s">
        <v>2461</v>
      </c>
      <c r="D1819" s="298" t="s">
        <v>40</v>
      </c>
      <c r="E1819" s="1030">
        <v>10207</v>
      </c>
      <c r="F1819" s="62">
        <v>4</v>
      </c>
      <c r="G1819" s="1019">
        <f t="shared" ref="G1819:G1826" si="137">F1819*E1819</f>
        <v>40828</v>
      </c>
      <c r="H1819" s="1019" t="s">
        <v>2365</v>
      </c>
      <c r="I1819" s="1019" t="s">
        <v>2365</v>
      </c>
      <c r="J1819" s="1019" t="s">
        <v>2365</v>
      </c>
      <c r="K1819" s="1019" t="s">
        <v>2365</v>
      </c>
      <c r="L1819" s="1019" t="s">
        <v>2365</v>
      </c>
      <c r="M1819" s="1019" t="s">
        <v>2365</v>
      </c>
      <c r="N1819" s="1019" t="s">
        <v>2365</v>
      </c>
      <c r="O1819" s="1029" t="s">
        <v>2365</v>
      </c>
      <c r="P1819" s="1019">
        <f t="shared" ref="P1819:P1829" si="138">F1819*E1819</f>
        <v>40828</v>
      </c>
    </row>
    <row r="1820" spans="1:16" ht="31.5">
      <c r="A1820" s="1023">
        <v>67</v>
      </c>
      <c r="B1820" s="1028" t="s">
        <v>2462</v>
      </c>
      <c r="C1820" s="1070" t="s">
        <v>2463</v>
      </c>
      <c r="D1820" s="298" t="s">
        <v>40</v>
      </c>
      <c r="E1820" s="1030">
        <v>146.32</v>
      </c>
      <c r="F1820" s="66">
        <v>170</v>
      </c>
      <c r="G1820" s="1019">
        <f t="shared" si="137"/>
        <v>24874.399999999998</v>
      </c>
      <c r="H1820" s="1019" t="s">
        <v>2365</v>
      </c>
      <c r="I1820" s="1019" t="s">
        <v>2365</v>
      </c>
      <c r="J1820" s="1019" t="s">
        <v>2365</v>
      </c>
      <c r="K1820" s="1019" t="s">
        <v>2365</v>
      </c>
      <c r="L1820" s="1019" t="s">
        <v>2365</v>
      </c>
      <c r="M1820" s="1019" t="s">
        <v>2365</v>
      </c>
      <c r="N1820" s="1019" t="s">
        <v>2365</v>
      </c>
      <c r="O1820" s="1029" t="s">
        <v>2365</v>
      </c>
      <c r="P1820" s="1019">
        <f t="shared" si="138"/>
        <v>24874.399999999998</v>
      </c>
    </row>
    <row r="1821" spans="1:16" ht="60">
      <c r="A1821" s="1023">
        <v>68</v>
      </c>
      <c r="B1821" s="1028" t="s">
        <v>2464</v>
      </c>
      <c r="C1821" s="1046" t="s">
        <v>2465</v>
      </c>
      <c r="D1821" s="219" t="s">
        <v>37</v>
      </c>
      <c r="E1821" s="62">
        <v>1410.1</v>
      </c>
      <c r="F1821" s="62">
        <v>1</v>
      </c>
      <c r="G1821" s="1019">
        <f t="shared" si="137"/>
        <v>1410.1</v>
      </c>
      <c r="H1821" s="1019" t="s">
        <v>2365</v>
      </c>
      <c r="I1821" s="1019" t="s">
        <v>2365</v>
      </c>
      <c r="J1821" s="1019" t="s">
        <v>2365</v>
      </c>
      <c r="K1821" s="1019" t="s">
        <v>2365</v>
      </c>
      <c r="L1821" s="1019" t="s">
        <v>2365</v>
      </c>
      <c r="M1821" s="1019" t="s">
        <v>2365</v>
      </c>
      <c r="N1821" s="1019" t="s">
        <v>2365</v>
      </c>
      <c r="O1821" s="1029" t="s">
        <v>2365</v>
      </c>
      <c r="P1821" s="1019">
        <f t="shared" si="138"/>
        <v>1410.1</v>
      </c>
    </row>
    <row r="1822" spans="1:16" ht="45">
      <c r="A1822" s="1023">
        <v>69</v>
      </c>
      <c r="B1822" s="1028" t="s">
        <v>588</v>
      </c>
      <c r="C1822" s="1071" t="s">
        <v>2466</v>
      </c>
      <c r="D1822" s="219" t="s">
        <v>37</v>
      </c>
      <c r="E1822" s="62">
        <v>1168.2</v>
      </c>
      <c r="F1822" s="62">
        <v>1</v>
      </c>
      <c r="G1822" s="1072">
        <f t="shared" si="137"/>
        <v>1168.2</v>
      </c>
      <c r="H1822" s="1019" t="s">
        <v>2365</v>
      </c>
      <c r="I1822" s="1019" t="s">
        <v>2365</v>
      </c>
      <c r="J1822" s="1019" t="s">
        <v>2365</v>
      </c>
      <c r="K1822" s="1019" t="s">
        <v>2365</v>
      </c>
      <c r="L1822" s="1019" t="s">
        <v>2365</v>
      </c>
      <c r="M1822" s="1019" t="s">
        <v>2365</v>
      </c>
      <c r="N1822" s="1019" t="s">
        <v>2365</v>
      </c>
      <c r="O1822" s="1029" t="s">
        <v>2365</v>
      </c>
      <c r="P1822" s="1019">
        <f t="shared" si="138"/>
        <v>1168.2</v>
      </c>
    </row>
    <row r="1823" spans="1:16" ht="93.75">
      <c r="A1823" s="1023">
        <v>70</v>
      </c>
      <c r="B1823" s="1028" t="s">
        <v>2467</v>
      </c>
      <c r="C1823" s="1038" t="s">
        <v>2468</v>
      </c>
      <c r="D1823" s="1033" t="s">
        <v>37</v>
      </c>
      <c r="E1823" s="1027">
        <v>1416</v>
      </c>
      <c r="F1823" s="1028">
        <v>2</v>
      </c>
      <c r="G1823" s="1019">
        <f t="shared" si="137"/>
        <v>2832</v>
      </c>
      <c r="H1823" s="1019" t="s">
        <v>2365</v>
      </c>
      <c r="I1823" s="1019" t="s">
        <v>2365</v>
      </c>
      <c r="J1823" s="1019" t="s">
        <v>2365</v>
      </c>
      <c r="K1823" s="1019" t="s">
        <v>2365</v>
      </c>
      <c r="L1823" s="1019" t="s">
        <v>2365</v>
      </c>
      <c r="M1823" s="1019" t="s">
        <v>2365</v>
      </c>
      <c r="N1823" s="1019" t="s">
        <v>2365</v>
      </c>
      <c r="O1823" s="1029" t="s">
        <v>2365</v>
      </c>
      <c r="P1823" s="1019">
        <f t="shared" si="138"/>
        <v>2832</v>
      </c>
    </row>
    <row r="1824" spans="1:16" ht="56.25">
      <c r="A1824" s="1023">
        <v>71</v>
      </c>
      <c r="B1824" s="1028" t="s">
        <v>2469</v>
      </c>
      <c r="C1824" s="1059" t="s">
        <v>2470</v>
      </c>
      <c r="D1824" s="63" t="s">
        <v>37</v>
      </c>
      <c r="E1824" s="64">
        <v>800</v>
      </c>
      <c r="F1824" s="1028">
        <v>2</v>
      </c>
      <c r="G1824" s="1019">
        <f t="shared" si="137"/>
        <v>1600</v>
      </c>
      <c r="H1824" s="1019" t="s">
        <v>2365</v>
      </c>
      <c r="I1824" s="1019" t="s">
        <v>2365</v>
      </c>
      <c r="J1824" s="1019" t="s">
        <v>2365</v>
      </c>
      <c r="K1824" s="1019" t="s">
        <v>2365</v>
      </c>
      <c r="L1824" s="1019" t="s">
        <v>2365</v>
      </c>
      <c r="M1824" s="1019" t="s">
        <v>2365</v>
      </c>
      <c r="N1824" s="1019" t="s">
        <v>2365</v>
      </c>
      <c r="O1824" s="1029" t="s">
        <v>2365</v>
      </c>
      <c r="P1824" s="1019">
        <f t="shared" si="138"/>
        <v>1600</v>
      </c>
    </row>
    <row r="1825" spans="1:16" ht="75">
      <c r="A1825" s="1023">
        <v>72</v>
      </c>
      <c r="B1825" s="1028" t="s">
        <v>451</v>
      </c>
      <c r="C1825" s="1038" t="s">
        <v>2471</v>
      </c>
      <c r="D1825" s="1033" t="s">
        <v>37</v>
      </c>
      <c r="E1825" s="1027">
        <v>5000</v>
      </c>
      <c r="F1825" s="1028">
        <v>1</v>
      </c>
      <c r="G1825" s="1019">
        <f t="shared" si="137"/>
        <v>5000</v>
      </c>
      <c r="H1825" s="1019" t="s">
        <v>2365</v>
      </c>
      <c r="I1825" s="1019" t="s">
        <v>2365</v>
      </c>
      <c r="J1825" s="1019" t="s">
        <v>2365</v>
      </c>
      <c r="K1825" s="1019" t="s">
        <v>2365</v>
      </c>
      <c r="L1825" s="1019" t="s">
        <v>2365</v>
      </c>
      <c r="M1825" s="1019" t="s">
        <v>2365</v>
      </c>
      <c r="N1825" s="1019" t="s">
        <v>2365</v>
      </c>
      <c r="O1825" s="1029" t="s">
        <v>2365</v>
      </c>
      <c r="P1825" s="1019">
        <f t="shared" si="138"/>
        <v>5000</v>
      </c>
    </row>
    <row r="1826" spans="1:16" ht="150">
      <c r="A1826" s="1023">
        <v>73</v>
      </c>
      <c r="B1826" s="1028" t="s">
        <v>669</v>
      </c>
      <c r="C1826" s="1073" t="s">
        <v>2472</v>
      </c>
      <c r="D1826" s="1033" t="s">
        <v>37</v>
      </c>
      <c r="E1826" s="1027">
        <v>1500</v>
      </c>
      <c r="F1826" s="1028">
        <v>2</v>
      </c>
      <c r="G1826" s="1019">
        <f t="shared" si="137"/>
        <v>3000</v>
      </c>
      <c r="H1826" s="1019" t="s">
        <v>2365</v>
      </c>
      <c r="I1826" s="1019" t="s">
        <v>2365</v>
      </c>
      <c r="J1826" s="1019" t="s">
        <v>2365</v>
      </c>
      <c r="K1826" s="1019" t="s">
        <v>2365</v>
      </c>
      <c r="L1826" s="1019" t="s">
        <v>2365</v>
      </c>
      <c r="M1826" s="1019" t="s">
        <v>2365</v>
      </c>
      <c r="N1826" s="1019" t="s">
        <v>2365</v>
      </c>
      <c r="O1826" s="1029" t="s">
        <v>2365</v>
      </c>
      <c r="P1826" s="1019">
        <f t="shared" si="138"/>
        <v>3000</v>
      </c>
    </row>
    <row r="1827" spans="1:16" ht="150">
      <c r="A1827" s="1023">
        <v>74</v>
      </c>
      <c r="B1827" s="1044" t="s">
        <v>669</v>
      </c>
      <c r="C1827" s="1074" t="s">
        <v>2473</v>
      </c>
      <c r="D1827" s="1033" t="s">
        <v>37</v>
      </c>
      <c r="E1827" s="1030">
        <v>1500</v>
      </c>
      <c r="F1827" s="1028">
        <v>1</v>
      </c>
      <c r="G1827" s="1019">
        <f>F1827*E1827</f>
        <v>1500</v>
      </c>
      <c r="H1827" s="1019" t="s">
        <v>2365</v>
      </c>
      <c r="I1827" s="1019" t="s">
        <v>2365</v>
      </c>
      <c r="J1827" s="1019" t="s">
        <v>2365</v>
      </c>
      <c r="K1827" s="1019" t="s">
        <v>2365</v>
      </c>
      <c r="L1827" s="1019" t="s">
        <v>2365</v>
      </c>
      <c r="M1827" s="1019" t="s">
        <v>2365</v>
      </c>
      <c r="N1827" s="1019" t="s">
        <v>2365</v>
      </c>
      <c r="O1827" s="1029" t="s">
        <v>2365</v>
      </c>
      <c r="P1827" s="1019">
        <f t="shared" si="138"/>
        <v>1500</v>
      </c>
    </row>
    <row r="1828" spans="1:16" ht="31.5">
      <c r="A1828" s="1023">
        <v>75</v>
      </c>
      <c r="B1828" s="1028" t="s">
        <v>2474</v>
      </c>
      <c r="C1828" s="1070" t="s">
        <v>2475</v>
      </c>
      <c r="D1828" s="298" t="s">
        <v>40</v>
      </c>
      <c r="E1828" s="1030">
        <v>116.82</v>
      </c>
      <c r="F1828" s="62">
        <v>150</v>
      </c>
      <c r="G1828" s="1031">
        <f t="shared" ref="G1828:G1829" si="139">F1828*E1828</f>
        <v>17523</v>
      </c>
      <c r="H1828" s="1019" t="s">
        <v>2365</v>
      </c>
      <c r="I1828" s="1019" t="s">
        <v>2365</v>
      </c>
      <c r="J1828" s="1019" t="s">
        <v>2365</v>
      </c>
      <c r="K1828" s="1019" t="s">
        <v>2365</v>
      </c>
      <c r="L1828" s="1019" t="s">
        <v>2365</v>
      </c>
      <c r="M1828" s="1019" t="s">
        <v>2365</v>
      </c>
      <c r="N1828" s="1019" t="s">
        <v>2365</v>
      </c>
      <c r="O1828" s="1029" t="s">
        <v>2365</v>
      </c>
      <c r="P1828" s="1019">
        <f t="shared" si="138"/>
        <v>17523</v>
      </c>
    </row>
    <row r="1829" spans="1:16" ht="18.75">
      <c r="A1829" s="1023">
        <v>76</v>
      </c>
      <c r="B1829" s="1028" t="s">
        <v>424</v>
      </c>
      <c r="C1829" s="1049" t="s">
        <v>2476</v>
      </c>
      <c r="D1829" s="1033" t="s">
        <v>37</v>
      </c>
      <c r="E1829" s="1027">
        <v>531</v>
      </c>
      <c r="F1829" s="1028">
        <v>4</v>
      </c>
      <c r="G1829" s="1019">
        <f t="shared" si="139"/>
        <v>2124</v>
      </c>
      <c r="H1829" s="1019" t="s">
        <v>2365</v>
      </c>
      <c r="I1829" s="1019" t="s">
        <v>2365</v>
      </c>
      <c r="J1829" s="1019" t="s">
        <v>2365</v>
      </c>
      <c r="K1829" s="1019" t="s">
        <v>2365</v>
      </c>
      <c r="L1829" s="1019" t="s">
        <v>2365</v>
      </c>
      <c r="M1829" s="1019" t="s">
        <v>2365</v>
      </c>
      <c r="N1829" s="1019" t="s">
        <v>2365</v>
      </c>
      <c r="O1829" s="1029" t="s">
        <v>2365</v>
      </c>
      <c r="P1829" s="1019">
        <f t="shared" si="138"/>
        <v>2124</v>
      </c>
    </row>
    <row r="1830" spans="1:16" ht="31.5">
      <c r="A1830" s="1023">
        <v>77</v>
      </c>
      <c r="B1830" s="1028" t="s">
        <v>455</v>
      </c>
      <c r="C1830" s="1070" t="s">
        <v>2477</v>
      </c>
      <c r="D1830" s="1033" t="s">
        <v>37</v>
      </c>
      <c r="E1830" s="1030">
        <v>50</v>
      </c>
      <c r="F1830" s="1028" t="s">
        <v>2368</v>
      </c>
      <c r="G1830" s="1028" t="s">
        <v>2365</v>
      </c>
      <c r="H1830" s="1028" t="s">
        <v>2365</v>
      </c>
      <c r="I1830" s="1028" t="s">
        <v>2365</v>
      </c>
      <c r="J1830" s="1028" t="s">
        <v>2365</v>
      </c>
      <c r="K1830" s="1028" t="s">
        <v>2365</v>
      </c>
      <c r="L1830" s="1028" t="s">
        <v>2365</v>
      </c>
      <c r="M1830" s="1028" t="s">
        <v>2365</v>
      </c>
      <c r="N1830" s="1019">
        <v>55</v>
      </c>
      <c r="O1830" s="1029">
        <f t="shared" ref="O1830:O1831" si="140">N1830*E1830</f>
        <v>2750</v>
      </c>
      <c r="P1830" s="1019">
        <f t="shared" ref="P1830:P1831" si="141">O1830</f>
        <v>2750</v>
      </c>
    </row>
    <row r="1831" spans="1:16" ht="47.25">
      <c r="A1831" s="1023">
        <v>78</v>
      </c>
      <c r="B1831" s="1028" t="s">
        <v>2478</v>
      </c>
      <c r="C1831" s="1070" t="s">
        <v>2479</v>
      </c>
      <c r="D1831" s="1033" t="s">
        <v>37</v>
      </c>
      <c r="E1831" s="1030">
        <v>5000</v>
      </c>
      <c r="F1831" s="1028" t="s">
        <v>2365</v>
      </c>
      <c r="G1831" s="1028" t="s">
        <v>2480</v>
      </c>
      <c r="H1831" s="1028" t="s">
        <v>2480</v>
      </c>
      <c r="I1831" s="1028" t="s">
        <v>2480</v>
      </c>
      <c r="J1831" s="1028" t="s">
        <v>2480</v>
      </c>
      <c r="K1831" s="1028" t="s">
        <v>2480</v>
      </c>
      <c r="L1831" s="1028" t="s">
        <v>2480</v>
      </c>
      <c r="M1831" s="1028" t="s">
        <v>2480</v>
      </c>
      <c r="N1831" s="1019">
        <v>1</v>
      </c>
      <c r="O1831" s="1029">
        <f t="shared" si="140"/>
        <v>5000</v>
      </c>
      <c r="P1831" s="1019">
        <f t="shared" si="141"/>
        <v>5000</v>
      </c>
    </row>
    <row r="1832" spans="1:16" ht="112.5">
      <c r="A1832" s="1023">
        <v>79</v>
      </c>
      <c r="B1832" s="1028"/>
      <c r="C1832" s="1075" t="s">
        <v>2481</v>
      </c>
      <c r="D1832" s="1033" t="s">
        <v>37</v>
      </c>
      <c r="E1832" s="1030">
        <v>5000</v>
      </c>
      <c r="F1832" s="1028">
        <v>1</v>
      </c>
      <c r="G1832" s="1028">
        <f>E1832*F1832</f>
        <v>5000</v>
      </c>
      <c r="H1832" s="1028" t="s">
        <v>2480</v>
      </c>
      <c r="I1832" s="1028" t="s">
        <v>2480</v>
      </c>
      <c r="J1832" s="1028" t="s">
        <v>2480</v>
      </c>
      <c r="K1832" s="1028" t="s">
        <v>2480</v>
      </c>
      <c r="L1832" s="1028" t="s">
        <v>2480</v>
      </c>
      <c r="M1832" s="1028" t="s">
        <v>2480</v>
      </c>
      <c r="N1832" s="1028" t="s">
        <v>2480</v>
      </c>
      <c r="O1832" s="1028" t="s">
        <v>2480</v>
      </c>
      <c r="P1832" s="1019">
        <f>G1832</f>
        <v>5000</v>
      </c>
    </row>
    <row r="1833" spans="1:16" ht="112.5">
      <c r="A1833" s="1023">
        <v>80</v>
      </c>
      <c r="B1833" s="1028"/>
      <c r="C1833" s="1075" t="s">
        <v>2482</v>
      </c>
      <c r="D1833" s="1033" t="s">
        <v>37</v>
      </c>
      <c r="E1833" s="1030">
        <v>2000</v>
      </c>
      <c r="F1833" s="1028" t="s">
        <v>2365</v>
      </c>
      <c r="G1833" s="1028" t="s">
        <v>2365</v>
      </c>
      <c r="H1833" s="1028" t="s">
        <v>2480</v>
      </c>
      <c r="I1833" s="1028" t="s">
        <v>2480</v>
      </c>
      <c r="J1833" s="1028" t="s">
        <v>2480</v>
      </c>
      <c r="K1833" s="1028" t="s">
        <v>2480</v>
      </c>
      <c r="L1833" s="1028" t="s">
        <v>2480</v>
      </c>
      <c r="M1833" s="1028" t="s">
        <v>2480</v>
      </c>
      <c r="N1833" s="1019">
        <v>2</v>
      </c>
      <c r="O1833" s="1029">
        <f>N1833*E1833</f>
        <v>4000</v>
      </c>
      <c r="P1833" s="1019">
        <f>O1833</f>
        <v>4000</v>
      </c>
    </row>
    <row r="1834" spans="1:16" ht="18.75">
      <c r="A1834" s="1023">
        <v>81</v>
      </c>
      <c r="B1834" s="1028" t="s">
        <v>2483</v>
      </c>
      <c r="C1834" s="1060" t="s">
        <v>2484</v>
      </c>
      <c r="D1834" s="1033" t="s">
        <v>1093</v>
      </c>
      <c r="E1834" s="1027">
        <v>20</v>
      </c>
      <c r="F1834" s="1037">
        <v>225</v>
      </c>
      <c r="G1834" s="1019">
        <f>F1834*E1834</f>
        <v>4500</v>
      </c>
      <c r="H1834" s="1019" t="s">
        <v>2365</v>
      </c>
      <c r="I1834" s="1019" t="s">
        <v>2365</v>
      </c>
      <c r="J1834" s="1019" t="s">
        <v>2365</v>
      </c>
      <c r="K1834" s="1019" t="s">
        <v>2365</v>
      </c>
      <c r="L1834" s="1019" t="s">
        <v>2365</v>
      </c>
      <c r="M1834" s="1019" t="s">
        <v>2365</v>
      </c>
      <c r="N1834" s="1019" t="s">
        <v>2365</v>
      </c>
      <c r="O1834" s="1029" t="s">
        <v>2365</v>
      </c>
      <c r="P1834" s="1019">
        <f t="shared" ref="P1834" si="142">F1834*E1834</f>
        <v>4500</v>
      </c>
    </row>
    <row r="1835" spans="1:16" ht="18.75">
      <c r="A1835" s="1023"/>
      <c r="B1835" s="1028"/>
      <c r="C1835" s="1060"/>
      <c r="D1835" s="1033"/>
      <c r="E1835" s="1027"/>
      <c r="F1835" s="1037"/>
      <c r="G1835" s="1031">
        <f>SUM(G1754:G1834)</f>
        <v>2127019.7839499996</v>
      </c>
      <c r="H1835" s="1019"/>
      <c r="I1835" s="1019"/>
      <c r="J1835" s="1019"/>
      <c r="K1835" s="1019"/>
      <c r="L1835" s="1019"/>
      <c r="M1835" s="1019"/>
      <c r="N1835" s="1019"/>
      <c r="O1835" s="1029">
        <f>SUM(O1762:O1834)</f>
        <v>26800</v>
      </c>
      <c r="P1835" s="1019">
        <f>SUM(P1754:P1834)</f>
        <v>2153819.7839499996</v>
      </c>
    </row>
    <row r="1836" spans="1:16" ht="112.5">
      <c r="A1836" s="1076" t="s">
        <v>2485</v>
      </c>
      <c r="B1836" s="1076"/>
      <c r="C1836" s="1076"/>
      <c r="D1836" s="1076"/>
      <c r="E1836" s="1019"/>
      <c r="F1836" s="1019"/>
      <c r="G1836" s="1019" t="s">
        <v>470</v>
      </c>
      <c r="H1836" s="1031"/>
      <c r="I1836" s="1077" t="s">
        <v>471</v>
      </c>
      <c r="J1836" s="1031"/>
      <c r="K1836" s="1078" t="s">
        <v>472</v>
      </c>
      <c r="L1836" s="1031"/>
      <c r="M1836" s="1077" t="s">
        <v>2486</v>
      </c>
      <c r="N1836" s="1031"/>
      <c r="O1836" s="1079" t="s">
        <v>474</v>
      </c>
      <c r="P1836" s="1080" t="s">
        <v>124</v>
      </c>
    </row>
    <row r="1837" spans="1:16" ht="20.25">
      <c r="A1837" s="1081"/>
      <c r="B1837" s="1081"/>
      <c r="C1837" s="1081"/>
      <c r="D1837" s="1081"/>
      <c r="E1837" s="1081"/>
      <c r="F1837" s="1081"/>
      <c r="G1837" s="1082">
        <f>G1835</f>
        <v>2127019.7839499996</v>
      </c>
      <c r="H1837" s="1081"/>
      <c r="I1837" s="1081"/>
      <c r="J1837" s="1081"/>
      <c r="K1837" s="1081"/>
      <c r="L1837" s="1081"/>
      <c r="M1837" s="1081"/>
      <c r="N1837" s="1081"/>
      <c r="O1837" s="1083">
        <f>O1835</f>
        <v>26800</v>
      </c>
      <c r="P1837" s="1084">
        <f>O1837+G1837</f>
        <v>2153819.7839499996</v>
      </c>
    </row>
    <row r="1838" spans="1:16" ht="20.25">
      <c r="A1838" s="1085"/>
      <c r="B1838" s="1085"/>
      <c r="C1838" s="1082"/>
      <c r="D1838" s="1085"/>
      <c r="E1838" s="1085"/>
      <c r="F1838" s="1085"/>
      <c r="G1838" s="1086"/>
      <c r="H1838" s="1085"/>
      <c r="I1838" s="1085"/>
      <c r="J1838" s="1085"/>
      <c r="K1838" s="876" t="s">
        <v>476</v>
      </c>
      <c r="L1838" s="876"/>
      <c r="M1838" s="876"/>
      <c r="N1838" s="876"/>
      <c r="O1838" s="1087" t="s">
        <v>2487</v>
      </c>
      <c r="P1838" s="1087"/>
    </row>
    <row r="1839" spans="1:16" ht="18.75">
      <c r="A1839" s="1085"/>
      <c r="B1839" s="1085"/>
      <c r="C1839" s="1085"/>
      <c r="D1839" s="1085"/>
      <c r="E1839" s="1085"/>
      <c r="F1839" s="1085"/>
      <c r="G1839" s="1088"/>
      <c r="H1839" s="1085"/>
      <c r="I1839" s="1085"/>
      <c r="J1839" s="1085"/>
      <c r="K1839" s="1089"/>
      <c r="L1839" s="1089"/>
      <c r="M1839" s="1089"/>
      <c r="N1839" s="1089"/>
      <c r="O1839" s="1090"/>
      <c r="P1839" s="1090"/>
    </row>
    <row r="1840" spans="1:16" ht="18.75">
      <c r="A1840" s="1085"/>
      <c r="B1840" s="1085"/>
      <c r="C1840" s="1091"/>
      <c r="D1840" s="1085"/>
      <c r="E1840" s="1085"/>
      <c r="F1840" s="1085"/>
      <c r="G1840" s="1091"/>
      <c r="H1840" s="1085"/>
      <c r="I1840" s="1085"/>
      <c r="J1840" s="1085"/>
      <c r="K1840" s="876" t="s">
        <v>477</v>
      </c>
      <c r="L1840" s="876"/>
      <c r="M1840" s="876"/>
      <c r="N1840" s="876"/>
      <c r="O1840" s="1087" t="s">
        <v>2487</v>
      </c>
      <c r="P1840" s="1087"/>
    </row>
    <row r="1841" spans="1:16" ht="18.75">
      <c r="A1841" s="1085"/>
      <c r="B1841" s="1085"/>
      <c r="C1841" s="1085"/>
      <c r="D1841" s="1085"/>
      <c r="E1841" s="1085"/>
      <c r="F1841" s="1085"/>
      <c r="G1841" s="1091"/>
      <c r="H1841" s="1085"/>
      <c r="I1841" s="1085"/>
      <c r="J1841" s="1091"/>
      <c r="K1841" s="1089"/>
      <c r="L1841" s="1089"/>
      <c r="M1841" s="1089"/>
      <c r="N1841" s="1089"/>
      <c r="O1841" s="1092"/>
      <c r="P1841" s="1092"/>
    </row>
    <row r="1842" spans="1:16" ht="18.75">
      <c r="A1842" s="1085"/>
      <c r="B1842" s="1085"/>
      <c r="C1842" s="1091"/>
      <c r="D1842" s="1085"/>
      <c r="E1842" s="1085"/>
      <c r="F1842" s="1085"/>
      <c r="G1842" s="1091"/>
      <c r="H1842" s="1085"/>
      <c r="I1842" s="1085"/>
      <c r="J1842" s="1085"/>
      <c r="K1842" s="876" t="s">
        <v>478</v>
      </c>
      <c r="L1842" s="876"/>
      <c r="M1842" s="876"/>
      <c r="N1842" s="876"/>
      <c r="O1842" s="1087" t="s">
        <v>2487</v>
      </c>
      <c r="P1842" s="1087"/>
    </row>
    <row r="1843" spans="1:16" ht="18.75">
      <c r="A1843" s="1085"/>
      <c r="B1843" s="1085"/>
      <c r="C1843" s="1085"/>
      <c r="D1843" s="1085"/>
      <c r="E1843" s="1085"/>
      <c r="F1843" s="1085"/>
      <c r="G1843" s="1091"/>
      <c r="H1843" s="1085"/>
      <c r="I1843" s="1085"/>
      <c r="J1843" s="1085"/>
      <c r="K1843" s="1089"/>
      <c r="L1843" s="1089"/>
      <c r="M1843" s="1089"/>
      <c r="N1843" s="1089"/>
      <c r="O1843" s="1090"/>
      <c r="P1843" s="1090"/>
    </row>
  </sheetData>
  <autoFilter ref="F6:P7">
    <filterColumn colId="0" showButton="0"/>
    <filterColumn colId="2" showButton="0"/>
    <filterColumn colId="4" showButton="0"/>
    <filterColumn colId="6" showButton="0"/>
    <filterColumn colId="8" showButton="0"/>
  </autoFilter>
  <mergeCells count="315">
    <mergeCell ref="K1842:N1842"/>
    <mergeCell ref="O1842:P1842"/>
    <mergeCell ref="K1843:N1843"/>
    <mergeCell ref="O1843:P1843"/>
    <mergeCell ref="K1839:N1839"/>
    <mergeCell ref="O1839:P1839"/>
    <mergeCell ref="K1840:N1840"/>
    <mergeCell ref="O1840:P1840"/>
    <mergeCell ref="K1841:N1841"/>
    <mergeCell ref="O1841:P1841"/>
    <mergeCell ref="L1752:M1752"/>
    <mergeCell ref="N1752:O1752"/>
    <mergeCell ref="P1752:P1753"/>
    <mergeCell ref="A1836:D1836"/>
    <mergeCell ref="K1838:N1838"/>
    <mergeCell ref="O1838:P1838"/>
    <mergeCell ref="A1750:C1750"/>
    <mergeCell ref="A1751:C1751"/>
    <mergeCell ref="F1752:G1752"/>
    <mergeCell ref="H1752:I1752"/>
    <mergeCell ref="J1752:K1752"/>
    <mergeCell ref="A1732:C1732"/>
    <mergeCell ref="A1737:K1737"/>
    <mergeCell ref="A1738:A1739"/>
    <mergeCell ref="B1738:B1739"/>
    <mergeCell ref="C1738:C1739"/>
    <mergeCell ref="E1738:I1738"/>
    <mergeCell ref="J1738:J1739"/>
    <mergeCell ref="K1738:K1739"/>
    <mergeCell ref="A1657:K1659"/>
    <mergeCell ref="A1671:K1672"/>
    <mergeCell ref="A1673:A1674"/>
    <mergeCell ref="B1673:B1674"/>
    <mergeCell ref="C1673:C1674"/>
    <mergeCell ref="E1673:I1673"/>
    <mergeCell ref="J1673:J1674"/>
    <mergeCell ref="K1673:K1674"/>
    <mergeCell ref="A1576:C1576"/>
    <mergeCell ref="A1598:K1598"/>
    <mergeCell ref="A1600:A1601"/>
    <mergeCell ref="B1600:B1601"/>
    <mergeCell ref="C1600:C1601"/>
    <mergeCell ref="E1600:I1600"/>
    <mergeCell ref="J1600:J1601"/>
    <mergeCell ref="K1600:K1601"/>
    <mergeCell ref="A1496:K1496"/>
    <mergeCell ref="A1497:K1497"/>
    <mergeCell ref="A1498:K1498"/>
    <mergeCell ref="A1499:A1500"/>
    <mergeCell ref="B1499:B1500"/>
    <mergeCell ref="C1499:C1500"/>
    <mergeCell ref="E1499:I1499"/>
    <mergeCell ref="J1499:J1500"/>
    <mergeCell ref="K1499:K1500"/>
    <mergeCell ref="B1457:B1459"/>
    <mergeCell ref="B1462:B1466"/>
    <mergeCell ref="A1467:B1467"/>
    <mergeCell ref="B1468:B1481"/>
    <mergeCell ref="I1488:K1488"/>
    <mergeCell ref="B1395:B1396"/>
    <mergeCell ref="B1412:B1413"/>
    <mergeCell ref="B1435:B1436"/>
    <mergeCell ref="B1444:B1445"/>
    <mergeCell ref="B1449:B1450"/>
    <mergeCell ref="J1345:J1346"/>
    <mergeCell ref="K1345:K1346"/>
    <mergeCell ref="A1347:B1347"/>
    <mergeCell ref="A1367:B1367"/>
    <mergeCell ref="B1390:B1391"/>
    <mergeCell ref="A1345:A1346"/>
    <mergeCell ref="B1345:B1346"/>
    <mergeCell ref="C1345:C1346"/>
    <mergeCell ref="D1345:D1346"/>
    <mergeCell ref="E1345:I1345"/>
    <mergeCell ref="A1334:E1334"/>
    <mergeCell ref="A1340:K1341"/>
    <mergeCell ref="A1343:C1343"/>
    <mergeCell ref="G1343:J1343"/>
    <mergeCell ref="A1344:C1344"/>
    <mergeCell ref="H1344:J1344"/>
    <mergeCell ref="C1223:C1224"/>
    <mergeCell ref="A1231:E1231"/>
    <mergeCell ref="M1234:N1234"/>
    <mergeCell ref="A1238:A1239"/>
    <mergeCell ref="B1238:B1239"/>
    <mergeCell ref="C1238:C1239"/>
    <mergeCell ref="D1238:D1239"/>
    <mergeCell ref="E1238:E1239"/>
    <mergeCell ref="F1238:G1238"/>
    <mergeCell ref="H1238:I1238"/>
    <mergeCell ref="J1238:K1238"/>
    <mergeCell ref="L1238:M1238"/>
    <mergeCell ref="N1238:O1238"/>
    <mergeCell ref="A1203:A1204"/>
    <mergeCell ref="C1203:C1205"/>
    <mergeCell ref="A1221:A1222"/>
    <mergeCell ref="B1221:B1222"/>
    <mergeCell ref="C1221:C1222"/>
    <mergeCell ref="C1146:C1147"/>
    <mergeCell ref="A1184:A1185"/>
    <mergeCell ref="B1184:B1185"/>
    <mergeCell ref="C1184:C1185"/>
    <mergeCell ref="A1201:A1202"/>
    <mergeCell ref="C1201:C1202"/>
    <mergeCell ref="C1129:C1130"/>
    <mergeCell ref="C1137:C1138"/>
    <mergeCell ref="C1140:C1141"/>
    <mergeCell ref="C1142:C1143"/>
    <mergeCell ref="C1144:C1145"/>
    <mergeCell ref="B1052:B1053"/>
    <mergeCell ref="C1052:C1053"/>
    <mergeCell ref="A1081:A1082"/>
    <mergeCell ref="C1081:C1082"/>
    <mergeCell ref="C1099:C1100"/>
    <mergeCell ref="B1043:B1045"/>
    <mergeCell ref="C1043:C1045"/>
    <mergeCell ref="B1046:B1047"/>
    <mergeCell ref="C1046:C1047"/>
    <mergeCell ref="B1049:B1050"/>
    <mergeCell ref="C1049:C1050"/>
    <mergeCell ref="C982:C983"/>
    <mergeCell ref="C1027:C1028"/>
    <mergeCell ref="A1035:A1036"/>
    <mergeCell ref="B1035:B1036"/>
    <mergeCell ref="C1035:C1036"/>
    <mergeCell ref="L950:M950"/>
    <mergeCell ref="N950:O950"/>
    <mergeCell ref="B969:B972"/>
    <mergeCell ref="C969:C972"/>
    <mergeCell ref="A980:A981"/>
    <mergeCell ref="C980:C981"/>
    <mergeCell ref="D950:D951"/>
    <mergeCell ref="E950:E951"/>
    <mergeCell ref="F950:G950"/>
    <mergeCell ref="H950:I950"/>
    <mergeCell ref="J950:K950"/>
    <mergeCell ref="A947:C947"/>
    <mergeCell ref="A948:C948"/>
    <mergeCell ref="A950:A951"/>
    <mergeCell ref="B950:B951"/>
    <mergeCell ref="C950:C951"/>
    <mergeCell ref="A920:K920"/>
    <mergeCell ref="A941:E941"/>
    <mergeCell ref="A925:L925"/>
    <mergeCell ref="A945:O945"/>
    <mergeCell ref="A838:L838"/>
    <mergeCell ref="A839:L839"/>
    <mergeCell ref="A840:L840"/>
    <mergeCell ref="A841:A842"/>
    <mergeCell ref="B841:C842"/>
    <mergeCell ref="D841:D842"/>
    <mergeCell ref="E841:E842"/>
    <mergeCell ref="F841:J841"/>
    <mergeCell ref="K841:K842"/>
    <mergeCell ref="L841:L842"/>
    <mergeCell ref="A815:K815"/>
    <mergeCell ref="A816:A817"/>
    <mergeCell ref="B816:B817"/>
    <mergeCell ref="C816:C817"/>
    <mergeCell ref="E816:I816"/>
    <mergeCell ref="J816:J817"/>
    <mergeCell ref="K816:K817"/>
    <mergeCell ref="A795:K795"/>
    <mergeCell ref="A796:A797"/>
    <mergeCell ref="B796:B797"/>
    <mergeCell ref="C796:C797"/>
    <mergeCell ref="E796:I796"/>
    <mergeCell ref="J796:J797"/>
    <mergeCell ref="K796:K797"/>
    <mergeCell ref="A737:K737"/>
    <mergeCell ref="A738:A739"/>
    <mergeCell ref="B738:B739"/>
    <mergeCell ref="C738:C739"/>
    <mergeCell ref="E738:I738"/>
    <mergeCell ref="J738:J739"/>
    <mergeCell ref="K738:K739"/>
    <mergeCell ref="A700:K700"/>
    <mergeCell ref="A701:K701"/>
    <mergeCell ref="A702:K702"/>
    <mergeCell ref="A703:A704"/>
    <mergeCell ref="B703:B704"/>
    <mergeCell ref="C703:C704"/>
    <mergeCell ref="E703:I703"/>
    <mergeCell ref="J703:J704"/>
    <mergeCell ref="K703:K704"/>
    <mergeCell ref="C691:K691"/>
    <mergeCell ref="C693:E693"/>
    <mergeCell ref="F693:H693"/>
    <mergeCell ref="I693:K693"/>
    <mergeCell ref="C694:E694"/>
    <mergeCell ref="F694:H694"/>
    <mergeCell ref="I694:K694"/>
    <mergeCell ref="A573:O573"/>
    <mergeCell ref="A574:B574"/>
    <mergeCell ref="D574:O575"/>
    <mergeCell ref="A575:B575"/>
    <mergeCell ref="A576:A577"/>
    <mergeCell ref="B576:B577"/>
    <mergeCell ref="C576:C577"/>
    <mergeCell ref="D576:D577"/>
    <mergeCell ref="E576:E577"/>
    <mergeCell ref="F576:G576"/>
    <mergeCell ref="H576:I576"/>
    <mergeCell ref="J576:K576"/>
    <mergeCell ref="L576:M576"/>
    <mergeCell ref="N576:O576"/>
    <mergeCell ref="A519:K519"/>
    <mergeCell ref="A521:J521"/>
    <mergeCell ref="A523:K523"/>
    <mergeCell ref="B554:J554"/>
    <mergeCell ref="A566:J566"/>
    <mergeCell ref="A461:J461"/>
    <mergeCell ref="B467:J467"/>
    <mergeCell ref="B498:J498"/>
    <mergeCell ref="A499:K499"/>
    <mergeCell ref="B518:J518"/>
    <mergeCell ref="B359:B360"/>
    <mergeCell ref="C359:C360"/>
    <mergeCell ref="D359:D360"/>
    <mergeCell ref="K359:K360"/>
    <mergeCell ref="A358:K358"/>
    <mergeCell ref="A359:A360"/>
    <mergeCell ref="E359:I359"/>
    <mergeCell ref="J359:J360"/>
    <mergeCell ref="A352:J353"/>
    <mergeCell ref="A355:C355"/>
    <mergeCell ref="H355:I355"/>
    <mergeCell ref="A356:C356"/>
    <mergeCell ref="I356:J356"/>
    <mergeCell ref="H139:I139"/>
    <mergeCell ref="A135:B135"/>
    <mergeCell ref="D135:E135"/>
    <mergeCell ref="F135:G135"/>
    <mergeCell ref="H135:I135"/>
    <mergeCell ref="H137:I137"/>
    <mergeCell ref="H138:I138"/>
    <mergeCell ref="P6:P7"/>
    <mergeCell ref="B133:I133"/>
    <mergeCell ref="A134:B134"/>
    <mergeCell ref="D134:E134"/>
    <mergeCell ref="F134:G134"/>
    <mergeCell ref="H134:I134"/>
    <mergeCell ref="F6:G6"/>
    <mergeCell ref="H6:I6"/>
    <mergeCell ref="J6:K6"/>
    <mergeCell ref="L6:M6"/>
    <mergeCell ref="N6:O6"/>
    <mergeCell ref="A1:B1"/>
    <mergeCell ref="O1:P1"/>
    <mergeCell ref="A2:B2"/>
    <mergeCell ref="A3:B3"/>
    <mergeCell ref="A4:B4"/>
    <mergeCell ref="A142:K143"/>
    <mergeCell ref="A145:H145"/>
    <mergeCell ref="A146:C146"/>
    <mergeCell ref="D146:E146"/>
    <mergeCell ref="A147:C147"/>
    <mergeCell ref="D147:F147"/>
    <mergeCell ref="J148:J149"/>
    <mergeCell ref="K148:K149"/>
    <mergeCell ref="D162:D163"/>
    <mergeCell ref="H173:J173"/>
    <mergeCell ref="A177:A178"/>
    <mergeCell ref="B177:B178"/>
    <mergeCell ref="C177:C178"/>
    <mergeCell ref="D177:D178"/>
    <mergeCell ref="F177:I177"/>
    <mergeCell ref="J177:J178"/>
    <mergeCell ref="K177:K178"/>
    <mergeCell ref="A148:A149"/>
    <mergeCell ref="B148:B149"/>
    <mergeCell ref="C148:C149"/>
    <mergeCell ref="D148:D149"/>
    <mergeCell ref="F148:I148"/>
    <mergeCell ref="E202:F202"/>
    <mergeCell ref="D204:F204"/>
    <mergeCell ref="A206:D206"/>
    <mergeCell ref="L206:P206"/>
    <mergeCell ref="A207:D207"/>
    <mergeCell ref="A208:E208"/>
    <mergeCell ref="A209:E209"/>
    <mergeCell ref="F210:G210"/>
    <mergeCell ref="H210:I210"/>
    <mergeCell ref="J210:K210"/>
    <mergeCell ref="L210:M210"/>
    <mergeCell ref="N210:O210"/>
    <mergeCell ref="P210:P211"/>
    <mergeCell ref="A300:F300"/>
    <mergeCell ref="A308:K309"/>
    <mergeCell ref="A311:C311"/>
    <mergeCell ref="A312:C312"/>
    <mergeCell ref="H312:K312"/>
    <mergeCell ref="A313:A314"/>
    <mergeCell ref="B313:B314"/>
    <mergeCell ref="C313:C314"/>
    <mergeCell ref="D313:D314"/>
    <mergeCell ref="E313:I313"/>
    <mergeCell ref="K313:K314"/>
    <mergeCell ref="H335:I335"/>
    <mergeCell ref="B336:K336"/>
    <mergeCell ref="A337:A338"/>
    <mergeCell ref="B337:B338"/>
    <mergeCell ref="C337:C338"/>
    <mergeCell ref="D337:D338"/>
    <mergeCell ref="E337:I337"/>
    <mergeCell ref="K337:K338"/>
    <mergeCell ref="H346:I346"/>
    <mergeCell ref="H341:I341"/>
    <mergeCell ref="B342:K342"/>
    <mergeCell ref="A343:A344"/>
    <mergeCell ref="B343:B344"/>
    <mergeCell ref="C343:C344"/>
    <mergeCell ref="D343:D344"/>
    <mergeCell ref="E343:I343"/>
    <mergeCell ref="K343:K3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aditya</cp:lastModifiedBy>
  <cp:lastPrinted>2021-08-31T09:15:40Z</cp:lastPrinted>
  <dcterms:created xsi:type="dcterms:W3CDTF">2015-06-05T18:17:20Z</dcterms:created>
  <dcterms:modified xsi:type="dcterms:W3CDTF">2026-08-07T11:15:11Z</dcterms:modified>
</cp:coreProperties>
</file>