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defaultThemeVersion="124226"/>
  <bookViews>
    <workbookView xWindow="-15" yWindow="-15" windowWidth="10260" windowHeight="8115"/>
  </bookViews>
  <sheets>
    <sheet name="Stock &amp; T&amp;P" sheetId="3" r:id="rId1"/>
    <sheet name="Absract" sheetId="4"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97" i="3" l="1"/>
  <c r="O2399" i="3" s="1"/>
  <c r="P2396" i="3"/>
  <c r="G2396" i="3"/>
  <c r="P2395" i="3"/>
  <c r="O2395" i="3"/>
  <c r="P2394" i="3"/>
  <c r="G2394" i="3"/>
  <c r="P2393" i="3"/>
  <c r="O2393" i="3"/>
  <c r="P2392" i="3"/>
  <c r="O2392" i="3"/>
  <c r="P2391" i="3"/>
  <c r="G2391" i="3"/>
  <c r="P2390" i="3"/>
  <c r="G2390" i="3"/>
  <c r="P2389" i="3"/>
  <c r="G2389" i="3"/>
  <c r="P2388" i="3"/>
  <c r="G2388" i="3"/>
  <c r="P2387" i="3"/>
  <c r="G2387" i="3"/>
  <c r="P2386" i="3"/>
  <c r="G2386" i="3"/>
  <c r="P2385" i="3"/>
  <c r="G2385" i="3"/>
  <c r="P2384" i="3"/>
  <c r="G2384" i="3"/>
  <c r="P2383" i="3"/>
  <c r="G2383" i="3"/>
  <c r="P2382" i="3"/>
  <c r="G2382" i="3"/>
  <c r="P2381" i="3"/>
  <c r="G2381" i="3"/>
  <c r="P2380" i="3"/>
  <c r="G2380" i="3"/>
  <c r="P2379" i="3"/>
  <c r="G2379" i="3"/>
  <c r="P2378" i="3"/>
  <c r="G2378" i="3"/>
  <c r="P2377" i="3"/>
  <c r="G2377" i="3"/>
  <c r="P2376" i="3"/>
  <c r="O2376" i="3"/>
  <c r="P2375" i="3"/>
  <c r="G2375" i="3"/>
  <c r="P2374" i="3"/>
  <c r="G2374" i="3"/>
  <c r="P2373" i="3"/>
  <c r="O2373" i="3"/>
  <c r="P2372" i="3"/>
  <c r="G2372" i="3"/>
  <c r="P2371" i="3"/>
  <c r="G2371" i="3"/>
  <c r="P2370" i="3"/>
  <c r="G2370" i="3"/>
  <c r="P2369" i="3"/>
  <c r="G2369" i="3"/>
  <c r="P2368" i="3"/>
  <c r="G2368" i="3"/>
  <c r="P2367" i="3"/>
  <c r="G2367" i="3"/>
  <c r="P2366" i="3"/>
  <c r="G2366" i="3"/>
  <c r="P2365" i="3"/>
  <c r="G2365" i="3"/>
  <c r="P2364" i="3"/>
  <c r="G2364" i="3"/>
  <c r="P2363" i="3"/>
  <c r="G2363" i="3"/>
  <c r="P2362" i="3"/>
  <c r="G2362" i="3"/>
  <c r="P2361" i="3"/>
  <c r="G2361" i="3"/>
  <c r="P2360" i="3"/>
  <c r="G2360" i="3"/>
  <c r="P2359" i="3"/>
  <c r="G2359" i="3"/>
  <c r="P2358" i="3"/>
  <c r="G2358" i="3"/>
  <c r="P2357" i="3"/>
  <c r="G2357" i="3"/>
  <c r="P2356" i="3"/>
  <c r="G2356" i="3"/>
  <c r="P2355" i="3"/>
  <c r="G2355" i="3"/>
  <c r="P2354" i="3"/>
  <c r="O2354" i="3"/>
  <c r="P2353" i="3"/>
  <c r="G2353" i="3"/>
  <c r="P2352" i="3"/>
  <c r="G2352" i="3"/>
  <c r="P2351" i="3"/>
  <c r="G2351" i="3"/>
  <c r="P2350" i="3"/>
  <c r="G2350" i="3"/>
  <c r="P2349" i="3"/>
  <c r="G2349" i="3"/>
  <c r="P2348" i="3"/>
  <c r="G2348" i="3"/>
  <c r="P2347" i="3"/>
  <c r="G2347" i="3"/>
  <c r="P2346" i="3"/>
  <c r="G2346" i="3"/>
  <c r="P2345" i="3"/>
  <c r="G2345" i="3"/>
  <c r="P2344" i="3"/>
  <c r="G2344" i="3"/>
  <c r="P2343" i="3"/>
  <c r="G2343" i="3"/>
  <c r="P2342" i="3"/>
  <c r="G2342" i="3"/>
  <c r="P2341" i="3"/>
  <c r="G2341" i="3"/>
  <c r="P2340" i="3"/>
  <c r="G2340" i="3"/>
  <c r="P2339" i="3"/>
  <c r="G2339" i="3"/>
  <c r="P2338" i="3"/>
  <c r="G2338" i="3"/>
  <c r="P2337" i="3"/>
  <c r="G2337" i="3"/>
  <c r="P2336" i="3"/>
  <c r="G2336" i="3"/>
  <c r="P2335" i="3"/>
  <c r="G2335" i="3"/>
  <c r="P2334" i="3"/>
  <c r="G2334" i="3"/>
  <c r="P2333" i="3"/>
  <c r="G2333" i="3"/>
  <c r="P2332" i="3"/>
  <c r="G2332" i="3"/>
  <c r="P2331" i="3"/>
  <c r="G2331" i="3"/>
  <c r="P2330" i="3"/>
  <c r="G2330" i="3"/>
  <c r="P2329" i="3"/>
  <c r="G2329" i="3"/>
  <c r="P2328" i="3"/>
  <c r="G2328" i="3"/>
  <c r="P2327" i="3"/>
  <c r="G2327" i="3"/>
  <c r="P2326" i="3"/>
  <c r="G2326" i="3"/>
  <c r="P2325" i="3"/>
  <c r="O2325" i="3"/>
  <c r="P2324" i="3"/>
  <c r="G2324" i="3"/>
  <c r="P2323" i="3"/>
  <c r="G2323" i="3"/>
  <c r="P2322" i="3"/>
  <c r="G2322" i="3"/>
  <c r="P2321" i="3"/>
  <c r="G2321" i="3"/>
  <c r="P2320" i="3"/>
  <c r="G2320" i="3"/>
  <c r="P2319" i="3"/>
  <c r="G2319" i="3"/>
  <c r="P2318" i="3"/>
  <c r="G2318" i="3"/>
  <c r="P2317" i="3"/>
  <c r="P2397" i="3" s="1"/>
  <c r="G2317" i="3"/>
  <c r="G2397" i="3" s="1"/>
  <c r="G2399" i="3" s="1"/>
  <c r="P2399" i="3" l="1"/>
  <c r="K2305" i="3"/>
  <c r="K2304" i="3"/>
  <c r="K2303" i="3"/>
  <c r="K2302" i="3"/>
  <c r="K2301" i="3"/>
  <c r="K2300" i="3"/>
  <c r="K2299" i="3"/>
  <c r="K2298" i="3"/>
  <c r="K2297" i="3"/>
  <c r="K2296" i="3"/>
  <c r="K2295" i="3"/>
  <c r="K2294" i="3"/>
  <c r="K2293" i="3"/>
  <c r="K2292" i="3"/>
  <c r="K2291" i="3"/>
  <c r="K2290" i="3"/>
  <c r="K2288" i="3"/>
  <c r="K2287" i="3"/>
  <c r="K2286" i="3"/>
  <c r="K2285" i="3"/>
  <c r="K2284" i="3"/>
  <c r="K2283" i="3"/>
  <c r="K2282" i="3"/>
  <c r="K2281" i="3"/>
  <c r="K2280" i="3"/>
  <c r="K2279" i="3"/>
  <c r="K2278" i="3"/>
  <c r="K2277" i="3"/>
  <c r="K2276" i="3"/>
  <c r="K2275" i="3"/>
  <c r="K2274" i="3"/>
  <c r="K2273" i="3"/>
  <c r="K2272" i="3"/>
  <c r="K2271" i="3"/>
  <c r="K2270" i="3"/>
  <c r="K2269" i="3"/>
  <c r="K2268" i="3"/>
  <c r="K2267" i="3"/>
  <c r="K2266" i="3"/>
  <c r="K2265" i="3"/>
  <c r="K2264" i="3"/>
  <c r="K2263" i="3"/>
  <c r="K2262" i="3"/>
  <c r="K2261" i="3"/>
  <c r="K2260" i="3"/>
  <c r="K2259" i="3"/>
  <c r="K2258" i="3"/>
  <c r="K2257" i="3"/>
  <c r="K2256" i="3"/>
  <c r="K2255" i="3"/>
  <c r="K2254" i="3"/>
  <c r="K2253" i="3"/>
  <c r="K2252" i="3"/>
  <c r="K2251" i="3"/>
  <c r="K2250" i="3"/>
  <c r="K2249" i="3"/>
  <c r="K2248" i="3"/>
  <c r="K2247" i="3"/>
  <c r="K2246" i="3"/>
  <c r="K2245" i="3"/>
  <c r="K2244" i="3"/>
  <c r="K2243" i="3"/>
  <c r="K2242" i="3"/>
  <c r="K2241" i="3"/>
  <c r="K2240" i="3"/>
  <c r="K2239" i="3"/>
  <c r="K2238" i="3"/>
  <c r="K2237" i="3"/>
  <c r="K2236" i="3"/>
  <c r="K2235" i="3"/>
  <c r="K2234" i="3"/>
  <c r="K2233" i="3"/>
  <c r="K2232" i="3"/>
  <c r="K2231" i="3"/>
  <c r="K2230" i="3"/>
  <c r="K2229" i="3"/>
  <c r="K2228" i="3"/>
  <c r="K2227" i="3"/>
  <c r="K2226" i="3"/>
  <c r="K2225" i="3"/>
  <c r="K2224" i="3"/>
  <c r="K2223" i="3"/>
  <c r="K2222" i="3"/>
  <c r="K2221" i="3"/>
  <c r="K2220" i="3"/>
  <c r="K2219" i="3"/>
  <c r="K2218" i="3"/>
  <c r="K2217" i="3"/>
  <c r="K2216" i="3"/>
  <c r="K2215" i="3"/>
  <c r="K2214" i="3"/>
  <c r="K2213" i="3"/>
  <c r="K2212" i="3"/>
  <c r="K2211" i="3"/>
  <c r="K2210" i="3"/>
  <c r="K2209" i="3"/>
  <c r="K2208" i="3"/>
  <c r="K2207" i="3"/>
  <c r="K2206" i="3"/>
  <c r="K2205" i="3"/>
  <c r="K2204" i="3"/>
  <c r="K2203" i="3"/>
  <c r="K2202" i="3"/>
  <c r="K2201" i="3"/>
  <c r="K2200" i="3"/>
  <c r="K2199" i="3"/>
  <c r="K2198" i="3"/>
  <c r="K2197" i="3"/>
  <c r="K2196" i="3"/>
  <c r="K2195" i="3"/>
  <c r="K2193" i="3"/>
  <c r="K2192" i="3"/>
  <c r="K2191" i="3"/>
  <c r="K2190" i="3"/>
  <c r="K2189" i="3"/>
  <c r="K2188" i="3"/>
  <c r="K2187" i="3"/>
  <c r="K2186" i="3"/>
  <c r="K2185" i="3"/>
  <c r="K2184" i="3"/>
  <c r="K2183" i="3"/>
  <c r="K2182" i="3"/>
  <c r="K2181" i="3"/>
  <c r="K2180" i="3"/>
  <c r="K2179" i="3"/>
  <c r="K2178" i="3"/>
  <c r="K2177" i="3"/>
  <c r="K2176" i="3"/>
  <c r="K2306" i="3" s="1"/>
  <c r="K2175" i="3"/>
  <c r="K2163" i="3" l="1"/>
  <c r="K2162" i="3"/>
  <c r="K2161" i="3"/>
  <c r="K2160" i="3"/>
  <c r="K2159" i="3"/>
  <c r="K2158" i="3"/>
  <c r="K2157" i="3"/>
  <c r="K2156" i="3"/>
  <c r="K2152" i="3"/>
  <c r="K2151" i="3"/>
  <c r="K2150" i="3"/>
  <c r="K2148" i="3"/>
  <c r="K2147" i="3"/>
  <c r="K2146" i="3"/>
  <c r="K2145" i="3"/>
  <c r="K2144" i="3"/>
  <c r="K2143" i="3"/>
  <c r="K2142" i="3"/>
  <c r="K2141" i="3"/>
  <c r="K2140" i="3"/>
  <c r="K2139" i="3"/>
  <c r="K2138" i="3"/>
  <c r="K2137" i="3"/>
  <c r="K2136" i="3"/>
  <c r="K2135" i="3"/>
  <c r="K2134" i="3"/>
  <c r="K2133" i="3"/>
  <c r="K2132" i="3"/>
  <c r="K2131" i="3"/>
  <c r="K2130" i="3"/>
  <c r="K2129" i="3"/>
  <c r="K2128" i="3"/>
  <c r="K2127" i="3"/>
  <c r="K2126" i="3"/>
  <c r="K2125" i="3"/>
  <c r="K2124" i="3"/>
  <c r="K2123" i="3"/>
  <c r="K2122" i="3"/>
  <c r="K2121" i="3"/>
  <c r="K2120" i="3"/>
  <c r="K2119" i="3"/>
  <c r="K2118" i="3"/>
  <c r="K2117" i="3"/>
  <c r="K2116" i="3"/>
  <c r="K2115" i="3"/>
  <c r="K2114" i="3"/>
  <c r="K2113" i="3"/>
  <c r="K2112" i="3"/>
  <c r="K2111" i="3"/>
  <c r="K2110" i="3"/>
  <c r="K2109" i="3"/>
  <c r="K2108" i="3"/>
  <c r="K2107" i="3"/>
  <c r="K2106" i="3"/>
  <c r="K2105" i="3"/>
  <c r="K2104" i="3"/>
  <c r="K2103" i="3"/>
  <c r="K2102" i="3"/>
  <c r="K2101" i="3"/>
  <c r="K2100" i="3"/>
  <c r="K2099" i="3"/>
  <c r="K2098" i="3"/>
  <c r="K2093" i="3"/>
  <c r="K2092" i="3"/>
  <c r="K2091" i="3"/>
  <c r="K2090" i="3"/>
  <c r="K2089" i="3"/>
  <c r="K2088" i="3"/>
  <c r="K2087" i="3"/>
  <c r="K2086" i="3"/>
  <c r="K2085" i="3"/>
  <c r="K2084" i="3"/>
  <c r="K2083" i="3"/>
  <c r="K2079" i="3"/>
  <c r="K2078" i="3"/>
  <c r="K2077" i="3"/>
  <c r="K2076" i="3"/>
  <c r="K2075" i="3"/>
  <c r="K2074" i="3"/>
  <c r="K2073" i="3"/>
  <c r="K2072" i="3"/>
  <c r="K2071" i="3"/>
  <c r="K2070" i="3"/>
  <c r="K2069" i="3"/>
  <c r="K2068" i="3"/>
  <c r="K2067" i="3"/>
  <c r="K2066" i="3"/>
  <c r="K2065" i="3"/>
  <c r="K2064" i="3"/>
  <c r="K2063" i="3"/>
  <c r="K2062" i="3"/>
  <c r="K2061" i="3"/>
  <c r="K2060" i="3"/>
  <c r="K2059" i="3"/>
  <c r="K2058" i="3"/>
  <c r="K2057" i="3"/>
  <c r="K2056" i="3"/>
  <c r="K2055" i="3"/>
  <c r="K2054" i="3"/>
  <c r="K2053" i="3"/>
  <c r="K2052" i="3"/>
  <c r="K2051" i="3"/>
  <c r="K2050" i="3"/>
  <c r="K2049" i="3"/>
  <c r="K2048" i="3"/>
  <c r="K2047" i="3"/>
  <c r="K2046" i="3"/>
  <c r="K2045" i="3"/>
  <c r="K2044" i="3"/>
  <c r="K2043" i="3"/>
  <c r="K2042" i="3"/>
  <c r="K2041" i="3"/>
  <c r="K2040" i="3"/>
  <c r="K2039" i="3"/>
  <c r="K2038" i="3"/>
  <c r="K2037" i="3"/>
  <c r="K2036" i="3"/>
  <c r="K2035" i="3"/>
  <c r="K2034" i="3"/>
  <c r="K2033" i="3"/>
  <c r="K2032" i="3"/>
  <c r="K2031" i="3"/>
  <c r="K2030" i="3"/>
  <c r="K2029" i="3"/>
  <c r="K2028" i="3"/>
  <c r="K2027" i="3"/>
  <c r="K2026" i="3"/>
  <c r="K2025" i="3"/>
  <c r="K2019" i="3"/>
  <c r="K2018" i="3"/>
  <c r="K2017" i="3"/>
  <c r="K2016" i="3"/>
  <c r="K2015" i="3"/>
  <c r="K2014" i="3"/>
  <c r="K2013" i="3"/>
  <c r="K2012" i="3"/>
  <c r="K2011" i="3"/>
  <c r="K2010" i="3"/>
  <c r="K2009" i="3"/>
  <c r="K2008" i="3"/>
  <c r="K2007" i="3"/>
  <c r="K2006" i="3"/>
  <c r="K2005" i="3"/>
  <c r="K2004" i="3"/>
  <c r="K2003" i="3"/>
  <c r="K2002" i="3"/>
  <c r="K2001" i="3"/>
  <c r="K2000" i="3"/>
  <c r="K1998" i="3"/>
  <c r="K1997" i="3"/>
  <c r="K1996" i="3"/>
  <c r="K1995" i="3"/>
  <c r="K1994" i="3"/>
  <c r="K1993" i="3"/>
  <c r="K1992" i="3"/>
  <c r="K1991" i="3"/>
  <c r="K1990" i="3"/>
  <c r="K1989" i="3"/>
  <c r="K1988" i="3"/>
  <c r="K1987" i="3"/>
  <c r="K1986" i="3"/>
  <c r="K1985" i="3"/>
  <c r="K1984" i="3"/>
  <c r="K1983" i="3"/>
  <c r="K1982" i="3"/>
  <c r="K1981" i="3"/>
  <c r="K1980" i="3"/>
  <c r="K1979" i="3"/>
  <c r="K1978" i="3"/>
  <c r="K1977" i="3"/>
  <c r="K1976" i="3"/>
  <c r="K1975" i="3"/>
  <c r="K1974" i="3"/>
  <c r="K1973" i="3"/>
  <c r="K1972" i="3"/>
  <c r="K1971" i="3"/>
  <c r="K1970" i="3"/>
  <c r="K1969" i="3"/>
  <c r="K1968" i="3"/>
  <c r="K1967" i="3"/>
  <c r="K1966" i="3"/>
  <c r="K1965" i="3"/>
  <c r="K1964" i="3"/>
  <c r="K1963" i="3"/>
  <c r="K1962" i="3"/>
  <c r="K1961" i="3"/>
  <c r="K1960" i="3"/>
  <c r="K1959" i="3"/>
  <c r="K1958" i="3"/>
  <c r="K1957" i="3"/>
  <c r="K1956" i="3"/>
  <c r="K1955" i="3"/>
  <c r="K1954" i="3"/>
  <c r="K1953" i="3"/>
  <c r="K1952" i="3"/>
  <c r="K1951" i="3"/>
  <c r="K1950" i="3"/>
  <c r="K1949" i="3"/>
  <c r="K1948" i="3"/>
  <c r="K1947" i="3"/>
  <c r="K1946" i="3"/>
  <c r="K1945" i="3"/>
  <c r="K1944" i="3"/>
  <c r="K1943" i="3"/>
  <c r="K1942" i="3"/>
  <c r="K1941" i="3"/>
  <c r="K1940" i="3"/>
  <c r="K1939" i="3"/>
  <c r="K1938" i="3"/>
  <c r="K1937" i="3"/>
  <c r="K1936" i="3"/>
  <c r="K1935" i="3"/>
  <c r="K1934" i="3"/>
  <c r="K1933" i="3"/>
  <c r="K1932" i="3"/>
  <c r="K1931" i="3"/>
  <c r="K1930" i="3"/>
  <c r="K1929" i="3"/>
  <c r="K1928" i="3"/>
  <c r="K1927" i="3"/>
  <c r="K1926" i="3"/>
  <c r="K1925" i="3"/>
  <c r="K1924" i="3"/>
  <c r="O1915" i="3" l="1"/>
  <c r="K1915" i="3"/>
  <c r="I1915" i="3"/>
  <c r="G1914" i="3"/>
  <c r="G1913" i="3"/>
  <c r="G1912" i="3"/>
  <c r="G1911" i="3"/>
  <c r="G1910" i="3"/>
  <c r="G1909" i="3"/>
  <c r="G1908" i="3"/>
  <c r="G1907" i="3"/>
  <c r="G1906" i="3"/>
  <c r="G1905" i="3"/>
  <c r="G1904" i="3"/>
  <c r="G1903" i="3"/>
  <c r="G1902" i="3"/>
  <c r="G1901" i="3"/>
  <c r="G1900" i="3"/>
  <c r="G1899" i="3"/>
  <c r="G1898" i="3"/>
  <c r="G1897" i="3"/>
  <c r="G1896" i="3"/>
  <c r="G1895" i="3"/>
  <c r="M1894" i="3"/>
  <c r="G1893" i="3"/>
  <c r="M1892" i="3"/>
  <c r="M1891" i="3"/>
  <c r="M1890" i="3"/>
  <c r="M1889" i="3"/>
  <c r="M1888" i="3"/>
  <c r="M1887" i="3"/>
  <c r="G1886" i="3"/>
  <c r="G1885" i="3"/>
  <c r="G1884" i="3"/>
  <c r="G1883" i="3"/>
  <c r="G1882" i="3"/>
  <c r="G1881" i="3"/>
  <c r="G1880" i="3"/>
  <c r="G1879" i="3"/>
  <c r="G1878" i="3"/>
  <c r="G1877" i="3"/>
  <c r="G1876" i="3"/>
  <c r="G1875" i="3"/>
  <c r="G1874" i="3"/>
  <c r="G1873" i="3"/>
  <c r="G1872" i="3"/>
  <c r="M1871" i="3"/>
  <c r="M1870" i="3"/>
  <c r="M1869" i="3"/>
  <c r="M1868" i="3"/>
  <c r="M1867" i="3"/>
  <c r="G1866" i="3"/>
  <c r="G1865" i="3"/>
  <c r="G1864" i="3"/>
  <c r="G1863" i="3"/>
  <c r="G1862" i="3"/>
  <c r="G1861" i="3"/>
  <c r="G1860" i="3"/>
  <c r="G1859" i="3"/>
  <c r="G1858" i="3"/>
  <c r="A1858" i="3"/>
  <c r="A1859" i="3" s="1"/>
  <c r="A1860" i="3" s="1"/>
  <c r="A1861" i="3" s="1"/>
  <c r="A1862" i="3" s="1"/>
  <c r="A1863" i="3" s="1"/>
  <c r="A1864" i="3" s="1"/>
  <c r="A1865" i="3" s="1"/>
  <c r="A1866" i="3" s="1"/>
  <c r="A1867" i="3" s="1"/>
  <c r="A1868" i="3" s="1"/>
  <c r="A1869" i="3" s="1"/>
  <c r="A1870" i="3" s="1"/>
  <c r="A1871" i="3" s="1"/>
  <c r="A1872" i="3" s="1"/>
  <c r="A1873" i="3" s="1"/>
  <c r="A1874" i="3" s="1"/>
  <c r="A1875" i="3" s="1"/>
  <c r="A1876" i="3" s="1"/>
  <c r="A1877" i="3" s="1"/>
  <c r="A1878" i="3" s="1"/>
  <c r="A1879" i="3" s="1"/>
  <c r="A1880" i="3" s="1"/>
  <c r="A1881" i="3" s="1"/>
  <c r="A1882" i="3" s="1"/>
  <c r="A1883" i="3" s="1"/>
  <c r="A1884" i="3" s="1"/>
  <c r="A1885" i="3" s="1"/>
  <c r="A1890" i="3" s="1"/>
  <c r="A1891" i="3" s="1"/>
  <c r="A1892" i="3" s="1"/>
  <c r="A1893" i="3" s="1"/>
  <c r="A1894" i="3" s="1"/>
  <c r="A1895" i="3" s="1"/>
  <c r="A1897" i="3" s="1"/>
  <c r="A1898" i="3" s="1"/>
  <c r="A1899" i="3" s="1"/>
  <c r="A1900" i="3" s="1"/>
  <c r="A1901" i="3" s="1"/>
  <c r="A1902" i="3" s="1"/>
  <c r="A1903" i="3" s="1"/>
  <c r="G1857" i="3"/>
  <c r="A1857" i="3"/>
  <c r="G1856" i="3"/>
  <c r="G1855" i="3"/>
  <c r="G1854" i="3"/>
  <c r="G1853" i="3"/>
  <c r="G1852" i="3"/>
  <c r="G1851" i="3"/>
  <c r="G1850" i="3"/>
  <c r="G1849" i="3"/>
  <c r="G1848" i="3"/>
  <c r="G1846" i="3"/>
  <c r="G1844" i="3"/>
  <c r="G1843" i="3"/>
  <c r="G1840" i="3"/>
  <c r="G1839" i="3"/>
  <c r="G1838" i="3"/>
  <c r="G1837" i="3"/>
  <c r="G1836" i="3"/>
  <c r="G1835" i="3"/>
  <c r="G1834" i="3"/>
  <c r="G1833" i="3"/>
  <c r="G1832" i="3"/>
  <c r="G1830" i="3"/>
  <c r="G1829" i="3"/>
  <c r="G1828" i="3"/>
  <c r="M1827" i="3"/>
  <c r="M1915" i="3" s="1"/>
  <c r="G1827" i="3"/>
  <c r="G1826" i="3"/>
  <c r="G1825" i="3"/>
  <c r="G1824" i="3"/>
  <c r="G1822" i="3"/>
  <c r="G1915" i="3" s="1"/>
  <c r="G1821" i="3"/>
  <c r="O1811" i="3"/>
  <c r="K1811" i="3"/>
  <c r="G1810" i="3"/>
  <c r="G1808" i="3"/>
  <c r="L1807" i="3"/>
  <c r="M1807" i="3" s="1"/>
  <c r="F1805" i="3"/>
  <c r="G1805" i="3" s="1"/>
  <c r="F1804" i="3"/>
  <c r="G1804" i="3" s="1"/>
  <c r="G1803" i="3"/>
  <c r="G1802" i="3"/>
  <c r="G1801" i="3"/>
  <c r="G1800" i="3"/>
  <c r="G1799" i="3"/>
  <c r="G1798" i="3"/>
  <c r="F1798" i="3"/>
  <c r="G1797" i="3"/>
  <c r="G1796" i="3"/>
  <c r="G1795" i="3"/>
  <c r="G1794" i="3"/>
  <c r="G1793" i="3"/>
  <c r="G1792" i="3"/>
  <c r="G1791" i="3"/>
  <c r="F1790" i="3"/>
  <c r="G1790" i="3" s="1"/>
  <c r="F1789" i="3"/>
  <c r="G1789" i="3" s="1"/>
  <c r="G1788" i="3"/>
  <c r="G1787" i="3"/>
  <c r="F1787" i="3"/>
  <c r="G1786" i="3"/>
  <c r="F1786" i="3"/>
  <c r="G1785" i="3"/>
  <c r="G1784" i="3"/>
  <c r="G1783" i="3"/>
  <c r="F1782" i="3"/>
  <c r="G1782" i="3" s="1"/>
  <c r="L1781" i="3"/>
  <c r="M1781" i="3" s="1"/>
  <c r="G1781" i="3"/>
  <c r="G1780" i="3"/>
  <c r="G1778" i="3"/>
  <c r="G1777" i="3"/>
  <c r="F1776" i="3"/>
  <c r="G1776" i="3" s="1"/>
  <c r="G1775" i="3"/>
  <c r="G1774" i="3"/>
  <c r="F1773" i="3"/>
  <c r="G1773" i="3" s="1"/>
  <c r="G1772" i="3"/>
  <c r="G1771" i="3"/>
  <c r="L1770" i="3"/>
  <c r="M1770" i="3" s="1"/>
  <c r="G1770" i="3"/>
  <c r="G1769" i="3"/>
  <c r="G1768" i="3"/>
  <c r="G1767" i="3"/>
  <c r="G1766" i="3"/>
  <c r="G1765" i="3"/>
  <c r="G1764" i="3"/>
  <c r="M1763" i="3"/>
  <c r="G1763" i="3"/>
  <c r="G1762" i="3"/>
  <c r="F1762" i="3"/>
  <c r="G1761" i="3"/>
  <c r="G1760" i="3"/>
  <c r="G1759" i="3"/>
  <c r="F1758" i="3"/>
  <c r="G1758" i="3" s="1"/>
  <c r="G1757" i="3"/>
  <c r="G1756" i="3"/>
  <c r="G1755" i="3"/>
  <c r="G1754" i="3"/>
  <c r="G1753" i="3"/>
  <c r="G1752" i="3"/>
  <c r="G1751" i="3"/>
  <c r="G1750" i="3"/>
  <c r="G1749" i="3"/>
  <c r="G1748" i="3"/>
  <c r="F1748" i="3"/>
  <c r="G1747" i="3"/>
  <c r="F1747" i="3"/>
  <c r="G1746" i="3"/>
  <c r="F1746" i="3"/>
  <c r="G1745" i="3"/>
  <c r="F1745" i="3"/>
  <c r="G1744" i="3"/>
  <c r="G1743" i="3"/>
  <c r="G1742" i="3"/>
  <c r="F1742" i="3"/>
  <c r="G1741" i="3"/>
  <c r="G1740" i="3"/>
  <c r="G1739" i="3"/>
  <c r="G1738" i="3"/>
  <c r="G1737" i="3"/>
  <c r="G1736" i="3"/>
  <c r="G1735" i="3"/>
  <c r="G1734" i="3"/>
  <c r="G1733" i="3"/>
  <c r="F1732" i="3"/>
  <c r="G1732" i="3" s="1"/>
  <c r="F1731" i="3"/>
  <c r="G1731" i="3" s="1"/>
  <c r="G1730" i="3"/>
  <c r="G1729" i="3"/>
  <c r="G1728" i="3"/>
  <c r="G1727" i="3"/>
  <c r="G1726" i="3"/>
  <c r="G1725" i="3"/>
  <c r="G1724" i="3"/>
  <c r="G1723" i="3"/>
  <c r="F1722" i="3"/>
  <c r="G1722" i="3" s="1"/>
  <c r="F1721" i="3"/>
  <c r="G1721" i="3" s="1"/>
  <c r="F1720" i="3"/>
  <c r="G1720" i="3" s="1"/>
  <c r="F1719" i="3"/>
  <c r="G1719" i="3" s="1"/>
  <c r="F1718" i="3"/>
  <c r="G1718" i="3" s="1"/>
  <c r="G1717" i="3"/>
  <c r="G1716" i="3"/>
  <c r="G1715" i="3"/>
  <c r="G1714" i="3"/>
  <c r="G1713" i="3"/>
  <c r="G1712" i="3"/>
  <c r="G1711" i="3"/>
  <c r="G1710" i="3"/>
  <c r="F1710" i="3"/>
  <c r="G1709" i="3"/>
  <c r="F1709" i="3"/>
  <c r="G1708" i="3"/>
  <c r="F1708" i="3"/>
  <c r="G1707" i="3"/>
  <c r="G1706" i="3"/>
  <c r="G1705" i="3"/>
  <c r="F1705" i="3"/>
  <c r="G1704" i="3"/>
  <c r="G1703" i="3"/>
  <c r="G1702" i="3"/>
  <c r="G1701" i="3"/>
  <c r="G1700" i="3"/>
  <c r="F1700" i="3"/>
  <c r="G1699" i="3"/>
  <c r="F1699" i="3"/>
  <c r="G1698" i="3"/>
  <c r="F1698" i="3"/>
  <c r="G1696" i="3"/>
  <c r="F1695" i="3"/>
  <c r="G1695" i="3" s="1"/>
  <c r="F1694" i="3"/>
  <c r="G1694" i="3" s="1"/>
  <c r="G1693" i="3"/>
  <c r="G1692" i="3"/>
  <c r="G1691" i="3"/>
  <c r="G1690" i="3"/>
  <c r="F1690" i="3"/>
  <c r="G1689" i="3"/>
  <c r="G1688" i="3"/>
  <c r="G1687" i="3"/>
  <c r="F1687" i="3"/>
  <c r="G1686" i="3"/>
  <c r="F1684" i="3"/>
  <c r="G1684" i="3" s="1"/>
  <c r="G1683" i="3"/>
  <c r="G1682" i="3"/>
  <c r="F1681" i="3"/>
  <c r="G1681" i="3" s="1"/>
  <c r="F1680" i="3"/>
  <c r="G1680" i="3" s="1"/>
  <c r="F1679" i="3"/>
  <c r="G1679" i="3" s="1"/>
  <c r="F1677" i="3"/>
  <c r="G1677" i="3" s="1"/>
  <c r="L1676" i="3"/>
  <c r="M1676" i="3" s="1"/>
  <c r="G1676" i="3"/>
  <c r="G1675" i="3"/>
  <c r="F1675" i="3"/>
  <c r="G1674" i="3"/>
  <c r="F1673" i="3"/>
  <c r="G1673" i="3" s="1"/>
  <c r="G1672" i="3"/>
  <c r="G1671" i="3"/>
  <c r="F1670" i="3"/>
  <c r="G1670" i="3" s="1"/>
  <c r="F1669" i="3"/>
  <c r="G1669" i="3" s="1"/>
  <c r="F1668" i="3"/>
  <c r="G1668" i="3" s="1"/>
  <c r="F1667" i="3"/>
  <c r="G1667" i="3" s="1"/>
  <c r="F1666" i="3"/>
  <c r="G1666" i="3" s="1"/>
  <c r="F1665" i="3"/>
  <c r="G1665" i="3" s="1"/>
  <c r="G1664" i="3"/>
  <c r="G1663" i="3"/>
  <c r="G1662" i="3"/>
  <c r="G1661" i="3"/>
  <c r="G1660" i="3"/>
  <c r="M1659" i="3"/>
  <c r="L1659" i="3"/>
  <c r="G1659" i="3"/>
  <c r="L1658" i="3"/>
  <c r="M1658" i="3" s="1"/>
  <c r="I1657" i="3"/>
  <c r="I1811" i="3" s="1"/>
  <c r="G1655" i="3"/>
  <c r="F1655" i="3"/>
  <c r="G1654" i="3"/>
  <c r="F1654" i="3"/>
  <c r="G1653" i="3"/>
  <c r="F1652" i="3"/>
  <c r="G1652" i="3" s="1"/>
  <c r="G1651" i="3"/>
  <c r="G1650" i="3"/>
  <c r="G1649" i="3"/>
  <c r="G1648" i="3"/>
  <c r="G1647" i="3"/>
  <c r="G1646" i="3"/>
  <c r="F1646" i="3"/>
  <c r="G1645" i="3"/>
  <c r="G1644" i="3"/>
  <c r="G1643" i="3"/>
  <c r="F1643" i="3"/>
  <c r="G1642" i="3"/>
  <c r="F1642" i="3"/>
  <c r="G1641" i="3"/>
  <c r="F1641" i="3"/>
  <c r="G1640" i="3"/>
  <c r="F1640" i="3"/>
  <c r="G1639" i="3"/>
  <c r="F1639" i="3"/>
  <c r="G1638" i="3"/>
  <c r="F1637" i="3"/>
  <c r="G1637" i="3" s="1"/>
  <c r="G1636" i="3"/>
  <c r="G1635" i="3"/>
  <c r="G1634" i="3"/>
  <c r="G1633" i="3"/>
  <c r="F1633" i="3"/>
  <c r="G1632" i="3"/>
  <c r="F1632" i="3"/>
  <c r="G1631" i="3"/>
  <c r="G1630" i="3"/>
  <c r="G1629" i="3"/>
  <c r="F1628" i="3"/>
  <c r="G1628" i="3" s="1"/>
  <c r="G1627" i="3"/>
  <c r="G1626" i="3"/>
  <c r="F1626" i="3"/>
  <c r="G1625" i="3"/>
  <c r="F1625" i="3"/>
  <c r="G1624" i="3"/>
  <c r="F1623" i="3"/>
  <c r="G1623" i="3" s="1"/>
  <c r="G1622" i="3"/>
  <c r="G1621" i="3"/>
  <c r="G1620" i="3"/>
  <c r="G1619" i="3"/>
  <c r="F1618" i="3"/>
  <c r="G1618" i="3" s="1"/>
  <c r="F1617" i="3"/>
  <c r="G1617" i="3" s="1"/>
  <c r="F1616" i="3"/>
  <c r="G1616" i="3" s="1"/>
  <c r="G1615" i="3"/>
  <c r="G1614" i="3"/>
  <c r="F1613" i="3"/>
  <c r="G1613" i="3" s="1"/>
  <c r="G1612" i="3"/>
  <c r="G1611" i="3"/>
  <c r="M1610" i="3"/>
  <c r="M1609" i="3"/>
  <c r="F1608" i="3"/>
  <c r="G1608" i="3" s="1"/>
  <c r="G1607" i="3"/>
  <c r="G1606" i="3"/>
  <c r="F1606" i="3"/>
  <c r="G1605" i="3"/>
  <c r="M1603" i="3"/>
  <c r="M1602" i="3"/>
  <c r="L1602" i="3"/>
  <c r="M1601" i="3"/>
  <c r="L1600" i="3"/>
  <c r="M1600" i="3" s="1"/>
  <c r="G1599" i="3"/>
  <c r="G1598" i="3"/>
  <c r="F1598" i="3"/>
  <c r="G1597" i="3"/>
  <c r="F1596" i="3"/>
  <c r="G1596" i="3" s="1"/>
  <c r="G1595" i="3"/>
  <c r="G1594" i="3"/>
  <c r="F1594" i="3"/>
  <c r="G1593" i="3"/>
  <c r="G1592" i="3"/>
  <c r="G1591" i="3"/>
  <c r="F1591" i="3"/>
  <c r="G1590" i="3"/>
  <c r="F1590" i="3"/>
  <c r="G1589" i="3"/>
  <c r="F1588" i="3"/>
  <c r="G1588" i="3" s="1"/>
  <c r="G1587" i="3"/>
  <c r="G1586" i="3"/>
  <c r="F1585" i="3"/>
  <c r="G1585" i="3" s="1"/>
  <c r="F1584" i="3"/>
  <c r="G1584" i="3" s="1"/>
  <c r="G1583" i="3"/>
  <c r="G1582" i="3"/>
  <c r="F1581" i="3"/>
  <c r="G1581" i="3" s="1"/>
  <c r="M1580" i="3"/>
  <c r="G1579" i="3"/>
  <c r="F1579" i="3"/>
  <c r="G1578" i="3"/>
  <c r="G1577" i="3"/>
  <c r="G1575" i="3"/>
  <c r="F1575" i="3"/>
  <c r="G1574" i="3"/>
  <c r="F1574" i="3"/>
  <c r="G1573" i="3"/>
  <c r="F1573" i="3"/>
  <c r="M1571" i="3"/>
  <c r="G1570" i="3"/>
  <c r="G1569" i="3"/>
  <c r="F1569" i="3"/>
  <c r="G1568" i="3"/>
  <c r="F1568" i="3"/>
  <c r="G1567" i="3"/>
  <c r="F1567" i="3"/>
  <c r="G1566" i="3"/>
  <c r="F1566" i="3"/>
  <c r="G1565" i="3"/>
  <c r="F1565" i="3"/>
  <c r="G1564" i="3"/>
  <c r="F1564" i="3"/>
  <c r="M1563" i="3"/>
  <c r="M1562" i="3"/>
  <c r="M1561" i="3"/>
  <c r="L1561" i="3"/>
  <c r="M1560" i="3"/>
  <c r="L1560" i="3"/>
  <c r="M1559" i="3"/>
  <c r="L1559" i="3"/>
  <c r="M1558" i="3"/>
  <c r="G1557" i="3"/>
  <c r="G1556" i="3"/>
  <c r="F1556" i="3"/>
  <c r="G1555" i="3"/>
  <c r="F1554" i="3"/>
  <c r="G1554" i="3" s="1"/>
  <c r="L1553" i="3"/>
  <c r="M1553" i="3" s="1"/>
  <c r="G1552" i="3"/>
  <c r="G1550" i="3"/>
  <c r="G1549" i="3"/>
  <c r="G1548" i="3"/>
  <c r="F1547" i="3"/>
  <c r="G1547" i="3" s="1"/>
  <c r="F1546" i="3"/>
  <c r="G1546" i="3" s="1"/>
  <c r="G1545" i="3"/>
  <c r="G1544" i="3"/>
  <c r="F1544" i="3"/>
  <c r="M1542" i="3"/>
  <c r="L1542" i="3"/>
  <c r="M1541" i="3"/>
  <c r="F1540" i="3"/>
  <c r="G1540" i="3" s="1"/>
  <c r="G1538" i="3"/>
  <c r="G1537" i="3"/>
  <c r="F1537" i="3"/>
  <c r="G1536" i="3"/>
  <c r="F1536" i="3"/>
  <c r="M1535" i="3"/>
  <c r="M1534" i="3"/>
  <c r="M1533" i="3"/>
  <c r="M1532" i="3"/>
  <c r="M1531" i="3"/>
  <c r="L1531" i="3"/>
  <c r="M1530" i="3"/>
  <c r="L1530" i="3"/>
  <c r="G1529" i="3"/>
  <c r="F1529" i="3"/>
  <c r="G1811" i="3" l="1"/>
  <c r="M1811" i="3"/>
  <c r="G1516" i="3"/>
  <c r="G1515" i="3"/>
  <c r="G1514" i="3"/>
  <c r="G1513" i="3"/>
  <c r="G1512" i="3"/>
  <c r="G1511" i="3"/>
  <c r="G1510" i="3"/>
  <c r="G1509" i="3"/>
  <c r="G1508" i="3"/>
  <c r="G1507" i="3"/>
  <c r="G1506" i="3"/>
  <c r="G1505" i="3"/>
  <c r="G1504" i="3"/>
  <c r="G1503" i="3"/>
  <c r="G1502" i="3"/>
  <c r="G1501" i="3"/>
  <c r="G1517" i="3" s="1"/>
  <c r="G1500" i="3"/>
  <c r="G1499" i="3"/>
  <c r="G1498" i="3"/>
  <c r="G1415" i="3"/>
  <c r="O1413" i="3"/>
  <c r="O1412" i="3"/>
  <c r="O1411" i="3"/>
  <c r="O1410" i="3"/>
  <c r="O1409" i="3"/>
  <c r="O1408" i="3"/>
  <c r="O1407" i="3"/>
  <c r="O1406" i="3"/>
  <c r="O1405" i="3"/>
  <c r="O1404" i="3"/>
  <c r="O1403" i="3"/>
  <c r="O1402" i="3"/>
  <c r="G1401" i="3"/>
  <c r="G1400" i="3"/>
  <c r="G1399" i="3"/>
  <c r="O1398" i="3"/>
  <c r="O1397" i="3"/>
  <c r="O1396" i="3"/>
  <c r="O1395" i="3"/>
  <c r="O1394" i="3"/>
  <c r="O1393" i="3"/>
  <c r="O1392" i="3"/>
  <c r="O1391" i="3"/>
  <c r="O1390" i="3"/>
  <c r="O1389" i="3"/>
  <c r="O1388" i="3"/>
  <c r="O1387" i="3"/>
  <c r="O1386" i="3"/>
  <c r="G1385" i="3"/>
  <c r="G1384" i="3"/>
  <c r="I1383" i="3"/>
  <c r="I1415" i="3" s="1"/>
  <c r="G1383" i="3"/>
  <c r="O1382" i="3"/>
  <c r="O1381" i="3"/>
  <c r="O1380" i="3"/>
  <c r="O1379" i="3"/>
  <c r="O1378" i="3"/>
  <c r="O1377" i="3"/>
  <c r="O1376" i="3"/>
  <c r="O1375" i="3"/>
  <c r="O1374" i="3"/>
  <c r="O1373" i="3"/>
  <c r="O1372" i="3"/>
  <c r="O1371" i="3"/>
  <c r="O1415" i="3" s="1"/>
  <c r="O1370" i="3"/>
  <c r="G1366" i="3"/>
  <c r="G1365" i="3"/>
  <c r="G1364" i="3"/>
  <c r="G1363" i="3"/>
  <c r="G1362" i="3"/>
  <c r="G1361" i="3"/>
  <c r="G1360" i="3"/>
  <c r="G1359" i="3"/>
  <c r="G1358" i="3"/>
  <c r="G1357" i="3"/>
  <c r="G1356" i="3"/>
  <c r="G1355" i="3"/>
  <c r="G1354" i="3"/>
  <c r="G1353" i="3"/>
  <c r="G1352" i="3"/>
  <c r="G1351" i="3"/>
  <c r="G1350" i="3"/>
  <c r="G1349" i="3"/>
  <c r="G1348" i="3"/>
  <c r="G1347" i="3"/>
  <c r="G1346" i="3"/>
  <c r="G1345" i="3"/>
  <c r="G1344" i="3"/>
  <c r="G1343" i="3"/>
  <c r="G1342" i="3"/>
  <c r="G1341" i="3"/>
  <c r="G1340" i="3"/>
  <c r="G1339" i="3"/>
  <c r="G1338" i="3"/>
  <c r="G1337" i="3"/>
  <c r="G1336" i="3"/>
  <c r="G1335" i="3"/>
  <c r="G1334" i="3"/>
  <c r="G1333" i="3"/>
  <c r="G1332" i="3"/>
  <c r="G1331" i="3"/>
  <c r="G1330" i="3"/>
  <c r="G1329" i="3"/>
  <c r="G1328" i="3"/>
  <c r="G1327" i="3"/>
  <c r="G1326" i="3"/>
  <c r="G1325" i="3"/>
  <c r="G1324" i="3"/>
  <c r="G1323" i="3"/>
  <c r="G1322" i="3"/>
  <c r="G1321" i="3"/>
  <c r="G1320" i="3"/>
  <c r="G1319" i="3"/>
  <c r="G1318" i="3"/>
  <c r="G1317" i="3"/>
  <c r="G1316" i="3"/>
  <c r="G1315" i="3"/>
  <c r="G1314" i="3"/>
  <c r="G1313" i="3"/>
  <c r="G1312" i="3"/>
  <c r="G1311" i="3"/>
  <c r="G1310" i="3"/>
  <c r="G1309" i="3"/>
  <c r="G1308" i="3"/>
  <c r="G1307" i="3"/>
  <c r="G1306" i="3"/>
  <c r="G1305" i="3"/>
  <c r="G1304" i="3"/>
  <c r="G1303" i="3"/>
  <c r="G1302" i="3"/>
  <c r="G1301" i="3"/>
  <c r="G1300" i="3"/>
  <c r="G1299" i="3"/>
  <c r="G1298" i="3"/>
  <c r="G1297" i="3"/>
  <c r="G1296" i="3"/>
  <c r="G1295" i="3"/>
  <c r="G1294" i="3"/>
  <c r="G1293" i="3"/>
  <c r="G1292" i="3"/>
  <c r="G1291" i="3"/>
  <c r="G1290" i="3"/>
  <c r="G1289" i="3"/>
  <c r="G1288" i="3"/>
  <c r="G1287" i="3"/>
  <c r="G1286" i="3"/>
  <c r="G1285" i="3"/>
  <c r="G1284" i="3"/>
  <c r="G1283" i="3"/>
  <c r="G1282" i="3"/>
  <c r="G1281" i="3"/>
  <c r="G1280" i="3"/>
  <c r="G1279" i="3"/>
  <c r="G1278" i="3"/>
  <c r="G1277" i="3"/>
  <c r="G1276" i="3"/>
  <c r="G1275" i="3"/>
  <c r="G1274" i="3"/>
  <c r="G1273" i="3"/>
  <c r="G1272" i="3"/>
  <c r="G1271" i="3"/>
  <c r="G1270" i="3"/>
  <c r="G1269" i="3"/>
  <c r="G1268" i="3"/>
  <c r="G1267" i="3"/>
  <c r="G1266" i="3"/>
  <c r="G1265" i="3"/>
  <c r="G1264" i="3"/>
  <c r="G1263" i="3"/>
  <c r="G1262" i="3"/>
  <c r="G1261" i="3"/>
  <c r="G1260" i="3"/>
  <c r="G1259" i="3"/>
  <c r="G1258" i="3"/>
  <c r="G1257" i="3"/>
  <c r="G1256" i="3"/>
  <c r="G1255" i="3"/>
  <c r="G1254" i="3"/>
  <c r="G1253" i="3"/>
  <c r="G1252" i="3"/>
  <c r="G1251" i="3"/>
  <c r="G1250" i="3"/>
  <c r="G1249" i="3"/>
  <c r="G1248" i="3"/>
  <c r="G1247" i="3"/>
  <c r="G1246" i="3"/>
  <c r="G1245" i="3"/>
  <c r="G1244" i="3"/>
  <c r="G1243" i="3"/>
  <c r="G1242" i="3"/>
  <c r="G1241" i="3"/>
  <c r="G1240" i="3"/>
  <c r="G1239" i="3"/>
  <c r="G1238" i="3"/>
  <c r="G1237" i="3"/>
  <c r="G1236" i="3"/>
  <c r="G1235" i="3"/>
  <c r="G1234" i="3"/>
  <c r="G1233" i="3"/>
  <c r="G1232" i="3"/>
  <c r="G1231" i="3"/>
  <c r="G1230" i="3"/>
  <c r="G1229" i="3"/>
  <c r="G1228" i="3"/>
  <c r="G1227" i="3"/>
  <c r="G1226" i="3"/>
  <c r="G1225" i="3"/>
  <c r="G1224" i="3"/>
  <c r="G1223" i="3"/>
  <c r="G1222" i="3"/>
  <c r="G1221" i="3"/>
  <c r="G1220" i="3"/>
  <c r="G1219" i="3"/>
  <c r="G1218" i="3"/>
  <c r="G1217" i="3"/>
  <c r="G1216" i="3"/>
  <c r="G1215" i="3"/>
  <c r="G1214" i="3"/>
  <c r="G1213" i="3"/>
  <c r="G1212" i="3"/>
  <c r="G1211" i="3"/>
  <c r="G1210" i="3"/>
  <c r="G1209" i="3"/>
  <c r="G1208" i="3"/>
  <c r="G1207" i="3"/>
  <c r="G1206" i="3"/>
  <c r="G1205" i="3"/>
  <c r="G1204" i="3"/>
  <c r="G1203" i="3"/>
  <c r="G1202" i="3"/>
  <c r="G1201" i="3"/>
  <c r="G1200" i="3"/>
  <c r="G1199" i="3"/>
  <c r="G1198" i="3"/>
  <c r="G1197" i="3"/>
  <c r="G1196" i="3"/>
  <c r="G1195" i="3"/>
  <c r="G1194" i="3"/>
  <c r="G1193" i="3"/>
  <c r="G1192" i="3"/>
  <c r="G1191" i="3"/>
  <c r="G1190" i="3"/>
  <c r="G1189" i="3"/>
  <c r="G1188" i="3"/>
  <c r="G1187" i="3"/>
  <c r="G1186" i="3"/>
  <c r="G1185" i="3"/>
  <c r="G1184" i="3"/>
  <c r="G1183" i="3"/>
  <c r="G1182" i="3"/>
  <c r="G1181" i="3"/>
  <c r="G1180" i="3"/>
  <c r="G1179" i="3"/>
  <c r="G1178" i="3"/>
  <c r="G1177" i="3"/>
  <c r="G1176" i="3"/>
  <c r="G1175" i="3"/>
  <c r="G1174" i="3"/>
  <c r="G1173" i="3"/>
  <c r="G1172" i="3"/>
  <c r="G1171" i="3"/>
  <c r="G1170" i="3"/>
  <c r="G1169" i="3"/>
  <c r="G1168" i="3"/>
  <c r="G1167" i="3"/>
  <c r="G1166" i="3"/>
  <c r="G1165" i="3"/>
  <c r="G1164" i="3"/>
  <c r="G1163" i="3"/>
  <c r="G1162" i="3"/>
  <c r="G1161" i="3"/>
  <c r="G1160" i="3"/>
  <c r="G1159" i="3"/>
  <c r="G1158" i="3"/>
  <c r="G1157" i="3"/>
  <c r="G1156" i="3"/>
  <c r="G1155" i="3"/>
  <c r="G1154" i="3"/>
  <c r="G1153" i="3"/>
  <c r="G1152" i="3"/>
  <c r="G1151" i="3"/>
  <c r="G1150" i="3"/>
  <c r="G1149" i="3"/>
  <c r="G1148" i="3"/>
  <c r="G1147" i="3"/>
  <c r="G1146" i="3"/>
  <c r="G1145" i="3"/>
  <c r="G1144" i="3"/>
  <c r="G1143" i="3"/>
  <c r="G1142" i="3"/>
  <c r="G1141" i="3"/>
  <c r="G1140" i="3"/>
  <c r="G1139" i="3"/>
  <c r="G1138" i="3"/>
  <c r="G1137" i="3"/>
  <c r="G1136" i="3"/>
  <c r="G1135" i="3"/>
  <c r="G1134" i="3"/>
  <c r="G1133" i="3"/>
  <c r="G1132" i="3"/>
  <c r="G1131" i="3"/>
  <c r="G1130" i="3"/>
  <c r="G1129" i="3"/>
  <c r="G1128" i="3"/>
  <c r="G1127" i="3"/>
  <c r="G1126" i="3"/>
  <c r="G1125" i="3"/>
  <c r="G1124" i="3"/>
  <c r="G1123" i="3"/>
  <c r="G1122" i="3"/>
  <c r="G1121" i="3"/>
  <c r="G1120" i="3"/>
  <c r="G1119" i="3"/>
  <c r="G1118" i="3"/>
  <c r="G1117" i="3"/>
  <c r="G1116" i="3"/>
  <c r="G1115" i="3"/>
  <c r="G1114" i="3"/>
  <c r="G1113" i="3"/>
  <c r="G1112" i="3"/>
  <c r="G1111" i="3"/>
  <c r="G1110" i="3"/>
  <c r="G1109" i="3"/>
  <c r="G1108" i="3"/>
  <c r="G1107" i="3"/>
  <c r="G1106" i="3"/>
  <c r="G1105" i="3"/>
  <c r="G1104" i="3"/>
  <c r="G1103" i="3"/>
  <c r="G1102" i="3"/>
  <c r="G1101" i="3"/>
  <c r="G1100" i="3"/>
  <c r="G1099" i="3"/>
  <c r="G1098" i="3"/>
  <c r="G1097" i="3"/>
  <c r="G1096" i="3"/>
  <c r="G1095" i="3"/>
  <c r="G1094" i="3"/>
  <c r="G1093" i="3"/>
  <c r="G1092" i="3"/>
  <c r="G1091" i="3"/>
  <c r="G1090" i="3"/>
  <c r="G1089" i="3"/>
  <c r="G1088" i="3"/>
  <c r="G1087" i="3"/>
  <c r="G1086" i="3"/>
  <c r="G1085" i="3"/>
  <c r="G1084" i="3"/>
  <c r="G1083" i="3"/>
  <c r="G1082" i="3"/>
  <c r="G1081" i="3"/>
  <c r="G1080" i="3"/>
  <c r="G1079" i="3"/>
  <c r="G1078" i="3"/>
  <c r="G1077" i="3"/>
  <c r="G1076" i="3"/>
  <c r="G1075" i="3"/>
  <c r="G1074" i="3"/>
  <c r="G1073" i="3"/>
  <c r="G1072" i="3"/>
  <c r="G1071" i="3"/>
  <c r="G1070" i="3"/>
  <c r="G1069" i="3"/>
  <c r="G1068" i="3"/>
  <c r="G1067" i="3"/>
  <c r="G1066" i="3"/>
  <c r="G1065" i="3"/>
  <c r="G1064" i="3"/>
  <c r="G1063" i="3"/>
  <c r="G1062" i="3"/>
  <c r="G1061" i="3"/>
  <c r="G1060" i="3"/>
  <c r="G1059" i="3"/>
  <c r="G1058" i="3"/>
  <c r="G1057" i="3"/>
  <c r="G1056" i="3"/>
  <c r="G1055" i="3"/>
  <c r="G1054" i="3"/>
  <c r="G1053" i="3"/>
  <c r="G1052" i="3"/>
  <c r="G1051" i="3"/>
  <c r="G1050" i="3"/>
  <c r="G1049" i="3"/>
  <c r="G1048" i="3"/>
  <c r="G1047" i="3"/>
  <c r="G1046" i="3"/>
  <c r="G1045" i="3"/>
  <c r="G1044" i="3"/>
  <c r="G1043" i="3"/>
  <c r="G1042" i="3"/>
  <c r="G1041" i="3"/>
  <c r="G1040" i="3"/>
  <c r="G1039" i="3"/>
  <c r="G1038" i="3"/>
  <c r="G1037" i="3"/>
  <c r="G1036" i="3"/>
  <c r="G1035" i="3"/>
  <c r="G1034" i="3"/>
  <c r="G1033" i="3"/>
  <c r="G1032" i="3"/>
  <c r="G1031" i="3"/>
  <c r="G1030" i="3"/>
  <c r="G1029" i="3"/>
  <c r="G1028" i="3"/>
  <c r="G1027" i="3"/>
  <c r="G1026" i="3"/>
  <c r="G1025" i="3"/>
  <c r="G1024" i="3"/>
  <c r="G1023" i="3"/>
  <c r="G1022" i="3"/>
  <c r="G1021" i="3"/>
  <c r="G1020" i="3"/>
  <c r="G1019" i="3"/>
  <c r="G1018" i="3"/>
  <c r="G1017" i="3"/>
  <c r="G1016" i="3"/>
  <c r="G1015" i="3"/>
  <c r="G1014" i="3"/>
  <c r="G1013" i="3"/>
  <c r="G1012" i="3"/>
  <c r="G1011" i="3"/>
  <c r="G1010" i="3"/>
  <c r="G1009" i="3"/>
  <c r="G1008" i="3"/>
  <c r="G1007" i="3"/>
  <c r="G1006" i="3"/>
  <c r="G1005" i="3"/>
  <c r="G1004" i="3"/>
  <c r="G1003" i="3"/>
  <c r="G1002" i="3"/>
  <c r="G1001" i="3"/>
  <c r="G1000" i="3"/>
  <c r="G999" i="3"/>
  <c r="G998" i="3"/>
  <c r="G997" i="3"/>
  <c r="G996" i="3"/>
  <c r="G995" i="3"/>
  <c r="G994" i="3"/>
  <c r="G993" i="3"/>
  <c r="G992" i="3"/>
  <c r="G991" i="3"/>
  <c r="G990" i="3"/>
  <c r="G989" i="3"/>
  <c r="G988" i="3"/>
  <c r="G987" i="3"/>
  <c r="G986" i="3"/>
  <c r="G985" i="3"/>
  <c r="G984" i="3"/>
  <c r="G983" i="3"/>
  <c r="G982" i="3"/>
  <c r="G981" i="3"/>
  <c r="G980" i="3"/>
  <c r="G979" i="3"/>
  <c r="G978" i="3"/>
  <c r="G977" i="3"/>
  <c r="G976" i="3"/>
  <c r="G975" i="3"/>
  <c r="G974" i="3"/>
  <c r="G973" i="3"/>
  <c r="G972" i="3"/>
  <c r="G971" i="3"/>
  <c r="G970" i="3"/>
  <c r="G969" i="3"/>
  <c r="G968" i="3"/>
  <c r="G967" i="3"/>
  <c r="G966" i="3"/>
  <c r="G965" i="3"/>
  <c r="G964" i="3"/>
  <c r="G963" i="3"/>
  <c r="G1369" i="3" s="1"/>
  <c r="G1416" i="3" s="1"/>
  <c r="G1417" i="3" s="1"/>
  <c r="O950" i="3" l="1"/>
  <c r="O949" i="3"/>
  <c r="O948" i="3"/>
  <c r="O947" i="3"/>
  <c r="O946" i="3"/>
  <c r="O952" i="3" s="1"/>
  <c r="O945" i="3"/>
  <c r="G944" i="3"/>
  <c r="G943" i="3"/>
  <c r="G942" i="3"/>
  <c r="G941" i="3"/>
  <c r="G940" i="3"/>
  <c r="G939" i="3"/>
  <c r="G938" i="3"/>
  <c r="G937" i="3"/>
  <c r="G936" i="3"/>
  <c r="G935" i="3"/>
  <c r="G934" i="3"/>
  <c r="G933" i="3"/>
  <c r="G932" i="3"/>
  <c r="G931" i="3"/>
  <c r="G930" i="3"/>
  <c r="G929" i="3"/>
  <c r="G928" i="3"/>
  <c r="G927" i="3"/>
  <c r="G926" i="3"/>
  <c r="G925" i="3"/>
  <c r="G924" i="3"/>
  <c r="G923" i="3"/>
  <c r="G922" i="3"/>
  <c r="G921" i="3"/>
  <c r="G920" i="3"/>
  <c r="G919" i="3"/>
  <c r="G918" i="3"/>
  <c r="G917" i="3"/>
  <c r="G916" i="3"/>
  <c r="G915" i="3"/>
  <c r="G914" i="3"/>
  <c r="G913" i="3"/>
  <c r="G912" i="3"/>
  <c r="G911" i="3"/>
  <c r="G910" i="3"/>
  <c r="G909" i="3"/>
  <c r="G908" i="3"/>
  <c r="G907" i="3"/>
  <c r="G906" i="3"/>
  <c r="G905" i="3"/>
  <c r="G904" i="3"/>
  <c r="G903" i="3"/>
  <c r="G902" i="3"/>
  <c r="G901" i="3"/>
  <c r="G900" i="3"/>
  <c r="G899" i="3"/>
  <c r="G898" i="3"/>
  <c r="G897" i="3"/>
  <c r="G896" i="3"/>
  <c r="G895" i="3"/>
  <c r="G894" i="3"/>
  <c r="G893" i="3"/>
  <c r="G892" i="3"/>
  <c r="G891" i="3"/>
  <c r="G890" i="3"/>
  <c r="G889" i="3"/>
  <c r="G888" i="3"/>
  <c r="G887" i="3"/>
  <c r="G886" i="3"/>
  <c r="G885" i="3"/>
  <c r="G884" i="3"/>
  <c r="G883" i="3"/>
  <c r="G882" i="3"/>
  <c r="G881" i="3"/>
  <c r="G880" i="3"/>
  <c r="G879" i="3"/>
  <c r="G878" i="3"/>
  <c r="G877" i="3"/>
  <c r="G876" i="3"/>
  <c r="G875" i="3"/>
  <c r="G874" i="3"/>
  <c r="G873" i="3"/>
  <c r="G872" i="3"/>
  <c r="G871" i="3"/>
  <c r="G870" i="3"/>
  <c r="G869" i="3"/>
  <c r="G868" i="3"/>
  <c r="G867" i="3"/>
  <c r="G866" i="3"/>
  <c r="G865" i="3"/>
  <c r="G864" i="3"/>
  <c r="G863" i="3"/>
  <c r="G862" i="3"/>
  <c r="G861" i="3"/>
  <c r="G860" i="3"/>
  <c r="G859" i="3"/>
  <c r="G858" i="3"/>
  <c r="G857" i="3"/>
  <c r="G856" i="3"/>
  <c r="G855" i="3"/>
  <c r="G854" i="3"/>
  <c r="G853" i="3"/>
  <c r="G852" i="3"/>
  <c r="G851" i="3"/>
  <c r="G850" i="3"/>
  <c r="G849" i="3"/>
  <c r="G848" i="3"/>
  <c r="G847" i="3"/>
  <c r="G846" i="3"/>
  <c r="G845" i="3"/>
  <c r="G844" i="3"/>
  <c r="G843" i="3"/>
  <c r="G842" i="3"/>
  <c r="G841" i="3"/>
  <c r="G840" i="3"/>
  <c r="G839" i="3"/>
  <c r="G838" i="3"/>
  <c r="G837" i="3"/>
  <c r="G836" i="3"/>
  <c r="G835" i="3"/>
  <c r="G834" i="3"/>
  <c r="G833" i="3"/>
  <c r="G832" i="3"/>
  <c r="G831" i="3"/>
  <c r="G830" i="3"/>
  <c r="G829" i="3"/>
  <c r="G828" i="3"/>
  <c r="G827" i="3"/>
  <c r="G826" i="3"/>
  <c r="G825" i="3"/>
  <c r="G824" i="3"/>
  <c r="G823" i="3"/>
  <c r="G822" i="3"/>
  <c r="G821" i="3"/>
  <c r="G820" i="3"/>
  <c r="G819" i="3"/>
  <c r="G818" i="3"/>
  <c r="G817" i="3"/>
  <c r="G816" i="3"/>
  <c r="G815" i="3"/>
  <c r="G814" i="3"/>
  <c r="G813" i="3"/>
  <c r="G812" i="3"/>
  <c r="G811" i="3"/>
  <c r="G810" i="3"/>
  <c r="G809" i="3"/>
  <c r="G808" i="3"/>
  <c r="G807" i="3"/>
  <c r="G806" i="3"/>
  <c r="G952" i="3" s="1"/>
  <c r="K793" i="3" l="1"/>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94" i="3" s="1"/>
  <c r="K713" i="3"/>
  <c r="I703" i="3"/>
  <c r="I702" i="3"/>
  <c r="I704" i="3" s="1"/>
  <c r="H693" i="3"/>
  <c r="D693" i="3"/>
  <c r="F692" i="3"/>
  <c r="N692" i="3" s="1"/>
  <c r="D692" i="3"/>
  <c r="P691" i="3"/>
  <c r="L691" i="3"/>
  <c r="J691" i="3"/>
  <c r="H691" i="3"/>
  <c r="F691" i="3"/>
  <c r="N691" i="3" s="1"/>
  <c r="D691" i="3"/>
  <c r="J690" i="3"/>
  <c r="F690" i="3"/>
  <c r="P690" i="3" s="1"/>
  <c r="D690" i="3"/>
  <c r="P689" i="3"/>
  <c r="L689" i="3"/>
  <c r="H689" i="3"/>
  <c r="F689" i="3"/>
  <c r="N689" i="3" s="1"/>
  <c r="D689" i="3"/>
  <c r="P688" i="3"/>
  <c r="N688" i="3"/>
  <c r="L688" i="3"/>
  <c r="J688" i="3"/>
  <c r="H688" i="3"/>
  <c r="D688" i="3"/>
  <c r="P687" i="3"/>
  <c r="N687" i="3"/>
  <c r="L687" i="3"/>
  <c r="J687" i="3"/>
  <c r="H687" i="3"/>
  <c r="D687" i="3"/>
  <c r="P686" i="3"/>
  <c r="N686" i="3"/>
  <c r="L686" i="3"/>
  <c r="J686" i="3"/>
  <c r="H686" i="3"/>
  <c r="D686" i="3"/>
  <c r="P685" i="3"/>
  <c r="N685" i="3"/>
  <c r="L685" i="3"/>
  <c r="J685" i="3"/>
  <c r="H685" i="3"/>
  <c r="D685" i="3"/>
  <c r="P684" i="3"/>
  <c r="N684" i="3"/>
  <c r="L684" i="3"/>
  <c r="J684" i="3"/>
  <c r="H684" i="3"/>
  <c r="D684" i="3"/>
  <c r="P683" i="3"/>
  <c r="N683" i="3"/>
  <c r="L683" i="3"/>
  <c r="J683" i="3"/>
  <c r="H683" i="3"/>
  <c r="D683" i="3"/>
  <c r="P682" i="3"/>
  <c r="N682" i="3"/>
  <c r="L682" i="3"/>
  <c r="J682" i="3"/>
  <c r="H682" i="3"/>
  <c r="D682" i="3"/>
  <c r="P681" i="3"/>
  <c r="N681" i="3"/>
  <c r="L681" i="3"/>
  <c r="J681" i="3"/>
  <c r="H681" i="3"/>
  <c r="D681" i="3"/>
  <c r="P680" i="3"/>
  <c r="N680" i="3"/>
  <c r="L680" i="3"/>
  <c r="J680" i="3"/>
  <c r="H680" i="3"/>
  <c r="D680" i="3"/>
  <c r="P679" i="3"/>
  <c r="N679" i="3"/>
  <c r="L679" i="3"/>
  <c r="J679" i="3"/>
  <c r="H679" i="3"/>
  <c r="D679" i="3"/>
  <c r="P678" i="3"/>
  <c r="N678" i="3"/>
  <c r="L678" i="3"/>
  <c r="J678" i="3"/>
  <c r="H678" i="3"/>
  <c r="D678" i="3"/>
  <c r="P677" i="3"/>
  <c r="N677" i="3"/>
  <c r="L677" i="3"/>
  <c r="J677" i="3"/>
  <c r="H677" i="3"/>
  <c r="D677" i="3"/>
  <c r="P676" i="3"/>
  <c r="N676" i="3"/>
  <c r="L676" i="3"/>
  <c r="J676" i="3"/>
  <c r="H676" i="3"/>
  <c r="D676" i="3"/>
  <c r="P675" i="3"/>
  <c r="N675" i="3"/>
  <c r="L675" i="3"/>
  <c r="J675" i="3"/>
  <c r="H675" i="3"/>
  <c r="D675" i="3"/>
  <c r="P674" i="3"/>
  <c r="N674" i="3"/>
  <c r="L674" i="3"/>
  <c r="J674" i="3"/>
  <c r="H674" i="3"/>
  <c r="D674" i="3"/>
  <c r="P673" i="3"/>
  <c r="N673" i="3"/>
  <c r="L673" i="3"/>
  <c r="J673" i="3"/>
  <c r="H673" i="3"/>
  <c r="D673" i="3"/>
  <c r="P672" i="3"/>
  <c r="N672" i="3"/>
  <c r="L672" i="3"/>
  <c r="J672" i="3"/>
  <c r="H672" i="3"/>
  <c r="D672" i="3"/>
  <c r="P671" i="3"/>
  <c r="N671" i="3"/>
  <c r="L671" i="3"/>
  <c r="J671" i="3"/>
  <c r="H671" i="3"/>
  <c r="D671" i="3"/>
  <c r="P670" i="3"/>
  <c r="N670" i="3"/>
  <c r="L670" i="3"/>
  <c r="J670" i="3"/>
  <c r="H670" i="3"/>
  <c r="D670" i="3"/>
  <c r="P669" i="3"/>
  <c r="N669" i="3"/>
  <c r="L669" i="3"/>
  <c r="J669" i="3"/>
  <c r="H669" i="3"/>
  <c r="D669" i="3"/>
  <c r="P668" i="3"/>
  <c r="N668" i="3"/>
  <c r="L668" i="3"/>
  <c r="J668" i="3"/>
  <c r="H668" i="3"/>
  <c r="D668" i="3"/>
  <c r="P667" i="3"/>
  <c r="N667" i="3"/>
  <c r="L667" i="3"/>
  <c r="J667" i="3"/>
  <c r="H667" i="3"/>
  <c r="D667" i="3"/>
  <c r="P666" i="3"/>
  <c r="N666" i="3"/>
  <c r="L666" i="3"/>
  <c r="J666" i="3"/>
  <c r="H666" i="3"/>
  <c r="D666" i="3"/>
  <c r="P665" i="3"/>
  <c r="N665" i="3"/>
  <c r="L665" i="3"/>
  <c r="J665" i="3"/>
  <c r="H665" i="3"/>
  <c r="D665" i="3"/>
  <c r="P664" i="3"/>
  <c r="N664" i="3"/>
  <c r="L664" i="3"/>
  <c r="J664" i="3"/>
  <c r="H664" i="3"/>
  <c r="D664" i="3"/>
  <c r="P663" i="3"/>
  <c r="N663" i="3"/>
  <c r="L663" i="3"/>
  <c r="J663" i="3"/>
  <c r="H663" i="3"/>
  <c r="D663" i="3"/>
  <c r="P662" i="3"/>
  <c r="N662" i="3"/>
  <c r="L662" i="3"/>
  <c r="J662" i="3"/>
  <c r="H662" i="3"/>
  <c r="D662" i="3"/>
  <c r="P661" i="3"/>
  <c r="N661" i="3"/>
  <c r="L661" i="3"/>
  <c r="J661" i="3"/>
  <c r="H661" i="3"/>
  <c r="D661" i="3"/>
  <c r="P660" i="3"/>
  <c r="N660" i="3"/>
  <c r="L660" i="3"/>
  <c r="J660" i="3"/>
  <c r="H660" i="3"/>
  <c r="D660" i="3"/>
  <c r="P659" i="3"/>
  <c r="N659" i="3"/>
  <c r="L659" i="3"/>
  <c r="J659" i="3"/>
  <c r="H659" i="3"/>
  <c r="D659" i="3"/>
  <c r="P658" i="3"/>
  <c r="N658" i="3"/>
  <c r="L658" i="3"/>
  <c r="J658" i="3"/>
  <c r="H658" i="3"/>
  <c r="D658" i="3"/>
  <c r="P657" i="3"/>
  <c r="N657" i="3"/>
  <c r="L657" i="3"/>
  <c r="J657" i="3"/>
  <c r="H657" i="3"/>
  <c r="D657" i="3"/>
  <c r="P656" i="3"/>
  <c r="N656" i="3"/>
  <c r="L656" i="3"/>
  <c r="J656" i="3"/>
  <c r="H656" i="3"/>
  <c r="D656" i="3"/>
  <c r="P655" i="3"/>
  <c r="N655" i="3"/>
  <c r="L655" i="3"/>
  <c r="J655" i="3"/>
  <c r="H655" i="3"/>
  <c r="D655" i="3"/>
  <c r="P654" i="3"/>
  <c r="N654" i="3"/>
  <c r="L654" i="3"/>
  <c r="J654" i="3"/>
  <c r="H654" i="3"/>
  <c r="D654" i="3"/>
  <c r="P653" i="3"/>
  <c r="N653" i="3"/>
  <c r="L653" i="3"/>
  <c r="J653" i="3"/>
  <c r="H653" i="3"/>
  <c r="D653" i="3"/>
  <c r="P652" i="3"/>
  <c r="N652" i="3"/>
  <c r="L652" i="3"/>
  <c r="J652" i="3"/>
  <c r="H652" i="3"/>
  <c r="D652" i="3"/>
  <c r="P651" i="3"/>
  <c r="N651" i="3"/>
  <c r="L651" i="3"/>
  <c r="J651" i="3"/>
  <c r="H651" i="3"/>
  <c r="D651" i="3"/>
  <c r="P650" i="3"/>
  <c r="N650" i="3"/>
  <c r="L650" i="3"/>
  <c r="J650" i="3"/>
  <c r="H650" i="3"/>
  <c r="D650" i="3"/>
  <c r="P649" i="3"/>
  <c r="N649" i="3"/>
  <c r="L649" i="3"/>
  <c r="J649" i="3"/>
  <c r="H649" i="3"/>
  <c r="D649" i="3"/>
  <c r="P648" i="3"/>
  <c r="N648" i="3"/>
  <c r="L648" i="3"/>
  <c r="J648" i="3"/>
  <c r="H648" i="3"/>
  <c r="D648" i="3"/>
  <c r="P647" i="3"/>
  <c r="N647" i="3"/>
  <c r="L647" i="3"/>
  <c r="J647" i="3"/>
  <c r="H647" i="3"/>
  <c r="D647" i="3"/>
  <c r="P646" i="3"/>
  <c r="N646" i="3"/>
  <c r="L646" i="3"/>
  <c r="J646" i="3"/>
  <c r="H646" i="3"/>
  <c r="D646" i="3"/>
  <c r="P645" i="3"/>
  <c r="N645" i="3"/>
  <c r="L645" i="3"/>
  <c r="J645" i="3"/>
  <c r="H645" i="3"/>
  <c r="D645" i="3"/>
  <c r="P644" i="3"/>
  <c r="N644" i="3"/>
  <c r="L644" i="3"/>
  <c r="J644" i="3"/>
  <c r="H644" i="3"/>
  <c r="D644" i="3"/>
  <c r="P643" i="3"/>
  <c r="N643" i="3"/>
  <c r="L643" i="3"/>
  <c r="J643" i="3"/>
  <c r="H643" i="3"/>
  <c r="D643" i="3"/>
  <c r="P642" i="3"/>
  <c r="N642" i="3"/>
  <c r="L642" i="3"/>
  <c r="J642" i="3"/>
  <c r="H642" i="3"/>
  <c r="D642" i="3"/>
  <c r="P641" i="3"/>
  <c r="N641" i="3"/>
  <c r="L641" i="3"/>
  <c r="J641" i="3"/>
  <c r="H641" i="3"/>
  <c r="D641" i="3"/>
  <c r="P640" i="3"/>
  <c r="N640" i="3"/>
  <c r="L640" i="3"/>
  <c r="J640" i="3"/>
  <c r="H640" i="3"/>
  <c r="D640" i="3"/>
  <c r="P639" i="3"/>
  <c r="N639" i="3"/>
  <c r="L639" i="3"/>
  <c r="J639" i="3"/>
  <c r="H639" i="3"/>
  <c r="D639" i="3"/>
  <c r="P638" i="3"/>
  <c r="N638" i="3"/>
  <c r="L638" i="3"/>
  <c r="J638" i="3"/>
  <c r="H638" i="3"/>
  <c r="D638" i="3"/>
  <c r="P637" i="3"/>
  <c r="N637" i="3"/>
  <c r="L637" i="3"/>
  <c r="J637" i="3"/>
  <c r="H637" i="3"/>
  <c r="D637" i="3"/>
  <c r="P636" i="3"/>
  <c r="N636" i="3"/>
  <c r="L636" i="3"/>
  <c r="J636" i="3"/>
  <c r="H636" i="3"/>
  <c r="D636" i="3"/>
  <c r="P635" i="3"/>
  <c r="N635" i="3"/>
  <c r="L635" i="3"/>
  <c r="J635" i="3"/>
  <c r="H635" i="3"/>
  <c r="D635" i="3"/>
  <c r="P634" i="3"/>
  <c r="N634" i="3"/>
  <c r="L634" i="3"/>
  <c r="J634" i="3"/>
  <c r="H634" i="3"/>
  <c r="D634" i="3"/>
  <c r="P633" i="3"/>
  <c r="N633" i="3"/>
  <c r="L633" i="3"/>
  <c r="J633" i="3"/>
  <c r="H633" i="3"/>
  <c r="D633" i="3"/>
  <c r="P632" i="3"/>
  <c r="N632" i="3"/>
  <c r="L632" i="3"/>
  <c r="J632" i="3"/>
  <c r="H632" i="3"/>
  <c r="D632" i="3"/>
  <c r="P631" i="3"/>
  <c r="N631" i="3"/>
  <c r="L631" i="3"/>
  <c r="J631" i="3"/>
  <c r="H631" i="3"/>
  <c r="D631" i="3"/>
  <c r="P630" i="3"/>
  <c r="N630" i="3"/>
  <c r="L630" i="3"/>
  <c r="J630" i="3"/>
  <c r="H630" i="3"/>
  <c r="D630" i="3"/>
  <c r="P629" i="3"/>
  <c r="N629" i="3"/>
  <c r="L629" i="3"/>
  <c r="J629" i="3"/>
  <c r="H629" i="3"/>
  <c r="D629" i="3"/>
  <c r="P628" i="3"/>
  <c r="N628" i="3"/>
  <c r="L628" i="3"/>
  <c r="J628" i="3"/>
  <c r="H628" i="3"/>
  <c r="D628" i="3"/>
  <c r="P627" i="3"/>
  <c r="N627" i="3"/>
  <c r="L627" i="3"/>
  <c r="J627" i="3"/>
  <c r="H627" i="3"/>
  <c r="D627" i="3"/>
  <c r="P626" i="3"/>
  <c r="N626" i="3"/>
  <c r="L626" i="3"/>
  <c r="J626" i="3"/>
  <c r="H626" i="3"/>
  <c r="D626" i="3"/>
  <c r="P625" i="3"/>
  <c r="N625" i="3"/>
  <c r="L625" i="3"/>
  <c r="J625" i="3"/>
  <c r="H625" i="3"/>
  <c r="D625" i="3"/>
  <c r="P624" i="3"/>
  <c r="N624" i="3"/>
  <c r="L624" i="3"/>
  <c r="J624" i="3"/>
  <c r="H624" i="3"/>
  <c r="D624" i="3"/>
  <c r="P623" i="3"/>
  <c r="N623" i="3"/>
  <c r="L623" i="3"/>
  <c r="J623" i="3"/>
  <c r="H623" i="3"/>
  <c r="D623" i="3"/>
  <c r="P622" i="3"/>
  <c r="N622" i="3"/>
  <c r="L622" i="3"/>
  <c r="J622" i="3"/>
  <c r="H622" i="3"/>
  <c r="D622" i="3"/>
  <c r="P621" i="3"/>
  <c r="N621" i="3"/>
  <c r="L621" i="3"/>
  <c r="J621" i="3"/>
  <c r="H621" i="3"/>
  <c r="D621" i="3"/>
  <c r="P620" i="3"/>
  <c r="N620" i="3"/>
  <c r="L620" i="3"/>
  <c r="J620" i="3"/>
  <c r="H620" i="3"/>
  <c r="D620" i="3"/>
  <c r="P619" i="3"/>
  <c r="N619" i="3"/>
  <c r="L619" i="3"/>
  <c r="J619" i="3"/>
  <c r="H619" i="3"/>
  <c r="D619" i="3"/>
  <c r="P618" i="3"/>
  <c r="N618" i="3"/>
  <c r="L618" i="3"/>
  <c r="J618" i="3"/>
  <c r="H618" i="3"/>
  <c r="D618" i="3"/>
  <c r="P617" i="3"/>
  <c r="N617" i="3"/>
  <c r="L617" i="3"/>
  <c r="J617" i="3"/>
  <c r="H617" i="3"/>
  <c r="D617" i="3"/>
  <c r="P616" i="3"/>
  <c r="N616" i="3"/>
  <c r="L616" i="3"/>
  <c r="J616" i="3"/>
  <c r="H616" i="3"/>
  <c r="D616" i="3"/>
  <c r="P615" i="3"/>
  <c r="N615" i="3"/>
  <c r="L615" i="3"/>
  <c r="J615" i="3"/>
  <c r="H615" i="3"/>
  <c r="D615" i="3"/>
  <c r="P614" i="3"/>
  <c r="N614" i="3"/>
  <c r="L614" i="3"/>
  <c r="J614" i="3"/>
  <c r="H614" i="3"/>
  <c r="D614" i="3"/>
  <c r="P613" i="3"/>
  <c r="N613" i="3"/>
  <c r="L613" i="3"/>
  <c r="J613" i="3"/>
  <c r="H613" i="3"/>
  <c r="D613" i="3"/>
  <c r="P612" i="3"/>
  <c r="N612" i="3"/>
  <c r="L612" i="3"/>
  <c r="J612" i="3"/>
  <c r="H612" i="3"/>
  <c r="D612" i="3"/>
  <c r="P611" i="3"/>
  <c r="N611" i="3"/>
  <c r="L611" i="3"/>
  <c r="J611" i="3"/>
  <c r="H611" i="3"/>
  <c r="D611" i="3"/>
  <c r="P610" i="3"/>
  <c r="N610" i="3"/>
  <c r="L610" i="3"/>
  <c r="J610" i="3"/>
  <c r="H610" i="3"/>
  <c r="D610" i="3"/>
  <c r="P609" i="3"/>
  <c r="N609" i="3"/>
  <c r="L609" i="3"/>
  <c r="J609" i="3"/>
  <c r="H609" i="3"/>
  <c r="D609" i="3"/>
  <c r="Q598" i="3"/>
  <c r="P598" i="3"/>
  <c r="H598" i="3"/>
  <c r="D598" i="3"/>
  <c r="Q597" i="3"/>
  <c r="P597" i="3"/>
  <c r="H597" i="3"/>
  <c r="D597" i="3"/>
  <c r="Q596" i="3"/>
  <c r="P596" i="3"/>
  <c r="H596" i="3"/>
  <c r="D596" i="3"/>
  <c r="Q595" i="3"/>
  <c r="P595" i="3"/>
  <c r="H595" i="3"/>
  <c r="D595" i="3"/>
  <c r="Q594" i="3"/>
  <c r="P594" i="3"/>
  <c r="H594" i="3"/>
  <c r="D594" i="3"/>
  <c r="Q593" i="3"/>
  <c r="P593" i="3"/>
  <c r="N593" i="3"/>
  <c r="L593" i="3"/>
  <c r="J593" i="3"/>
  <c r="H593" i="3"/>
  <c r="D593" i="3"/>
  <c r="Q592" i="3"/>
  <c r="P592" i="3"/>
  <c r="H592" i="3"/>
  <c r="D592" i="3"/>
  <c r="Q591" i="3"/>
  <c r="P591" i="3"/>
  <c r="H591" i="3"/>
  <c r="D591" i="3"/>
  <c r="Q590" i="3"/>
  <c r="P590" i="3"/>
  <c r="H590" i="3"/>
  <c r="D590" i="3"/>
  <c r="Q589" i="3"/>
  <c r="P589" i="3"/>
  <c r="L589" i="3"/>
  <c r="J589" i="3"/>
  <c r="H589" i="3"/>
  <c r="F589" i="3"/>
  <c r="N589" i="3" s="1"/>
  <c r="D589" i="3"/>
  <c r="Q588" i="3"/>
  <c r="P588" i="3"/>
  <c r="N588" i="3"/>
  <c r="L588" i="3"/>
  <c r="J588" i="3"/>
  <c r="H588" i="3"/>
  <c r="D588" i="3"/>
  <c r="Q587" i="3"/>
  <c r="P587" i="3"/>
  <c r="H587" i="3"/>
  <c r="D587" i="3"/>
  <c r="Q586" i="3"/>
  <c r="P586" i="3"/>
  <c r="H586" i="3"/>
  <c r="D586" i="3"/>
  <c r="Q585" i="3"/>
  <c r="F585" i="3"/>
  <c r="J585" i="3" s="1"/>
  <c r="D585" i="3"/>
  <c r="Q584" i="3"/>
  <c r="P584" i="3"/>
  <c r="N584" i="3"/>
  <c r="L584" i="3"/>
  <c r="J584" i="3"/>
  <c r="H584" i="3"/>
  <c r="D584" i="3"/>
  <c r="Q583" i="3"/>
  <c r="P583" i="3"/>
  <c r="H583" i="3"/>
  <c r="D583" i="3"/>
  <c r="Q582" i="3"/>
  <c r="P582" i="3"/>
  <c r="N582" i="3"/>
  <c r="L582" i="3"/>
  <c r="J582" i="3"/>
  <c r="H582" i="3"/>
  <c r="D582" i="3"/>
  <c r="Q581" i="3"/>
  <c r="J581" i="3"/>
  <c r="F581" i="3"/>
  <c r="N581" i="3" s="1"/>
  <c r="D581" i="3"/>
  <c r="Q580" i="3"/>
  <c r="P580" i="3"/>
  <c r="N580" i="3"/>
  <c r="L580" i="3"/>
  <c r="J580" i="3"/>
  <c r="H580" i="3"/>
  <c r="D580" i="3"/>
  <c r="Q579" i="3"/>
  <c r="P579" i="3"/>
  <c r="H579" i="3"/>
  <c r="D579" i="3"/>
  <c r="Q578" i="3"/>
  <c r="P578" i="3"/>
  <c r="H578" i="3"/>
  <c r="D578" i="3"/>
  <c r="Q577" i="3"/>
  <c r="P577" i="3"/>
  <c r="H577" i="3"/>
  <c r="D577" i="3"/>
  <c r="Q576" i="3"/>
  <c r="P576" i="3"/>
  <c r="N576" i="3"/>
  <c r="L576" i="3"/>
  <c r="J576" i="3"/>
  <c r="H576" i="3"/>
  <c r="D576" i="3"/>
  <c r="Q575" i="3"/>
  <c r="P575" i="3"/>
  <c r="N575" i="3"/>
  <c r="L575" i="3"/>
  <c r="J575" i="3"/>
  <c r="J599" i="3" s="1"/>
  <c r="H575" i="3"/>
  <c r="D575" i="3"/>
  <c r="P569" i="3"/>
  <c r="N569" i="3"/>
  <c r="L569" i="3"/>
  <c r="J569" i="3"/>
  <c r="Q568" i="3"/>
  <c r="H568" i="3"/>
  <c r="D568" i="3"/>
  <c r="Q567" i="3"/>
  <c r="H567" i="3"/>
  <c r="D567" i="3"/>
  <c r="Q566" i="3"/>
  <c r="H566" i="3"/>
  <c r="H569" i="3" s="1"/>
  <c r="D566" i="3"/>
  <c r="Q558" i="3"/>
  <c r="P558" i="3"/>
  <c r="N558" i="3"/>
  <c r="L558" i="3"/>
  <c r="J558" i="3"/>
  <c r="H558" i="3"/>
  <c r="D558" i="3"/>
  <c r="Q557" i="3"/>
  <c r="P557" i="3"/>
  <c r="N557" i="3"/>
  <c r="L557" i="3"/>
  <c r="J557" i="3"/>
  <c r="H557" i="3"/>
  <c r="D557" i="3"/>
  <c r="Q556" i="3"/>
  <c r="P556" i="3"/>
  <c r="N556" i="3"/>
  <c r="L556" i="3"/>
  <c r="J556" i="3"/>
  <c r="H556" i="3"/>
  <c r="D556" i="3"/>
  <c r="Q555" i="3"/>
  <c r="P555" i="3"/>
  <c r="N555" i="3"/>
  <c r="L555" i="3"/>
  <c r="J555" i="3"/>
  <c r="H555" i="3"/>
  <c r="D555" i="3"/>
  <c r="Q554" i="3"/>
  <c r="P554" i="3"/>
  <c r="N554" i="3"/>
  <c r="L554" i="3"/>
  <c r="J554" i="3"/>
  <c r="H554" i="3"/>
  <c r="D554" i="3"/>
  <c r="Q553" i="3"/>
  <c r="P553" i="3"/>
  <c r="N553" i="3"/>
  <c r="L553" i="3"/>
  <c r="J553" i="3"/>
  <c r="H553" i="3"/>
  <c r="D553" i="3"/>
  <c r="Q552" i="3"/>
  <c r="P552" i="3"/>
  <c r="N552" i="3"/>
  <c r="L552" i="3"/>
  <c r="J552" i="3"/>
  <c r="H552" i="3"/>
  <c r="D552" i="3"/>
  <c r="Q551" i="3"/>
  <c r="P551" i="3"/>
  <c r="N551" i="3"/>
  <c r="L551" i="3"/>
  <c r="J551" i="3"/>
  <c r="H551" i="3"/>
  <c r="D551" i="3"/>
  <c r="Q550" i="3"/>
  <c r="P550" i="3"/>
  <c r="N550" i="3"/>
  <c r="L550" i="3"/>
  <c r="J550" i="3"/>
  <c r="H550" i="3"/>
  <c r="D550" i="3"/>
  <c r="Q549" i="3"/>
  <c r="P549" i="3"/>
  <c r="N549" i="3"/>
  <c r="L549" i="3"/>
  <c r="J549" i="3"/>
  <c r="H549" i="3"/>
  <c r="D549" i="3"/>
  <c r="Q548" i="3"/>
  <c r="P548" i="3"/>
  <c r="N548" i="3"/>
  <c r="L548" i="3"/>
  <c r="J548" i="3"/>
  <c r="H548" i="3"/>
  <c r="D548" i="3"/>
  <c r="Q547" i="3"/>
  <c r="P547" i="3"/>
  <c r="N547" i="3"/>
  <c r="L547" i="3"/>
  <c r="J547" i="3"/>
  <c r="H547" i="3"/>
  <c r="D547" i="3"/>
  <c r="Q546" i="3"/>
  <c r="P546" i="3"/>
  <c r="N546" i="3"/>
  <c r="L546" i="3"/>
  <c r="J546" i="3"/>
  <c r="H546" i="3"/>
  <c r="D546" i="3"/>
  <c r="Q545" i="3"/>
  <c r="J545" i="3"/>
  <c r="F545" i="3"/>
  <c r="N545" i="3" s="1"/>
  <c r="D545" i="3"/>
  <c r="Q544" i="3"/>
  <c r="P544" i="3"/>
  <c r="N544" i="3"/>
  <c r="L544" i="3"/>
  <c r="J544" i="3"/>
  <c r="H544" i="3"/>
  <c r="D544" i="3"/>
  <c r="Q543" i="3"/>
  <c r="P543" i="3"/>
  <c r="N543" i="3"/>
  <c r="L543" i="3"/>
  <c r="J543" i="3"/>
  <c r="H543" i="3"/>
  <c r="D543" i="3"/>
  <c r="Q542" i="3"/>
  <c r="P542" i="3"/>
  <c r="N542" i="3"/>
  <c r="L542" i="3"/>
  <c r="J542" i="3"/>
  <c r="H542" i="3"/>
  <c r="D542" i="3"/>
  <c r="Q541" i="3"/>
  <c r="P541" i="3"/>
  <c r="N541" i="3"/>
  <c r="L541" i="3"/>
  <c r="J541" i="3"/>
  <c r="H541" i="3"/>
  <c r="D541" i="3"/>
  <c r="Q540" i="3"/>
  <c r="J540" i="3"/>
  <c r="F540" i="3"/>
  <c r="N540" i="3" s="1"/>
  <c r="D540" i="3"/>
  <c r="Q539" i="3"/>
  <c r="J539" i="3"/>
  <c r="F539" i="3"/>
  <c r="N539" i="3" s="1"/>
  <c r="D539" i="3"/>
  <c r="Q538" i="3"/>
  <c r="P538" i="3"/>
  <c r="N538" i="3"/>
  <c r="L538" i="3"/>
  <c r="J538" i="3"/>
  <c r="H538" i="3"/>
  <c r="D538" i="3"/>
  <c r="Q537" i="3"/>
  <c r="P537" i="3"/>
  <c r="N537" i="3"/>
  <c r="L537" i="3"/>
  <c r="J537" i="3"/>
  <c r="H537" i="3"/>
  <c r="D537" i="3"/>
  <c r="Q536" i="3"/>
  <c r="P536" i="3"/>
  <c r="N536" i="3"/>
  <c r="L536" i="3"/>
  <c r="J536" i="3"/>
  <c r="H536" i="3"/>
  <c r="D536" i="3"/>
  <c r="Q535" i="3"/>
  <c r="P535" i="3"/>
  <c r="N535" i="3"/>
  <c r="L535" i="3"/>
  <c r="J535" i="3"/>
  <c r="H535" i="3"/>
  <c r="D535" i="3"/>
  <c r="Q534" i="3"/>
  <c r="P534" i="3"/>
  <c r="N534" i="3"/>
  <c r="L534" i="3"/>
  <c r="J534" i="3"/>
  <c r="H534" i="3"/>
  <c r="D534" i="3"/>
  <c r="Q533" i="3"/>
  <c r="P533" i="3"/>
  <c r="N533" i="3"/>
  <c r="L533" i="3"/>
  <c r="J533" i="3"/>
  <c r="H533" i="3"/>
  <c r="D533" i="3"/>
  <c r="Q532" i="3"/>
  <c r="P532" i="3"/>
  <c r="N532" i="3"/>
  <c r="L532" i="3"/>
  <c r="J532" i="3"/>
  <c r="H532" i="3"/>
  <c r="D532" i="3"/>
  <c r="Q531" i="3"/>
  <c r="P531" i="3"/>
  <c r="N531" i="3"/>
  <c r="L531" i="3"/>
  <c r="J531" i="3"/>
  <c r="H531" i="3"/>
  <c r="D531" i="3"/>
  <c r="Q530" i="3"/>
  <c r="P530" i="3"/>
  <c r="N530" i="3"/>
  <c r="L530" i="3"/>
  <c r="J530" i="3"/>
  <c r="H530" i="3"/>
  <c r="D530" i="3"/>
  <c r="Q529" i="3"/>
  <c r="P529" i="3"/>
  <c r="N529" i="3"/>
  <c r="L529" i="3"/>
  <c r="J529" i="3"/>
  <c r="H529" i="3"/>
  <c r="D529" i="3"/>
  <c r="Q528" i="3"/>
  <c r="P528" i="3"/>
  <c r="N528" i="3"/>
  <c r="L528" i="3"/>
  <c r="J528" i="3"/>
  <c r="H528" i="3"/>
  <c r="D528" i="3"/>
  <c r="Q527" i="3"/>
  <c r="P527" i="3"/>
  <c r="N527" i="3"/>
  <c r="L527" i="3"/>
  <c r="J527" i="3"/>
  <c r="H527" i="3"/>
  <c r="D527" i="3"/>
  <c r="Q526" i="3"/>
  <c r="P526" i="3"/>
  <c r="N526" i="3"/>
  <c r="L526" i="3"/>
  <c r="J526" i="3"/>
  <c r="H526" i="3"/>
  <c r="D526" i="3"/>
  <c r="Q525" i="3"/>
  <c r="P525" i="3"/>
  <c r="N525" i="3"/>
  <c r="L525" i="3"/>
  <c r="J525" i="3"/>
  <c r="H525" i="3"/>
  <c r="D525" i="3"/>
  <c r="Q524" i="3"/>
  <c r="P524" i="3"/>
  <c r="N524" i="3"/>
  <c r="L524" i="3"/>
  <c r="J524" i="3"/>
  <c r="H524" i="3"/>
  <c r="D524" i="3"/>
  <c r="Q523" i="3"/>
  <c r="P523" i="3"/>
  <c r="N523" i="3"/>
  <c r="L523" i="3"/>
  <c r="J523" i="3"/>
  <c r="H523" i="3"/>
  <c r="D523" i="3"/>
  <c r="Q522" i="3"/>
  <c r="P522" i="3"/>
  <c r="N522" i="3"/>
  <c r="L522" i="3"/>
  <c r="J522" i="3"/>
  <c r="H522" i="3"/>
  <c r="D522" i="3"/>
  <c r="Q521" i="3"/>
  <c r="P521" i="3"/>
  <c r="N521" i="3"/>
  <c r="L521" i="3"/>
  <c r="J521" i="3"/>
  <c r="H521" i="3"/>
  <c r="Q520" i="3"/>
  <c r="P520" i="3"/>
  <c r="N520" i="3"/>
  <c r="L520" i="3"/>
  <c r="J520" i="3"/>
  <c r="H520" i="3"/>
  <c r="D520" i="3"/>
  <c r="Q519" i="3"/>
  <c r="P519" i="3"/>
  <c r="N519" i="3"/>
  <c r="L519" i="3"/>
  <c r="J519" i="3"/>
  <c r="H519" i="3"/>
  <c r="D519" i="3"/>
  <c r="Q518" i="3"/>
  <c r="P518" i="3"/>
  <c r="N518" i="3"/>
  <c r="L518" i="3"/>
  <c r="J518" i="3"/>
  <c r="H518" i="3"/>
  <c r="D518" i="3"/>
  <c r="Q517" i="3"/>
  <c r="P517" i="3"/>
  <c r="N517" i="3"/>
  <c r="L517" i="3"/>
  <c r="J517" i="3"/>
  <c r="H517" i="3"/>
  <c r="D517" i="3"/>
  <c r="Q516" i="3"/>
  <c r="P516" i="3"/>
  <c r="N516" i="3"/>
  <c r="L516" i="3"/>
  <c r="J516" i="3"/>
  <c r="H516" i="3"/>
  <c r="D516" i="3"/>
  <c r="Q515" i="3"/>
  <c r="P515" i="3"/>
  <c r="N515" i="3"/>
  <c r="L515" i="3"/>
  <c r="J515" i="3"/>
  <c r="H515" i="3"/>
  <c r="D515" i="3"/>
  <c r="Q514" i="3"/>
  <c r="P514" i="3"/>
  <c r="N514" i="3"/>
  <c r="L514" i="3"/>
  <c r="J514" i="3"/>
  <c r="H514" i="3"/>
  <c r="D514" i="3"/>
  <c r="Q513" i="3"/>
  <c r="P513" i="3"/>
  <c r="N513" i="3"/>
  <c r="L513" i="3"/>
  <c r="J513" i="3"/>
  <c r="H513" i="3"/>
  <c r="D513" i="3"/>
  <c r="Q512" i="3"/>
  <c r="P512" i="3"/>
  <c r="N512" i="3"/>
  <c r="N559" i="3" s="1"/>
  <c r="L512" i="3"/>
  <c r="J512" i="3"/>
  <c r="J559" i="3" s="1"/>
  <c r="H512" i="3"/>
  <c r="D512" i="3"/>
  <c r="J504" i="3"/>
  <c r="Q503" i="3"/>
  <c r="P503" i="3"/>
  <c r="N503" i="3"/>
  <c r="L503" i="3"/>
  <c r="J503" i="3"/>
  <c r="H503" i="3"/>
  <c r="D503" i="3"/>
  <c r="Q502" i="3"/>
  <c r="P502" i="3"/>
  <c r="N502" i="3"/>
  <c r="L502" i="3"/>
  <c r="J502" i="3"/>
  <c r="H502" i="3"/>
  <c r="D502" i="3"/>
  <c r="Q501" i="3"/>
  <c r="P501" i="3"/>
  <c r="N501" i="3"/>
  <c r="L501" i="3"/>
  <c r="J501" i="3"/>
  <c r="H501" i="3"/>
  <c r="D501" i="3"/>
  <c r="Q500" i="3"/>
  <c r="P500" i="3"/>
  <c r="N500" i="3"/>
  <c r="L500" i="3"/>
  <c r="J500" i="3"/>
  <c r="H500" i="3"/>
  <c r="D500" i="3"/>
  <c r="Q499" i="3"/>
  <c r="P499" i="3"/>
  <c r="N499" i="3"/>
  <c r="L499" i="3"/>
  <c r="J499" i="3"/>
  <c r="H499" i="3"/>
  <c r="D499" i="3"/>
  <c r="Q498" i="3"/>
  <c r="P498" i="3"/>
  <c r="L498" i="3"/>
  <c r="H498" i="3"/>
  <c r="F498" i="3"/>
  <c r="N498" i="3" s="1"/>
  <c r="D498" i="3"/>
  <c r="Q497" i="3"/>
  <c r="P497" i="3"/>
  <c r="N497" i="3"/>
  <c r="L497" i="3"/>
  <c r="J497" i="3"/>
  <c r="H497" i="3"/>
  <c r="D497" i="3"/>
  <c r="Q496" i="3"/>
  <c r="P496" i="3"/>
  <c r="N496" i="3"/>
  <c r="L496" i="3"/>
  <c r="J496" i="3"/>
  <c r="H496" i="3"/>
  <c r="D496" i="3"/>
  <c r="Q495" i="3"/>
  <c r="P495" i="3"/>
  <c r="N495" i="3"/>
  <c r="L495" i="3"/>
  <c r="J495" i="3"/>
  <c r="H495" i="3"/>
  <c r="D495" i="3"/>
  <c r="Q494" i="3"/>
  <c r="P494" i="3"/>
  <c r="N494" i="3"/>
  <c r="L494" i="3"/>
  <c r="J494" i="3"/>
  <c r="H494" i="3"/>
  <c r="Q493" i="3"/>
  <c r="P493" i="3"/>
  <c r="N493" i="3"/>
  <c r="L493" i="3"/>
  <c r="J493" i="3"/>
  <c r="H493" i="3"/>
  <c r="D493" i="3"/>
  <c r="Q492" i="3"/>
  <c r="P492" i="3"/>
  <c r="N492" i="3"/>
  <c r="L492" i="3"/>
  <c r="J492" i="3"/>
  <c r="H492" i="3"/>
  <c r="D492" i="3"/>
  <c r="Q491" i="3"/>
  <c r="P491" i="3"/>
  <c r="N491" i="3"/>
  <c r="L491" i="3"/>
  <c r="J491" i="3"/>
  <c r="H491" i="3"/>
  <c r="D491" i="3"/>
  <c r="Q490" i="3"/>
  <c r="P490" i="3"/>
  <c r="L490" i="3"/>
  <c r="H490" i="3"/>
  <c r="F490" i="3"/>
  <c r="N490" i="3" s="1"/>
  <c r="D490" i="3"/>
  <c r="Q489" i="3"/>
  <c r="P489" i="3"/>
  <c r="N489" i="3"/>
  <c r="L489" i="3"/>
  <c r="J489" i="3"/>
  <c r="H489" i="3"/>
  <c r="D489" i="3"/>
  <c r="Q488" i="3"/>
  <c r="P488" i="3"/>
  <c r="N488" i="3"/>
  <c r="L488" i="3"/>
  <c r="J488" i="3"/>
  <c r="H488" i="3"/>
  <c r="D488" i="3"/>
  <c r="Q487" i="3"/>
  <c r="P487" i="3"/>
  <c r="N487" i="3"/>
  <c r="L487" i="3"/>
  <c r="J487" i="3"/>
  <c r="H487" i="3"/>
  <c r="D487" i="3"/>
  <c r="Q486" i="3"/>
  <c r="F486" i="3"/>
  <c r="J486" i="3" s="1"/>
  <c r="D486" i="3"/>
  <c r="Q485" i="3"/>
  <c r="P485" i="3"/>
  <c r="N485" i="3"/>
  <c r="L485" i="3"/>
  <c r="J485" i="3"/>
  <c r="H485" i="3"/>
  <c r="D485" i="3"/>
  <c r="Q484" i="3"/>
  <c r="P484" i="3"/>
  <c r="N484" i="3"/>
  <c r="L484" i="3"/>
  <c r="J484" i="3"/>
  <c r="H484" i="3"/>
  <c r="D484" i="3"/>
  <c r="Q483" i="3"/>
  <c r="P483" i="3"/>
  <c r="N483" i="3"/>
  <c r="L483" i="3"/>
  <c r="J483" i="3"/>
  <c r="H483" i="3"/>
  <c r="D483" i="3"/>
  <c r="Q482" i="3"/>
  <c r="P482" i="3"/>
  <c r="N482" i="3"/>
  <c r="L482" i="3"/>
  <c r="J482" i="3"/>
  <c r="H482" i="3"/>
  <c r="D482" i="3"/>
  <c r="Q481" i="3"/>
  <c r="F481" i="3"/>
  <c r="J481" i="3" s="1"/>
  <c r="D481" i="3"/>
  <c r="Q480" i="3"/>
  <c r="N480" i="3"/>
  <c r="F480" i="3"/>
  <c r="P480" i="3" s="1"/>
  <c r="D480" i="3"/>
  <c r="Q479" i="3"/>
  <c r="F479" i="3"/>
  <c r="J479" i="3" s="1"/>
  <c r="D479" i="3"/>
  <c r="Q478" i="3"/>
  <c r="P478" i="3"/>
  <c r="N478" i="3"/>
  <c r="L478" i="3"/>
  <c r="J478" i="3"/>
  <c r="H478" i="3"/>
  <c r="D478" i="3"/>
  <c r="Q477" i="3"/>
  <c r="P477" i="3"/>
  <c r="L477" i="3"/>
  <c r="H477" i="3"/>
  <c r="F477" i="3"/>
  <c r="N477" i="3" s="1"/>
  <c r="D477" i="3"/>
  <c r="Q476" i="3"/>
  <c r="P476" i="3"/>
  <c r="N476" i="3"/>
  <c r="L476" i="3"/>
  <c r="J476" i="3"/>
  <c r="H476" i="3"/>
  <c r="D476" i="3"/>
  <c r="Q475" i="3"/>
  <c r="P475" i="3"/>
  <c r="N475" i="3"/>
  <c r="L475" i="3"/>
  <c r="J475" i="3"/>
  <c r="H475" i="3"/>
  <c r="D475" i="3"/>
  <c r="Q474" i="3"/>
  <c r="P474" i="3"/>
  <c r="N474" i="3"/>
  <c r="L474" i="3"/>
  <c r="J474" i="3"/>
  <c r="H474" i="3"/>
  <c r="D474" i="3"/>
  <c r="Q473" i="3"/>
  <c r="P473" i="3"/>
  <c r="N473" i="3"/>
  <c r="L473" i="3"/>
  <c r="J473" i="3"/>
  <c r="H473" i="3"/>
  <c r="D473" i="3"/>
  <c r="Q472" i="3"/>
  <c r="P472" i="3"/>
  <c r="N472" i="3"/>
  <c r="L472" i="3"/>
  <c r="J472" i="3"/>
  <c r="H472" i="3"/>
  <c r="D472" i="3"/>
  <c r="Q471" i="3"/>
  <c r="P471" i="3"/>
  <c r="N471" i="3"/>
  <c r="L471" i="3"/>
  <c r="J471" i="3"/>
  <c r="H471" i="3"/>
  <c r="D471" i="3"/>
  <c r="Q470" i="3"/>
  <c r="P470" i="3"/>
  <c r="N470" i="3"/>
  <c r="L470" i="3"/>
  <c r="J470" i="3"/>
  <c r="H470" i="3"/>
  <c r="D470" i="3"/>
  <c r="Q469" i="3"/>
  <c r="F469" i="3"/>
  <c r="J469" i="3" s="1"/>
  <c r="D469" i="3"/>
  <c r="Q468" i="3"/>
  <c r="P468" i="3"/>
  <c r="N468" i="3"/>
  <c r="L468" i="3"/>
  <c r="J468" i="3"/>
  <c r="H468" i="3"/>
  <c r="D468" i="3"/>
  <c r="Q467" i="3"/>
  <c r="P467" i="3"/>
  <c r="N467" i="3"/>
  <c r="L467" i="3"/>
  <c r="J467" i="3"/>
  <c r="H467" i="3"/>
  <c r="D467" i="3"/>
  <c r="Q466" i="3"/>
  <c r="P466" i="3"/>
  <c r="N466" i="3"/>
  <c r="L466" i="3"/>
  <c r="J466" i="3"/>
  <c r="H466" i="3"/>
  <c r="D466" i="3"/>
  <c r="Q465" i="3"/>
  <c r="P465" i="3"/>
  <c r="L465" i="3"/>
  <c r="J465" i="3"/>
  <c r="H465" i="3"/>
  <c r="F465" i="3"/>
  <c r="N465" i="3" s="1"/>
  <c r="D465" i="3"/>
  <c r="Q464" i="3"/>
  <c r="P464" i="3"/>
  <c r="N464" i="3"/>
  <c r="L464" i="3"/>
  <c r="J464" i="3"/>
  <c r="H464" i="3"/>
  <c r="D464" i="3"/>
  <c r="Q463" i="3"/>
  <c r="P463" i="3"/>
  <c r="N463" i="3"/>
  <c r="L463" i="3"/>
  <c r="J463" i="3"/>
  <c r="H463" i="3"/>
  <c r="D463" i="3"/>
  <c r="Q462" i="3"/>
  <c r="P462" i="3"/>
  <c r="N462" i="3"/>
  <c r="L462" i="3"/>
  <c r="J462" i="3"/>
  <c r="H462" i="3"/>
  <c r="D462" i="3"/>
  <c r="Q461" i="3"/>
  <c r="P461" i="3"/>
  <c r="N461" i="3"/>
  <c r="L461" i="3"/>
  <c r="J461" i="3"/>
  <c r="H461" i="3"/>
  <c r="D461" i="3"/>
  <c r="Q460" i="3"/>
  <c r="P460" i="3"/>
  <c r="L460" i="3"/>
  <c r="J460" i="3"/>
  <c r="H460" i="3"/>
  <c r="F460" i="3"/>
  <c r="N460" i="3" s="1"/>
  <c r="D460" i="3"/>
  <c r="Q459" i="3"/>
  <c r="P459" i="3"/>
  <c r="L459" i="3"/>
  <c r="J459" i="3"/>
  <c r="H459" i="3"/>
  <c r="F459" i="3"/>
  <c r="N459" i="3" s="1"/>
  <c r="D459" i="3"/>
  <c r="Q458" i="3"/>
  <c r="P458" i="3"/>
  <c r="N458" i="3"/>
  <c r="L458" i="3"/>
  <c r="J458" i="3"/>
  <c r="H458" i="3"/>
  <c r="D458" i="3"/>
  <c r="Q457" i="3"/>
  <c r="F457" i="3"/>
  <c r="P457" i="3" s="1"/>
  <c r="D457" i="3"/>
  <c r="Q456" i="3"/>
  <c r="P456" i="3"/>
  <c r="N456" i="3"/>
  <c r="L456" i="3"/>
  <c r="J456" i="3"/>
  <c r="H456" i="3"/>
  <c r="D456" i="3"/>
  <c r="Q455" i="3"/>
  <c r="P455" i="3"/>
  <c r="N455" i="3"/>
  <c r="L455" i="3"/>
  <c r="J455" i="3"/>
  <c r="H455" i="3"/>
  <c r="D455" i="3"/>
  <c r="Q454" i="3"/>
  <c r="P454" i="3"/>
  <c r="N454" i="3"/>
  <c r="L454" i="3"/>
  <c r="J454" i="3"/>
  <c r="H454" i="3"/>
  <c r="D454" i="3"/>
  <c r="Q453" i="3"/>
  <c r="P453" i="3"/>
  <c r="N453" i="3"/>
  <c r="L453" i="3"/>
  <c r="J453" i="3"/>
  <c r="H453" i="3"/>
  <c r="D453" i="3"/>
  <c r="Q452" i="3"/>
  <c r="P452" i="3"/>
  <c r="N452" i="3"/>
  <c r="L452" i="3"/>
  <c r="J452" i="3"/>
  <c r="H452" i="3"/>
  <c r="D452" i="3"/>
  <c r="Q451" i="3"/>
  <c r="P451" i="3"/>
  <c r="N451" i="3"/>
  <c r="L451" i="3"/>
  <c r="J451" i="3"/>
  <c r="H451" i="3"/>
  <c r="D451" i="3"/>
  <c r="Q450" i="3"/>
  <c r="P450" i="3"/>
  <c r="N450" i="3"/>
  <c r="L450" i="3"/>
  <c r="J450" i="3"/>
  <c r="H450" i="3"/>
  <c r="D450" i="3"/>
  <c r="Q449" i="3"/>
  <c r="P449" i="3"/>
  <c r="N449" i="3"/>
  <c r="L449" i="3"/>
  <c r="J449" i="3"/>
  <c r="H449" i="3"/>
  <c r="D449" i="3"/>
  <c r="Q448" i="3"/>
  <c r="P448" i="3"/>
  <c r="N448" i="3"/>
  <c r="L448" i="3"/>
  <c r="J448" i="3"/>
  <c r="H448" i="3"/>
  <c r="D448" i="3"/>
  <c r="Q447" i="3"/>
  <c r="P447" i="3"/>
  <c r="N447" i="3"/>
  <c r="L447" i="3"/>
  <c r="J447" i="3"/>
  <c r="H447" i="3"/>
  <c r="D447" i="3"/>
  <c r="Q446" i="3"/>
  <c r="P446" i="3"/>
  <c r="N446" i="3"/>
  <c r="L446" i="3"/>
  <c r="J446" i="3"/>
  <c r="H446" i="3"/>
  <c r="D446" i="3"/>
  <c r="Q445" i="3"/>
  <c r="P445" i="3"/>
  <c r="N445" i="3"/>
  <c r="L445" i="3"/>
  <c r="J445" i="3"/>
  <c r="H445" i="3"/>
  <c r="D445" i="3"/>
  <c r="Q444" i="3"/>
  <c r="P444" i="3"/>
  <c r="N444" i="3"/>
  <c r="L444" i="3"/>
  <c r="J444" i="3"/>
  <c r="H444" i="3"/>
  <c r="D444" i="3"/>
  <c r="Q443" i="3"/>
  <c r="P443" i="3"/>
  <c r="N443" i="3"/>
  <c r="L443" i="3"/>
  <c r="J443" i="3"/>
  <c r="H443" i="3"/>
  <c r="D443" i="3"/>
  <c r="Q442" i="3"/>
  <c r="P442" i="3"/>
  <c r="N442" i="3"/>
  <c r="L442" i="3"/>
  <c r="J442" i="3"/>
  <c r="H442" i="3"/>
  <c r="D442" i="3"/>
  <c r="Q441" i="3"/>
  <c r="P441" i="3"/>
  <c r="N441" i="3"/>
  <c r="L441" i="3"/>
  <c r="J441" i="3"/>
  <c r="H441" i="3"/>
  <c r="D441" i="3"/>
  <c r="Q440" i="3"/>
  <c r="P440" i="3"/>
  <c r="N440" i="3"/>
  <c r="L440" i="3"/>
  <c r="J440" i="3"/>
  <c r="H440" i="3"/>
  <c r="D440" i="3"/>
  <c r="Q439" i="3"/>
  <c r="P439" i="3"/>
  <c r="N439" i="3"/>
  <c r="L439" i="3"/>
  <c r="J439" i="3"/>
  <c r="H439" i="3"/>
  <c r="D439" i="3"/>
  <c r="Q438" i="3"/>
  <c r="J438" i="3"/>
  <c r="F438" i="3"/>
  <c r="N438" i="3" s="1"/>
  <c r="D438" i="3"/>
  <c r="Q437" i="3"/>
  <c r="P437" i="3"/>
  <c r="N437" i="3"/>
  <c r="L437" i="3"/>
  <c r="J437" i="3"/>
  <c r="H437" i="3"/>
  <c r="D437" i="3"/>
  <c r="Q436" i="3"/>
  <c r="P436" i="3"/>
  <c r="L436" i="3"/>
  <c r="J436" i="3"/>
  <c r="H436" i="3"/>
  <c r="F436" i="3"/>
  <c r="N436" i="3" s="1"/>
  <c r="D436" i="3"/>
  <c r="Q435" i="3"/>
  <c r="P435" i="3"/>
  <c r="L435" i="3"/>
  <c r="J435" i="3"/>
  <c r="H435" i="3"/>
  <c r="F435" i="3"/>
  <c r="N435" i="3" s="1"/>
  <c r="D435" i="3"/>
  <c r="Q434" i="3"/>
  <c r="P434" i="3"/>
  <c r="L434" i="3"/>
  <c r="J434" i="3"/>
  <c r="H434" i="3"/>
  <c r="F434" i="3"/>
  <c r="N434" i="3" s="1"/>
  <c r="D434" i="3"/>
  <c r="Q433" i="3"/>
  <c r="P433" i="3"/>
  <c r="L433" i="3"/>
  <c r="J433" i="3"/>
  <c r="H433" i="3"/>
  <c r="F433" i="3"/>
  <c r="N433" i="3" s="1"/>
  <c r="D433" i="3"/>
  <c r="Q432" i="3"/>
  <c r="P432" i="3"/>
  <c r="N432" i="3"/>
  <c r="L432" i="3"/>
  <c r="J432" i="3"/>
  <c r="H432" i="3"/>
  <c r="D432" i="3"/>
  <c r="Q431" i="3"/>
  <c r="P431" i="3"/>
  <c r="N431" i="3"/>
  <c r="L431" i="3"/>
  <c r="J431" i="3"/>
  <c r="H431" i="3"/>
  <c r="D431" i="3"/>
  <c r="Q430" i="3"/>
  <c r="P430" i="3"/>
  <c r="N430" i="3"/>
  <c r="L430" i="3"/>
  <c r="J430" i="3"/>
  <c r="H430" i="3"/>
  <c r="D430" i="3"/>
  <c r="Q429" i="3"/>
  <c r="P429" i="3"/>
  <c r="N429" i="3"/>
  <c r="L429" i="3"/>
  <c r="J429" i="3"/>
  <c r="H429" i="3"/>
  <c r="D429" i="3"/>
  <c r="Q428" i="3"/>
  <c r="P428" i="3"/>
  <c r="N428" i="3"/>
  <c r="L428" i="3"/>
  <c r="J428" i="3"/>
  <c r="H428" i="3"/>
  <c r="D428" i="3"/>
  <c r="Q427" i="3"/>
  <c r="P427" i="3"/>
  <c r="N427" i="3"/>
  <c r="L427" i="3"/>
  <c r="J427" i="3"/>
  <c r="H427" i="3"/>
  <c r="D427" i="3"/>
  <c r="Q426" i="3"/>
  <c r="P426" i="3"/>
  <c r="L426" i="3"/>
  <c r="H426" i="3"/>
  <c r="F426" i="3"/>
  <c r="N426" i="3" s="1"/>
  <c r="D426" i="3"/>
  <c r="Q425" i="3"/>
  <c r="P425" i="3"/>
  <c r="N425" i="3"/>
  <c r="L425" i="3"/>
  <c r="J425" i="3"/>
  <c r="H425" i="3"/>
  <c r="D425" i="3"/>
  <c r="Q424" i="3"/>
  <c r="J424" i="3"/>
  <c r="F424" i="3"/>
  <c r="N424" i="3" s="1"/>
  <c r="D424" i="3"/>
  <c r="Q423" i="3"/>
  <c r="J423" i="3"/>
  <c r="F423" i="3"/>
  <c r="L423" i="3" s="1"/>
  <c r="D423" i="3"/>
  <c r="Q422" i="3"/>
  <c r="P422" i="3"/>
  <c r="N422" i="3"/>
  <c r="L422" i="3"/>
  <c r="J422" i="3"/>
  <c r="H422" i="3"/>
  <c r="D422" i="3"/>
  <c r="Q421" i="3"/>
  <c r="P421" i="3"/>
  <c r="N421" i="3"/>
  <c r="L421" i="3"/>
  <c r="J421" i="3"/>
  <c r="H421" i="3"/>
  <c r="D421" i="3"/>
  <c r="Q420" i="3"/>
  <c r="P420" i="3"/>
  <c r="N420" i="3"/>
  <c r="L420" i="3"/>
  <c r="J420" i="3"/>
  <c r="H420" i="3"/>
  <c r="D420" i="3"/>
  <c r="Q419" i="3"/>
  <c r="P419" i="3"/>
  <c r="L419" i="3"/>
  <c r="H419" i="3"/>
  <c r="F419" i="3"/>
  <c r="N419" i="3" s="1"/>
  <c r="D419" i="3"/>
  <c r="Q418" i="3"/>
  <c r="P418" i="3"/>
  <c r="L418" i="3"/>
  <c r="H418" i="3"/>
  <c r="F418" i="3"/>
  <c r="N418" i="3" s="1"/>
  <c r="D418" i="3"/>
  <c r="Q417" i="3"/>
  <c r="P417" i="3"/>
  <c r="L417" i="3"/>
  <c r="H417" i="3"/>
  <c r="F417" i="3"/>
  <c r="N417" i="3" s="1"/>
  <c r="D417" i="3"/>
  <c r="Q416" i="3"/>
  <c r="P416" i="3"/>
  <c r="L416" i="3"/>
  <c r="H416" i="3"/>
  <c r="F416" i="3"/>
  <c r="N416" i="3" s="1"/>
  <c r="D416" i="3"/>
  <c r="Q415" i="3"/>
  <c r="P415" i="3"/>
  <c r="N415" i="3"/>
  <c r="L415" i="3"/>
  <c r="J415" i="3"/>
  <c r="H415" i="3"/>
  <c r="D415" i="3"/>
  <c r="Q414" i="3"/>
  <c r="P414" i="3"/>
  <c r="N414" i="3"/>
  <c r="L414" i="3"/>
  <c r="J414" i="3"/>
  <c r="H414" i="3"/>
  <c r="D414" i="3"/>
  <c r="Q413" i="3"/>
  <c r="P413" i="3"/>
  <c r="N413" i="3"/>
  <c r="L413" i="3"/>
  <c r="J413" i="3"/>
  <c r="H413" i="3"/>
  <c r="D413" i="3"/>
  <c r="Q412" i="3"/>
  <c r="P412" i="3"/>
  <c r="N412" i="3"/>
  <c r="L412" i="3"/>
  <c r="J412" i="3"/>
  <c r="H412" i="3"/>
  <c r="D412" i="3"/>
  <c r="Q411" i="3"/>
  <c r="P411" i="3"/>
  <c r="L411" i="3"/>
  <c r="H411" i="3"/>
  <c r="F411" i="3"/>
  <c r="N411" i="3" s="1"/>
  <c r="D411" i="3"/>
  <c r="Q410" i="3"/>
  <c r="P410" i="3"/>
  <c r="L410" i="3"/>
  <c r="H410" i="3"/>
  <c r="F410" i="3"/>
  <c r="N410" i="3" s="1"/>
  <c r="D410" i="3"/>
  <c r="Q409" i="3"/>
  <c r="P409" i="3"/>
  <c r="N409" i="3"/>
  <c r="L409" i="3"/>
  <c r="J409" i="3"/>
  <c r="H409" i="3"/>
  <c r="D409" i="3"/>
  <c r="Q408" i="3"/>
  <c r="P408" i="3"/>
  <c r="N408" i="3"/>
  <c r="L408" i="3"/>
  <c r="J408" i="3"/>
  <c r="H408" i="3"/>
  <c r="D408" i="3"/>
  <c r="Q407" i="3"/>
  <c r="P407" i="3"/>
  <c r="N407" i="3"/>
  <c r="L407" i="3"/>
  <c r="J407" i="3"/>
  <c r="H407" i="3"/>
  <c r="D407" i="3"/>
  <c r="N694" i="3" l="1"/>
  <c r="N423" i="3"/>
  <c r="N504" i="3" s="1"/>
  <c r="J457" i="3"/>
  <c r="J480" i="3"/>
  <c r="J410" i="3"/>
  <c r="J411" i="3"/>
  <c r="J416" i="3"/>
  <c r="J417" i="3"/>
  <c r="J418" i="3"/>
  <c r="J419" i="3"/>
  <c r="H423" i="3"/>
  <c r="P423" i="3"/>
  <c r="P504" i="3" s="1"/>
  <c r="H424" i="3"/>
  <c r="P424" i="3"/>
  <c r="J426" i="3"/>
  <c r="H438" i="3"/>
  <c r="H504" i="3" s="1"/>
  <c r="P438" i="3"/>
  <c r="L457" i="3"/>
  <c r="L469" i="3"/>
  <c r="J477" i="3"/>
  <c r="L479" i="3"/>
  <c r="L480" i="3"/>
  <c r="L481" i="3"/>
  <c r="L486" i="3"/>
  <c r="J490" i="3"/>
  <c r="J498" i="3"/>
  <c r="H539" i="3"/>
  <c r="H559" i="3" s="1"/>
  <c r="H560" i="3" s="1"/>
  <c r="P539" i="3"/>
  <c r="P559" i="3" s="1"/>
  <c r="H540" i="3"/>
  <c r="P540" i="3"/>
  <c r="H545" i="3"/>
  <c r="P545" i="3"/>
  <c r="H581" i="3"/>
  <c r="H599" i="3" s="1"/>
  <c r="P581" i="3"/>
  <c r="P599" i="3" s="1"/>
  <c r="L585" i="3"/>
  <c r="J689" i="3"/>
  <c r="J694" i="3" s="1"/>
  <c r="L690" i="3"/>
  <c r="L694" i="3" s="1"/>
  <c r="H692" i="3"/>
  <c r="P692" i="3"/>
  <c r="P694" i="3" s="1"/>
  <c r="N469" i="3"/>
  <c r="N481" i="3"/>
  <c r="N585" i="3"/>
  <c r="N599" i="3" s="1"/>
  <c r="N690" i="3"/>
  <c r="J692" i="3"/>
  <c r="N457" i="3"/>
  <c r="N479" i="3"/>
  <c r="N486" i="3"/>
  <c r="L424" i="3"/>
  <c r="L504" i="3" s="1"/>
  <c r="L438" i="3"/>
  <c r="H457" i="3"/>
  <c r="H469" i="3"/>
  <c r="P469" i="3"/>
  <c r="H479" i="3"/>
  <c r="P479" i="3"/>
  <c r="H480" i="3"/>
  <c r="H481" i="3"/>
  <c r="P481" i="3"/>
  <c r="H486" i="3"/>
  <c r="P486" i="3"/>
  <c r="L539" i="3"/>
  <c r="L559" i="3" s="1"/>
  <c r="L540" i="3"/>
  <c r="L545" i="3"/>
  <c r="L581" i="3"/>
  <c r="L599" i="3" s="1"/>
  <c r="H585" i="3"/>
  <c r="P585" i="3"/>
  <c r="H690" i="3"/>
  <c r="H694" i="3" s="1"/>
  <c r="L692" i="3"/>
  <c r="H600" i="3" l="1"/>
  <c r="Q600" i="3" s="1"/>
  <c r="H505" i="3"/>
  <c r="I695" i="3"/>
  <c r="K393" i="3" l="1"/>
  <c r="K392" i="3"/>
  <c r="K387" i="3"/>
  <c r="K386" i="3"/>
  <c r="K388" i="3" s="1"/>
  <c r="K381" i="3"/>
  <c r="K380" i="3"/>
  <c r="K379" i="3"/>
  <c r="K378" i="3"/>
  <c r="K377" i="3"/>
  <c r="K376" i="3"/>
  <c r="K375" i="3"/>
  <c r="K374" i="3"/>
  <c r="K373" i="3"/>
  <c r="K372" i="3"/>
  <c r="K371" i="3"/>
  <c r="E370" i="3"/>
  <c r="K370" i="3" s="1"/>
  <c r="K369" i="3"/>
  <c r="K368" i="3"/>
  <c r="K367" i="3"/>
  <c r="K366" i="3"/>
  <c r="K365" i="3"/>
  <c r="K364" i="3"/>
  <c r="K363" i="3"/>
  <c r="K382" i="3" l="1"/>
  <c r="K349" i="3"/>
  <c r="K348" i="3"/>
  <c r="K347" i="3"/>
  <c r="K346" i="3"/>
  <c r="K345" i="3"/>
  <c r="K344" i="3"/>
  <c r="K343" i="3"/>
  <c r="K342" i="3"/>
  <c r="K341" i="3"/>
  <c r="K340" i="3"/>
  <c r="K350" i="3" s="1"/>
  <c r="K339"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38" i="3" s="1"/>
  <c r="K304" i="3"/>
  <c r="K305" i="3" s="1"/>
  <c r="K301" i="3"/>
  <c r="K300" i="3"/>
  <c r="K299" i="3"/>
  <c r="K298" i="3"/>
  <c r="K297" i="3"/>
  <c r="K296" i="3"/>
  <c r="K295" i="3"/>
  <c r="K294" i="3"/>
  <c r="K293" i="3"/>
  <c r="K292" i="3"/>
  <c r="K291" i="3"/>
  <c r="K290" i="3"/>
  <c r="K289" i="3"/>
  <c r="K288" i="3"/>
  <c r="K287" i="3"/>
  <c r="K286" i="3"/>
  <c r="K285" i="3"/>
  <c r="K284" i="3"/>
  <c r="K302" i="3" s="1"/>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82" i="3" s="1"/>
  <c r="K249" i="3"/>
  <c r="K248" i="3"/>
  <c r="K247" i="3"/>
  <c r="K246" i="3"/>
  <c r="K245" i="3"/>
  <c r="K250" i="3" s="1"/>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244" i="3" s="1"/>
  <c r="L115" i="3" l="1"/>
  <c r="K9" i="3"/>
  <c r="K32" i="3"/>
  <c r="K33" i="3"/>
  <c r="K34" i="3"/>
  <c r="K35" i="3"/>
  <c r="K36" i="3"/>
  <c r="K37" i="3"/>
  <c r="K31" i="3"/>
  <c r="K30" i="3"/>
  <c r="K15" i="3"/>
  <c r="K8" i="3"/>
  <c r="K17" i="3"/>
  <c r="K18" i="3"/>
  <c r="K111" i="3"/>
  <c r="K112" i="3"/>
  <c r="K113" i="3"/>
  <c r="K114" i="3"/>
  <c r="K24" i="3" l="1"/>
  <c r="K25" i="3"/>
  <c r="K26" i="3"/>
  <c r="K27" i="3"/>
  <c r="K28" i="3"/>
  <c r="K29" i="3"/>
  <c r="L96" i="3" l="1"/>
  <c r="C17" i="4" s="1"/>
  <c r="K23" i="3" l="1"/>
  <c r="K22" i="3"/>
  <c r="K10" i="3"/>
  <c r="K11" i="3"/>
  <c r="K12" i="3"/>
  <c r="K13" i="3"/>
  <c r="K14" i="3"/>
  <c r="K16" i="3"/>
  <c r="K19" i="3"/>
  <c r="K20" i="3"/>
  <c r="K21" i="3"/>
  <c r="L38" i="3" l="1"/>
  <c r="C10" i="4" s="1"/>
  <c r="K110" i="3"/>
  <c r="K109" i="3"/>
  <c r="K41" i="3"/>
  <c r="K7" i="3"/>
  <c r="K108" i="3"/>
  <c r="K107" i="3"/>
  <c r="K106" i="3"/>
  <c r="K105" i="3"/>
  <c r="K104" i="3"/>
  <c r="K103" i="3"/>
  <c r="K102" i="3"/>
  <c r="K101" i="3"/>
  <c r="K100" i="3"/>
  <c r="K99" i="3"/>
  <c r="K132" i="3"/>
  <c r="K131" i="3"/>
  <c r="K130" i="3"/>
  <c r="K129" i="3"/>
  <c r="K128" i="3"/>
  <c r="K127" i="3"/>
  <c r="K126" i="3"/>
  <c r="K93" i="3"/>
  <c r="K94" i="3"/>
  <c r="K6" i="3"/>
  <c r="K125" i="3"/>
  <c r="K124" i="3"/>
  <c r="K123" i="3"/>
  <c r="K122" i="3"/>
  <c r="K121" i="3"/>
  <c r="K120" i="3"/>
  <c r="K119" i="3"/>
  <c r="K118"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5" i="3"/>
  <c r="L29" i="3" l="1"/>
  <c r="L30" i="3" s="1"/>
  <c r="L114" i="3"/>
  <c r="L113" i="3" s="1"/>
  <c r="L132" i="3"/>
  <c r="L95" i="3"/>
  <c r="M95" i="3" s="1"/>
  <c r="C13" i="4" s="1"/>
  <c r="C18" i="4" s="1"/>
  <c r="C6" i="4" l="1"/>
  <c r="C11" i="4" s="1"/>
  <c r="C19" i="4" s="1"/>
  <c r="M29" i="3"/>
</calcChain>
</file>

<file path=xl/sharedStrings.xml><?xml version="1.0" encoding="utf-8"?>
<sst xmlns="http://schemas.openxmlformats.org/spreadsheetml/2006/main" count="7648" uniqueCount="3051">
  <si>
    <t>Amount</t>
  </si>
  <si>
    <t>Scrap</t>
  </si>
  <si>
    <t>No.</t>
  </si>
  <si>
    <t>Nos.</t>
  </si>
  <si>
    <t>Mtr.</t>
  </si>
  <si>
    <t>kg</t>
  </si>
  <si>
    <t>S.n.</t>
  </si>
  <si>
    <t xml:space="preserve">Item Description </t>
  </si>
  <si>
    <t>Unit</t>
  </si>
  <si>
    <t>No</t>
  </si>
  <si>
    <t>Set</t>
  </si>
  <si>
    <t>Obsolete</t>
  </si>
  <si>
    <t>ACSR Panther Conductor</t>
  </si>
  <si>
    <t>Nos</t>
  </si>
  <si>
    <t>Abstract for stock &amp; T&amp;P Item</t>
  </si>
  <si>
    <t>Sl. No.</t>
  </si>
  <si>
    <t>Particulars</t>
  </si>
  <si>
    <t>Stock Item</t>
  </si>
  <si>
    <t>Useable</t>
  </si>
  <si>
    <t>unservicable</t>
  </si>
  <si>
    <t>Obosolete</t>
  </si>
  <si>
    <t>Non Moving</t>
  </si>
  <si>
    <t>Total A</t>
  </si>
  <si>
    <t>T&amp;P Item</t>
  </si>
  <si>
    <t>Total B</t>
  </si>
  <si>
    <t>Grand Total A+B</t>
  </si>
  <si>
    <t>Book Value per Unit</t>
  </si>
  <si>
    <t>Total Cost</t>
  </si>
  <si>
    <t>Item code</t>
  </si>
  <si>
    <t>Unservicable</t>
  </si>
  <si>
    <t>Quantity</t>
  </si>
  <si>
    <t>Helmet yellow</t>
  </si>
  <si>
    <t>Name of Circle/ Zone :- Haldwani / Kumaon                                                                                                                                                 Name of Substation :- 132 KV S/s Bageshwar</t>
  </si>
  <si>
    <t>Transformer Oil</t>
  </si>
  <si>
    <t>Ltr</t>
  </si>
  <si>
    <t>Kmtrs</t>
  </si>
  <si>
    <t>Four Bolted PG Clamp For ACSR Panther To Panther Conductor</t>
  </si>
  <si>
    <t>120 KN Disc Insualtor</t>
  </si>
  <si>
    <t>Tension Fitting (120 kn) for Panther conductor complete</t>
  </si>
  <si>
    <t>Mid Span Joint for Panther conductor</t>
  </si>
  <si>
    <t>Reparing Sleve for Panther</t>
  </si>
  <si>
    <t xml:space="preserve">Mid Span Joint for Earth Wire </t>
  </si>
  <si>
    <t>mtr</t>
  </si>
  <si>
    <t>Damage and Broken DB Type tpwer cross arm pieces</t>
  </si>
  <si>
    <t>Double tension fitting 120 KN Panther</t>
  </si>
  <si>
    <t>Set.</t>
  </si>
  <si>
    <t>Single tension fitting 120 KN Panther</t>
  </si>
  <si>
    <t>Ciling Fan (Bajaj)</t>
  </si>
  <si>
    <t xml:space="preserve">Meggar 5KV </t>
  </si>
  <si>
    <t xml:space="preserve">Meggar 1KV </t>
  </si>
  <si>
    <t>Automatic capacitor and Tand delta measuring kit</t>
  </si>
  <si>
    <t>Digital Multimeter</t>
  </si>
  <si>
    <t>Leakage teaster (tong type)</t>
  </si>
  <si>
    <t>Selective level meter</t>
  </si>
  <si>
    <t>Signal Generator</t>
  </si>
  <si>
    <t>Micro ohm meter</t>
  </si>
  <si>
    <t>D-spanner set (Insulated)</t>
  </si>
  <si>
    <t>Ring Spanner set (Insulated)</t>
  </si>
  <si>
    <t>Torque Wrench set</t>
  </si>
  <si>
    <t>insulating gloves</t>
  </si>
  <si>
    <t>Helmates</t>
  </si>
  <si>
    <t>Spliced ladders (5 Mtrs)</t>
  </si>
  <si>
    <t>Spliced ladders (10 Mtrs)</t>
  </si>
  <si>
    <t>Spliced ladders (20 Mtrs)</t>
  </si>
  <si>
    <t>Polymide or Braided white nylon rope 20 mm</t>
  </si>
  <si>
    <t>Gapless Zinc oxide LA Tester</t>
  </si>
  <si>
    <t>Oil BDV Kit 0-80 KV</t>
  </si>
  <si>
    <t xml:space="preserve">Gas Evacuvating and Refilling device </t>
  </si>
  <si>
    <t>Gas leakage Moniter</t>
  </si>
  <si>
    <t>Circuit breaker analyzer</t>
  </si>
  <si>
    <t>Portable partial discharge Monitering System</t>
  </si>
  <si>
    <t>Dew Point meter</t>
  </si>
  <si>
    <t xml:space="preserve">Gas Mask </t>
  </si>
  <si>
    <t>Primary Injection Set 1000Amp</t>
  </si>
  <si>
    <t>Table T-9</t>
  </si>
  <si>
    <t>Computer Table Stylo</t>
  </si>
  <si>
    <t>Bravo Revolving Mid Back</t>
  </si>
  <si>
    <t>Bravo Visitor Chair</t>
  </si>
  <si>
    <t>Chair Diva 704GR</t>
  </si>
  <si>
    <t>Storewel KD Plain (4 Shelves)</t>
  </si>
  <si>
    <t>4 Drawers Vertical Filling Cabinets</t>
  </si>
  <si>
    <t>4 Door Book Case</t>
  </si>
  <si>
    <t>KD Plain (4 Shelves)</t>
  </si>
  <si>
    <t>Table T-8</t>
  </si>
  <si>
    <t xml:space="preserve">Senate Conference Table </t>
  </si>
  <si>
    <t>CPU Trolly</t>
  </si>
  <si>
    <t>Conference Table Talk 10 Seater Boat Convex</t>
  </si>
  <si>
    <t>Conference Chair Kareena (PCH 9P02TC)</t>
  </si>
  <si>
    <t>Pisa CPR CT 03</t>
  </si>
  <si>
    <t>Slim Line with Locker</t>
  </si>
  <si>
    <t>Premium Lounge Sofa 2 str</t>
  </si>
  <si>
    <t>Eudora King Bed</t>
  </si>
  <si>
    <t>Pillo Apollo (43*69 cm)</t>
  </si>
  <si>
    <t>Blanket (@ 12%)</t>
  </si>
  <si>
    <t>Bed Sheet (@ 5%)</t>
  </si>
  <si>
    <t>Matress</t>
  </si>
  <si>
    <t xml:space="preserve">Cushion Stool rev. w/o Back </t>
  </si>
  <si>
    <t>T-102</t>
  </si>
  <si>
    <t>Matrix 3 Seater Common arm W/O Chushion</t>
  </si>
  <si>
    <t>Syncronizing Trolley</t>
  </si>
  <si>
    <t>Moveable Ladder of Suitable Capicity for 132KV&amp;33 KV GIS room.</t>
  </si>
  <si>
    <t>T&amp;P at 132 KV Substation Bageshwar</t>
  </si>
  <si>
    <t>T&amp;P at 132 KV Substation Bageshwar (Line)</t>
  </si>
  <si>
    <t>Polymide or Braided white nylon rope 12 mm</t>
  </si>
  <si>
    <t>Polymide or Braided white nylon rope 14 mm</t>
  </si>
  <si>
    <t>Bolted type come along clamp 7 bolts for ACSR Panther conductor</t>
  </si>
  <si>
    <t>Single sleeve pully open type 5 ton capacity</t>
  </si>
  <si>
    <t>Double sleeve pully open type 5 ton capacity</t>
  </si>
  <si>
    <t>12 MM Steel rope</t>
  </si>
  <si>
    <t>D-Shackle 3 ton</t>
  </si>
  <si>
    <t>D-Shackle 6.5 ton</t>
  </si>
  <si>
    <t>Sefety belt PN 17 full body</t>
  </si>
  <si>
    <t>Poly propylene rope 24 mm ,220 Mtr.</t>
  </si>
  <si>
    <t>Bundle</t>
  </si>
  <si>
    <t>Poly propylene rope 20 mm ,220 Mtr.</t>
  </si>
  <si>
    <t>Steel rope endless siling 10 ton capacity 1.5 mtr.</t>
  </si>
  <si>
    <t>Steel rope endless siling 10 ton capacity 3 mtr</t>
  </si>
  <si>
    <t>Name of Circle/ Zone :- Haldwani/Kumaon                                 Name of Substation :- 132 KV S/s Bageshwar</t>
  </si>
  <si>
    <t>PP2P204009</t>
  </si>
  <si>
    <t>PP2P204007</t>
  </si>
  <si>
    <t>PP2P203003</t>
  </si>
  <si>
    <t>PP1P126005</t>
  </si>
  <si>
    <t>PP3P301001</t>
  </si>
  <si>
    <t>PP3P301005</t>
  </si>
  <si>
    <t>Come along clamp 4 bolted type suitable for 7/10 earth wire</t>
  </si>
  <si>
    <t>PP1P148017</t>
  </si>
  <si>
    <t>PP1P148016</t>
  </si>
  <si>
    <t>PP0P001013</t>
  </si>
  <si>
    <t>PP0P001004</t>
  </si>
  <si>
    <t>PP0P021012</t>
  </si>
  <si>
    <t>PP1P123002</t>
  </si>
  <si>
    <t>PP2P203004</t>
  </si>
  <si>
    <t>PP1P126017</t>
  </si>
  <si>
    <t>PP0P021008</t>
  </si>
  <si>
    <t>PP0P015014</t>
  </si>
  <si>
    <t>PP0P015015</t>
  </si>
  <si>
    <t>PP0P015007</t>
  </si>
  <si>
    <t>Tension Fitting for GI Earthwire</t>
  </si>
  <si>
    <t>Flexible Copper Bond for Earthing</t>
  </si>
  <si>
    <t>VV2V204001</t>
  </si>
  <si>
    <t>PP2P220004</t>
  </si>
  <si>
    <t>FF4F403007</t>
  </si>
  <si>
    <t>DD0D002006</t>
  </si>
  <si>
    <t>PP2P205005</t>
  </si>
  <si>
    <t>PP1P114034</t>
  </si>
  <si>
    <t>PP1P115008</t>
  </si>
  <si>
    <t>PP1P103002</t>
  </si>
  <si>
    <t>PP3P301013</t>
  </si>
  <si>
    <t>PP1P122003</t>
  </si>
  <si>
    <t>PP1P122004</t>
  </si>
  <si>
    <t>DD0D002003</t>
  </si>
  <si>
    <t>DD0D004013</t>
  </si>
  <si>
    <t>PP1P126027</t>
  </si>
  <si>
    <t>PP4P402002</t>
  </si>
  <si>
    <t>PP4P426006</t>
  </si>
  <si>
    <t>PP4P414001</t>
  </si>
  <si>
    <t>PP4P426005</t>
  </si>
  <si>
    <t>PP4P433005</t>
  </si>
  <si>
    <t>PP4P411002</t>
  </si>
  <si>
    <t>PP4P415003</t>
  </si>
  <si>
    <t>PP4P417003</t>
  </si>
  <si>
    <t>PP4P420001</t>
  </si>
  <si>
    <t>PP4P419001</t>
  </si>
  <si>
    <t>PP4P404002</t>
  </si>
  <si>
    <t>AA0A002004</t>
  </si>
  <si>
    <t>II0I006001</t>
  </si>
  <si>
    <t>II0I001003</t>
  </si>
  <si>
    <t>II5I501005</t>
  </si>
  <si>
    <t>II5I502005</t>
  </si>
  <si>
    <t>II5I501010</t>
  </si>
  <si>
    <t>II3I301004</t>
  </si>
  <si>
    <t>II3I302004</t>
  </si>
  <si>
    <t>II3I301009</t>
  </si>
  <si>
    <t>FF0F015002</t>
  </si>
  <si>
    <t>PP0P016004</t>
  </si>
  <si>
    <t>PP0P015008</t>
  </si>
  <si>
    <t>PP0P017008</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</si>
  <si>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</si>
  <si>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</si>
  <si>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</si>
  <si>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</si>
  <si>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</si>
  <si>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</si>
  <si>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</si>
  <si>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</si>
  <si>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</si>
  <si>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</si>
  <si>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</si>
  <si>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</si>
  <si>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Control Room and other indore area LED Lights </t>
  </si>
  <si>
    <t>Damaged 132 kv LA AIS Type ( Broken In pieces)</t>
  </si>
  <si>
    <t>Damaged 132 kv CVT AIS Type ( Broken In pieces)</t>
  </si>
  <si>
    <t xml:space="preserve">Damaged 132 kv  CVT &amp; LA  Structure AIS Type </t>
  </si>
  <si>
    <t>Kg.</t>
  </si>
  <si>
    <t>Damaged &amp; Bended M.S. angle &amp; pipe Bar</t>
  </si>
  <si>
    <t>Damage and Broken GI tower pieces</t>
  </si>
  <si>
    <t>Disc Insulator</t>
  </si>
  <si>
    <t>Damage &amp; broken GI gantry Pieces</t>
  </si>
  <si>
    <t xml:space="preserve">Defective &amp; Damaged120 AH 12 V Lead Acid Battery </t>
  </si>
  <si>
    <t>Defective AC Input Contactor</t>
  </si>
  <si>
    <t>Defective Auxilliary Contactor</t>
  </si>
  <si>
    <t>Damaged Solenaid coil assembly</t>
  </si>
  <si>
    <t>KK0K003001</t>
  </si>
  <si>
    <t>MM2M202017</t>
  </si>
  <si>
    <t>VV2V210002</t>
  </si>
  <si>
    <t xml:space="preserve">Defective 80 mm NB Butterfly Valve </t>
  </si>
  <si>
    <t>VV6V507003</t>
  </si>
  <si>
    <t>PP1P126023</t>
  </si>
  <si>
    <t>PP4P401001</t>
  </si>
  <si>
    <t>PP4P403001</t>
  </si>
  <si>
    <t>PP4P428001</t>
  </si>
  <si>
    <t>PP4P428002</t>
  </si>
  <si>
    <t>PP4P430001</t>
  </si>
  <si>
    <t xml:space="preserve"> Dressing Table with stool</t>
  </si>
  <si>
    <t>PP4P431005</t>
  </si>
  <si>
    <t>PP4P434001</t>
  </si>
  <si>
    <t>LL5L501005</t>
  </si>
  <si>
    <t>LL5L501006</t>
  </si>
  <si>
    <t>LL5L501001</t>
  </si>
  <si>
    <t>DD0D007026</t>
  </si>
  <si>
    <t>LL5L501004</t>
  </si>
  <si>
    <t>FF0F050030</t>
  </si>
  <si>
    <t>FF2F204002</t>
  </si>
  <si>
    <t>PP4P408023</t>
  </si>
  <si>
    <t>PP4P409005</t>
  </si>
  <si>
    <t>PP4P402004</t>
  </si>
  <si>
    <t>PP4P408021</t>
  </si>
  <si>
    <t>PP4P426007</t>
  </si>
  <si>
    <t>NN5N504003</t>
  </si>
  <si>
    <t>SS7S702001</t>
  </si>
  <si>
    <t>TT1T101018</t>
  </si>
  <si>
    <t>NN5N506012</t>
  </si>
  <si>
    <t>ZZ3Z006001</t>
  </si>
  <si>
    <t>DD1D101015</t>
  </si>
  <si>
    <t>ZZ2Z005003</t>
  </si>
  <si>
    <t>FF0F050031</t>
  </si>
  <si>
    <t>FF0F050044</t>
  </si>
  <si>
    <t>PP0P018009</t>
  </si>
  <si>
    <t>PP0P015003</t>
  </si>
  <si>
    <t>PP0P017010</t>
  </si>
  <si>
    <t>3 Bolted PG Clamp Panther to Panther</t>
  </si>
  <si>
    <t>P G Clamp Suitable for Single Zebra ACSR</t>
  </si>
  <si>
    <t>132 KV Tee Connector Suitable for Single Panther ACSR</t>
  </si>
  <si>
    <t>132 KV Tee Connector Suitable for Single Zebra ACSR</t>
  </si>
  <si>
    <t>33 KV Tee Connector Suitable for Single Zebra ACSR</t>
  </si>
  <si>
    <t>Online Leakage Arrester Kit</t>
  </si>
  <si>
    <t>Silica Gel (In Blue Colour)</t>
  </si>
  <si>
    <t xml:space="preserve"> Old &amp; Used 33 KV GIS Type single phase current transformers  (CT Ratio400-200-100/1) (Capital)</t>
  </si>
  <si>
    <t>DCR type Tower cross arm pieces (capital)</t>
  </si>
  <si>
    <t>Name of  Division:- O&amp;M Almora                                                                                                                                                                                                   Month : July- 2026</t>
  </si>
  <si>
    <t xml:space="preserve"> Stock &amp; T&amp;P  Material Up To : 22 July 2026 of Sri Mukesh Kumar Pandey J.E.  At 132 KV Substation Bageshwar</t>
  </si>
  <si>
    <t>Stock &amp; T&amp;P Material Up To: 22 July -2026 of Sri Chandra Shekhar Bhatt JE  132 Kv Ranikhet-Bageshwar Line</t>
  </si>
  <si>
    <t>Name of  Division:- O&amp;M Almora                                                                                                  Month  : July- 2026</t>
  </si>
  <si>
    <t>Format of Monthly Inventory for Uploading on PTCUL Website</t>
  </si>
  <si>
    <t>Name of Circle/ Zone:- Kuman Zone</t>
  </si>
  <si>
    <t>Name of Substation</t>
  </si>
  <si>
    <t>132 Kv Bazpur</t>
  </si>
  <si>
    <t>Name of Division:- 132 Kv Kashipur</t>
  </si>
  <si>
    <t>Month of</t>
  </si>
  <si>
    <t>Name of Sub-Division:-</t>
  </si>
  <si>
    <t xml:space="preserve"> Bazpur</t>
  </si>
  <si>
    <t xml:space="preserve">SR.
No. </t>
  </si>
  <si>
    <t>Item Code</t>
  </si>
  <si>
    <t>item Description</t>
  </si>
  <si>
    <t xml:space="preserve">Quantity </t>
  </si>
  <si>
    <t xml:space="preserve">Book Value per Unit </t>
  </si>
  <si>
    <t xml:space="preserve">Unserviceable </t>
  </si>
  <si>
    <t xml:space="preserve">Non-Moving </t>
  </si>
  <si>
    <t xml:space="preserve">Scrap </t>
  </si>
  <si>
    <t>CC3C316008</t>
  </si>
  <si>
    <t>Turfer gatted tray 6"</t>
  </si>
  <si>
    <t>CC3C316009</t>
  </si>
  <si>
    <t>Turfer gatted tray 5"</t>
  </si>
  <si>
    <t>AA0A002011</t>
  </si>
  <si>
    <t xml:space="preserve">ACSR weasel conductor </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</si>
  <si>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</si>
  <si>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</si>
  <si>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</si>
  <si>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</si>
  <si>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</si>
  <si>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</si>
  <si>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</si>
  <si>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</si>
  <si>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</si>
  <si>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</si>
  <si>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</si>
  <si>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 xml:space="preserve">Nut &amp; Bolts with washer </t>
  </si>
  <si>
    <t>MT.</t>
  </si>
  <si>
    <t>MM3M306008</t>
  </si>
  <si>
    <t xml:space="preserve">Power fector meter 400/1A with S/ switch </t>
  </si>
  <si>
    <t>II0I005001</t>
  </si>
  <si>
    <t>P.G. clamps for Zebra to Zebra</t>
  </si>
  <si>
    <t>II0I005002</t>
  </si>
  <si>
    <t>P.G. clamps for Zebra to Panther</t>
  </si>
  <si>
    <t>II0I001007</t>
  </si>
  <si>
    <t>70 KN Disc Insulator</t>
  </si>
  <si>
    <t>MM3M302005</t>
  </si>
  <si>
    <t>Digital Voltmeter (Rating 132000/110Volt) Auxiliary Supply 110V DC</t>
  </si>
  <si>
    <t>MM3M303009</t>
  </si>
  <si>
    <t>Digital Ammeters (Rating 200/1A) Auxiliary Supply 110V DC</t>
  </si>
  <si>
    <t>Digital Voltmeter (Rating 33000/110Volt) Auxiliary Supply 110V DC</t>
  </si>
  <si>
    <t>II1I103003</t>
  </si>
  <si>
    <t>Fired C - Wedge connectors suitable for Deer to panther ACSR conductor</t>
  </si>
  <si>
    <t>II1I104002</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</si>
  <si>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</si>
  <si>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</si>
  <si>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</si>
  <si>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</si>
  <si>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</si>
  <si>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</si>
  <si>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</si>
  <si>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</si>
  <si>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</si>
  <si>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</si>
  <si>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</si>
  <si>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KK0K005001</t>
  </si>
  <si>
    <t>33 KV LA</t>
  </si>
  <si>
    <t>AA0A002003</t>
  </si>
  <si>
    <t>ACSR Zebra Conductor</t>
  </si>
  <si>
    <t>Km.</t>
  </si>
  <si>
    <t>FF4F403003</t>
  </si>
  <si>
    <t>Flexible copper bond</t>
  </si>
  <si>
    <t>FF2F202001</t>
  </si>
  <si>
    <t>M S Earth Flat (FL-75X10)</t>
  </si>
  <si>
    <t>MT</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</si>
  <si>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</si>
  <si>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</si>
  <si>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</si>
  <si>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</si>
  <si>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</si>
  <si>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</si>
  <si>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</si>
  <si>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</si>
  <si>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</si>
  <si>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</si>
  <si>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</si>
  <si>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</si>
  <si>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</si>
  <si>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</si>
  <si>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</si>
  <si>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</si>
  <si>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</si>
  <si>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CC0C001013</t>
  </si>
  <si>
    <t>6 X 2.5 mm2 Control Cable (armoured)</t>
  </si>
  <si>
    <t>10 X 2.5 mm2 Control Cable (armoured)</t>
  </si>
  <si>
    <t>Disc Insulator 120 KN</t>
  </si>
  <si>
    <t>Supply of ACSR Zebra Conductor</t>
  </si>
  <si>
    <t>Round pol old and used</t>
  </si>
  <si>
    <t>CC0C001020</t>
  </si>
  <si>
    <t>2 x 2.5mm control cable armourd</t>
  </si>
  <si>
    <t>CC0C001018</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</si>
  <si>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</si>
  <si>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</si>
  <si>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</si>
  <si>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</si>
  <si>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</si>
  <si>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</si>
  <si>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</si>
  <si>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</si>
  <si>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</si>
  <si>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JJ3J301005</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</si>
  <si>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</si>
  <si>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</si>
  <si>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</si>
  <si>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</si>
  <si>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</si>
  <si>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 xml:space="preserve">ACSR Panther Conductor </t>
  </si>
  <si>
    <t>Km</t>
  </si>
  <si>
    <t>2X2.5mm Control cable (Armoured)</t>
  </si>
  <si>
    <t>4X2.5mm Control cable (Armoured)</t>
  </si>
  <si>
    <t>6X2.5mm Control cable (Armoured)</t>
  </si>
  <si>
    <t>10X2.5mm Control cable (Armoured)</t>
  </si>
  <si>
    <t xml:space="preserve">C - Wedge clamps suitable for Zebra to panther conductor </t>
  </si>
  <si>
    <t>NN0N001008</t>
  </si>
  <si>
    <t>33 KV Tripper Feeder Control &amp; Rellay panel</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</si>
  <si>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</si>
  <si>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</si>
  <si>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</si>
  <si>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</si>
  <si>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</si>
  <si>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</si>
  <si>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</si>
  <si>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</si>
  <si>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</si>
  <si>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FF0F050010</t>
  </si>
  <si>
    <t xml:space="preserve">132 KV Isolator Structure old and used </t>
  </si>
  <si>
    <t>132 KV  Isolator Jaw &amp; blade complete old and used</t>
  </si>
  <si>
    <t>Limit Switch for PRV,2NO,2NC suitable for 40MVA T/F</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</si>
  <si>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</si>
  <si>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</si>
  <si>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</si>
  <si>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</si>
  <si>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</si>
  <si>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</si>
  <si>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</si>
  <si>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</si>
  <si>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</si>
  <si>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SS5S501014</t>
  </si>
  <si>
    <t>33 KV Isolator clamps suitable for twin ACSR Zebra conductor</t>
  </si>
  <si>
    <t>33 Kv Isolator blades, 1600 capacity complete as per sample</t>
  </si>
  <si>
    <t>33 Kv Isolator Jaws, 1600 capacity with heavy duty aluminium pad for termination 7 G.I. frame as per sample</t>
  </si>
  <si>
    <t>EHV Grade Transformer oil (COLUMBIA-OIL)</t>
  </si>
  <si>
    <t>SF - 6 Gas</t>
  </si>
  <si>
    <t>Silica gel of best quality</t>
  </si>
  <si>
    <t xml:space="preserve">33 KV Isolator Blades, 1600A </t>
  </si>
  <si>
    <t xml:space="preserve">33 KV Isolator Jows, 1600A </t>
  </si>
  <si>
    <t xml:space="preserve">33 KV Isolator Blades, 800A </t>
  </si>
  <si>
    <t xml:space="preserve">33 KV Isolator Jows, 800A </t>
  </si>
  <si>
    <t>132 KV LA old and used</t>
  </si>
  <si>
    <t>LED Tube light 20 watt</t>
  </si>
  <si>
    <t>CRC  Standard size</t>
  </si>
  <si>
    <t>132 KV Isolator clamp suitable for ACSR panther conductor</t>
  </si>
  <si>
    <t>33 KV Isolator clamp suitable for ACSR panther conductor</t>
  </si>
  <si>
    <t>33 KV Isolator clamp suitable for ACSR Zebra conductor</t>
  </si>
  <si>
    <t>33 KV CT clamp suitable for Single ACSR Zebra conductor</t>
  </si>
  <si>
    <t>33 KV CT clamp suitable for Single ACSR Panther conductor</t>
  </si>
  <si>
    <t>33 KV Isolator clamp suitable for Twin ACSR Zebra conductor</t>
  </si>
  <si>
    <t>33 KV CT clamp suitable for Twin ACSR Zebra conductor</t>
  </si>
  <si>
    <t>132 KV Isolator clamp for Zebra conductor</t>
  </si>
  <si>
    <t>33 KV CT Clamp  for zebra conductor</t>
  </si>
  <si>
    <t>132kv post insuator old and used</t>
  </si>
  <si>
    <t>Total</t>
  </si>
  <si>
    <t>132 Kv PT Old &amp; Used</t>
  </si>
  <si>
    <t>145KV CT 800/400/200/1A, Accuracy class 1 (old and used)</t>
  </si>
  <si>
    <t>132KV CVT Accuracy class 0.5  (old and used)</t>
  </si>
  <si>
    <t>33 KV Circuit breaker old and used</t>
  </si>
  <si>
    <t>SS4S402013</t>
  </si>
  <si>
    <t>33 Kv Isolator Blade (damaged)</t>
  </si>
  <si>
    <t>48 volt Battery set damaged</t>
  </si>
  <si>
    <t>YY1Y103001</t>
  </si>
  <si>
    <t xml:space="preserve">48 volt Battery charger damaged </t>
  </si>
  <si>
    <t>JJ0J005007</t>
  </si>
  <si>
    <t>33 Kv SF-6 Circuit breaker old &amp; used and totally damaged</t>
  </si>
  <si>
    <t xml:space="preserve">No. </t>
  </si>
  <si>
    <t>VV3V305006</t>
  </si>
  <si>
    <t>33 KV CT 800/400/1A (old &amp; Dismantled)</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</si>
  <si>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</si>
  <si>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</si>
  <si>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</si>
  <si>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</si>
  <si>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</si>
  <si>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</si>
  <si>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</si>
  <si>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</si>
  <si>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</si>
  <si>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</si>
  <si>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</si>
  <si>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</si>
  <si>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</si>
  <si>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</si>
  <si>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</si>
  <si>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</si>
  <si>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</si>
  <si>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120 KN Disc Insulator old and used</t>
  </si>
  <si>
    <t xml:space="preserve">Deer conductor in pics Old and used </t>
  </si>
  <si>
    <t>mtr.</t>
  </si>
  <si>
    <t>C - wedge clamps Deer to panther Old &amp; used deteriorated</t>
  </si>
  <si>
    <t>33 KV CT Old and Used  (oil leakage)</t>
  </si>
  <si>
    <t>33 KV LA Old &amp; used and Defective</t>
  </si>
  <si>
    <t>Structure of 145KV PI, 120 KV LA, 33 Kv LA etc. old and used</t>
  </si>
  <si>
    <t>33 KV Isolator 1600A Old and used</t>
  </si>
  <si>
    <t>Structure of 145kv PI. old and used</t>
  </si>
  <si>
    <t>Kg</t>
  </si>
  <si>
    <t>132 KV CT difected, old and used</t>
  </si>
  <si>
    <t>36 KV CT (3 core (1 Phase) 400/200/1A A/C  0.2S</t>
  </si>
  <si>
    <t>36 KV CT (3 core (1 Phase) 800/400/200/1A.  A/C  0.2S</t>
  </si>
  <si>
    <t>120KV LA</t>
  </si>
  <si>
    <t>145KV Isolator Blade  1250Amp.</t>
  </si>
  <si>
    <t>145KV Isolator Jaw with clamp  1250Amp.</t>
  </si>
  <si>
    <t>33KV Isolator Blade  1600Amp.</t>
  </si>
  <si>
    <t>33KV Isolator Jaws  1600Amp.</t>
  </si>
  <si>
    <t>145 KV CVT, 1-Ph. 0.2S/0.2 Accuracy class without Junction box.</t>
  </si>
  <si>
    <t>Power cable Aluminium (PVC),3.5 core,70 sqmm (rmoured)</t>
  </si>
  <si>
    <t>145 KV CT 50/1A A/c 0.2S</t>
  </si>
  <si>
    <t>36 Kv CT( 4 coe) 1600/800/400/1A A/c 0.2S</t>
  </si>
  <si>
    <t>Control Cable 10 X 2.5mm</t>
  </si>
  <si>
    <t>Control Cable 2 X 2.5mm</t>
  </si>
  <si>
    <t>Control Cable 4 X 2.5mm</t>
  </si>
  <si>
    <t>Control Cable 6 X 2.5mm</t>
  </si>
  <si>
    <t>33 KV PT (1 Ph) 3 Core 0.2/0.2S A/C Without JN Box</t>
  </si>
  <si>
    <t>Transformer oil</t>
  </si>
  <si>
    <t>PSDF Stock  Inventory</t>
  </si>
  <si>
    <t>132 KV Current Transformer 1 Ph (1600/800/400/1A)</t>
  </si>
  <si>
    <t>T&amp;P Inventory</t>
  </si>
  <si>
    <t>Alumminum leaders 20' long</t>
  </si>
  <si>
    <t xml:space="preserve">Sefety Helmet </t>
  </si>
  <si>
    <t>PP3P301006</t>
  </si>
  <si>
    <t>Sefety Belt Half Body</t>
  </si>
  <si>
    <t>PP3P301012</t>
  </si>
  <si>
    <t>Hand gloves</t>
  </si>
  <si>
    <t>Pair</t>
  </si>
  <si>
    <t>PP1P144008</t>
  </si>
  <si>
    <t>Earth discharge rod</t>
  </si>
  <si>
    <t xml:space="preserve">Rain coats </t>
  </si>
  <si>
    <t>Centor Table</t>
  </si>
  <si>
    <t>PP4P403003</t>
  </si>
  <si>
    <t xml:space="preserve">Double Bed </t>
  </si>
  <si>
    <t>PP3P301008</t>
  </si>
  <si>
    <t>Gum Boot</t>
  </si>
  <si>
    <t>Table With both side drawer of size 5X3 feet</t>
  </si>
  <si>
    <t>Computer Table with one side drawer on steel frame</t>
  </si>
  <si>
    <t>PP4P401018</t>
  </si>
  <si>
    <t>Steel Almihra with 5 shelves (20-22 gauge)</t>
  </si>
  <si>
    <t>Steel Bench with 3 seats</t>
  </si>
  <si>
    <t>PP4P408020</t>
  </si>
  <si>
    <t>High back Executive chair</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</si>
  <si>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</si>
  <si>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</si>
  <si>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</si>
  <si>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</si>
  <si>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</si>
  <si>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</si>
  <si>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</si>
  <si>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</si>
  <si>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Earth resistance tester</t>
  </si>
  <si>
    <t>D - Spaner set (insulated), Ring spaner set (insulated) &amp; Torque wrench set complete with all standard size</t>
  </si>
  <si>
    <t>Leakage tester (tong type)</t>
  </si>
  <si>
    <t>SF - 6 gas refilling device</t>
  </si>
  <si>
    <t>Insulating Gloves</t>
  </si>
  <si>
    <t>Helmet</t>
  </si>
  <si>
    <t>Oil sampling Bottel stainless steel 02 Liter Capacity</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</si>
  <si>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</si>
  <si>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</si>
  <si>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</si>
  <si>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</si>
  <si>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</si>
  <si>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</si>
  <si>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</si>
  <si>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</si>
  <si>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</si>
  <si>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</si>
  <si>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</si>
  <si>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</si>
  <si>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</si>
  <si>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JE Name</t>
  </si>
  <si>
    <t xml:space="preserve">AE Name </t>
  </si>
  <si>
    <t>EE Name</t>
  </si>
  <si>
    <t>Name of Circle/ Zone:-400kv o&amp;m circle Kashipur</t>
  </si>
  <si>
    <t>132kv s/s Bazpur</t>
  </si>
  <si>
    <t>Name of Division  132 KV O&amp;M Div. PTCUL KASHIPUR</t>
  </si>
  <si>
    <t>Stock Inventory for the Month of  July.2026</t>
  </si>
  <si>
    <t xml:space="preserve">Book Value </t>
  </si>
  <si>
    <t>Unit Rate</t>
  </si>
  <si>
    <t>Double Tention fitting for panther conductor.</t>
  </si>
  <si>
    <t>II3I305004</t>
  </si>
  <si>
    <t>Armour rod for panther conductor.</t>
  </si>
  <si>
    <t>II3I308001</t>
  </si>
  <si>
    <t>Bird Guard.</t>
  </si>
  <si>
    <t>Mid span joint for panther conductor.</t>
  </si>
  <si>
    <t>Ropier slave for panther conductor.</t>
  </si>
  <si>
    <t>FF0F013001</t>
  </si>
  <si>
    <t>A' Normal Tower.</t>
  </si>
  <si>
    <t>KG</t>
  </si>
  <si>
    <t>120 KN Disc Insulator.</t>
  </si>
  <si>
    <t>ACSR Panther conductor old &amp; used.</t>
  </si>
  <si>
    <t>KM</t>
  </si>
  <si>
    <t>Single tension fitting suitable for panther conductor.</t>
  </si>
  <si>
    <t>Repair sleeve.</t>
  </si>
  <si>
    <t>II5I504005</t>
  </si>
  <si>
    <t>single Suspension fitting suitable for panther conductor.</t>
  </si>
  <si>
    <t>Repair sleeve suitable for ACSR panther conductor.</t>
  </si>
  <si>
    <t>II3I302009</t>
  </si>
  <si>
    <t>Repair sleeve suitable for GS earth wire 7/10 SWG.</t>
  </si>
  <si>
    <t>II3I304001</t>
  </si>
  <si>
    <t>GI hanger as per sample.</t>
  </si>
  <si>
    <t>II3I303004</t>
  </si>
  <si>
    <t>Vibration damper suitable for ACSR Panther conductor.</t>
  </si>
  <si>
    <t>II3I303009</t>
  </si>
  <si>
    <t>vibration damper suitable for GS earth wire 7/10 SWG.</t>
  </si>
  <si>
    <t>Tension fitting suitable for GS Earth 7/10 SWG.</t>
  </si>
  <si>
    <t>II5I504010</t>
  </si>
  <si>
    <t>Suspension fitting suitable for GS earth wire 7/10SWG.</t>
  </si>
  <si>
    <t xml:space="preserve"> Scrap</t>
  </si>
  <si>
    <t>AA1A101002</t>
  </si>
  <si>
    <t>Earth wire old &amp; used,rusted and deteriorated</t>
  </si>
  <si>
    <t>70KN Disc insulator ( Damaged , old &amp; used)</t>
  </si>
  <si>
    <t xml:space="preserve"> T&amp;P</t>
  </si>
  <si>
    <t>PP0P012005</t>
  </si>
  <si>
    <t>Binacular camera</t>
  </si>
  <si>
    <t>2S Account Of M&amp;R July 2026 at 132 KV S/S Bhowali</t>
  </si>
  <si>
    <t>Item No</t>
  </si>
  <si>
    <t xml:space="preserve">Item Code </t>
  </si>
  <si>
    <t xml:space="preserve">Name of Article </t>
  </si>
  <si>
    <t>Qty</t>
  </si>
  <si>
    <t xml:space="preserve">Unit </t>
  </si>
  <si>
    <t>Rate</t>
  </si>
  <si>
    <t>Obslete</t>
  </si>
  <si>
    <t>scrap</t>
  </si>
  <si>
    <t>Total Qty</t>
  </si>
  <si>
    <t xml:space="preserve"> </t>
  </si>
  <si>
    <t>ACSR PANTHER CONDUCTOR IN PIECES(DIFF)</t>
  </si>
  <si>
    <t>km</t>
  </si>
  <si>
    <t>Zebra Conductor (old &amp;used in pieces )</t>
  </si>
  <si>
    <t>Zebra Conductor (old &amp;used in pieces )damaged</t>
  </si>
  <si>
    <t>CC3C307001</t>
  </si>
  <si>
    <t>400 sqmm 33KV XLPE Cable termination kit (outdoor type)</t>
  </si>
  <si>
    <t>33 KV XLPE Cable 400 sqmmTermination kit (3 phase out door type )</t>
  </si>
  <si>
    <t>CC3C313014</t>
  </si>
  <si>
    <t>CABLE  GLAND 2 CORE</t>
  </si>
  <si>
    <t>NO</t>
  </si>
  <si>
    <t>CC3C313009</t>
  </si>
  <si>
    <t>CABLE  GLAND 4 CORE</t>
  </si>
  <si>
    <t>CC3C313008</t>
  </si>
  <si>
    <t>CABLE  GLAND 6 CORE</t>
  </si>
  <si>
    <t>CC3C313007</t>
  </si>
  <si>
    <t>CABLE  GLAND 10 CORE</t>
  </si>
  <si>
    <t>4 core control cable (2.5 mm)</t>
  </si>
  <si>
    <t>CC0C001008</t>
  </si>
  <si>
    <t>PVC Armored control cable 2.5mmx10core</t>
  </si>
  <si>
    <t>CC3C316003</t>
  </si>
  <si>
    <t xml:space="preserve"> Perforated Cable tray</t>
  </si>
  <si>
    <t>CC1C104012</t>
  </si>
  <si>
    <t>Aluminium power cable (pvc type) 3.5x35 sqmm</t>
  </si>
  <si>
    <t>FF1F107004</t>
  </si>
  <si>
    <t>Ancor bolt 25 mm</t>
  </si>
  <si>
    <t>FF1F101068</t>
  </si>
  <si>
    <t>Galv/Zinc nut&amp; bolts</t>
  </si>
  <si>
    <t>NUTS AND BOLTS OFF SIZE</t>
  </si>
  <si>
    <t>FF0F050011</t>
  </si>
  <si>
    <t>GI Structure of 145 kv Tandom Isolator</t>
  </si>
  <si>
    <t>MS flat 75x12 mm</t>
  </si>
  <si>
    <t>mt</t>
  </si>
  <si>
    <t>FF3F303002</t>
  </si>
  <si>
    <t>STAY ROD 22 MM</t>
  </si>
  <si>
    <t>Copper Bond (braided &amp; flexible round copper wire with copper lug) in 0.5 meter length</t>
  </si>
  <si>
    <t>132 KV DISK INSULATOR(120 KN)</t>
  </si>
  <si>
    <t>II5I504006</t>
  </si>
  <si>
    <t>suspension fitting for panther conductor</t>
  </si>
  <si>
    <t>II5I501004</t>
  </si>
  <si>
    <t>bolted type tension fitting for ACSR zebra coductor</t>
  </si>
  <si>
    <t>PG Clamp Panther to Panther (O&amp;U melted)</t>
  </si>
  <si>
    <t>PG Clamp Panther to Zebra (O&amp;U melted)</t>
  </si>
  <si>
    <t>PG Clamp Zebra to Zebra (O&amp;U melted)</t>
  </si>
  <si>
    <t>C-Wedge Clamps Zebra to Zebra conductor</t>
  </si>
  <si>
    <t>C-Wedge Clamps Zebra to Panther conductor</t>
  </si>
  <si>
    <t>II1I105001</t>
  </si>
  <si>
    <t>C-Wedge Clamps for Panther to Panther conductor</t>
  </si>
  <si>
    <t>II1I110001</t>
  </si>
  <si>
    <t>33 KV Bus post Insulators Clamp for Panther conductor</t>
  </si>
  <si>
    <t>JJ6J601035</t>
  </si>
  <si>
    <t>TRIPPING PLATE FOR 11 KV</t>
  </si>
  <si>
    <t>JJ8J801006</t>
  </si>
  <si>
    <t xml:space="preserve">CB Clamps for Zebra conductor </t>
  </si>
  <si>
    <t>JJ8J801010</t>
  </si>
  <si>
    <t>132 KV circuit breaker clamp for Panther conductor(Old/used melted)</t>
  </si>
  <si>
    <t>JJ8J801011</t>
  </si>
  <si>
    <t>33 kv circuit breaker clamp (O&amp;U melted)</t>
  </si>
  <si>
    <t>JJ5J501010</t>
  </si>
  <si>
    <t>33 KV ABB Make spring charging motor(O&amp;U Burnt)</t>
  </si>
  <si>
    <t>JJ3J301014</t>
  </si>
  <si>
    <t>Spring charge motor 132 kv ABB C.B</t>
  </si>
  <si>
    <t>Spring charge motor 132 kv ABB C.B(old &amp; burnt)</t>
  </si>
  <si>
    <t>JJ3J301007</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</si>
  <si>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</si>
  <si>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</si>
  <si>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</si>
  <si>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</si>
  <si>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</si>
  <si>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</si>
  <si>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</si>
  <si>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</si>
  <si>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JJ7J701004</t>
  </si>
  <si>
    <t>Limit switch 33 kv ABB CB</t>
  </si>
  <si>
    <t>JJ7J707001</t>
  </si>
  <si>
    <t>SF-6 Gas</t>
  </si>
  <si>
    <t>132 KV LA(O&amp;U)(ELPRO INT LTD /2000)</t>
  </si>
  <si>
    <t>33 KV LA (old &amp; used)</t>
  </si>
  <si>
    <t>33 KV LA (old &amp; used)Defective</t>
  </si>
  <si>
    <t>KK0K006001</t>
  </si>
  <si>
    <t>LA Counter meter(Old &amp;Used damaged )</t>
  </si>
  <si>
    <t>KK3K201009</t>
  </si>
  <si>
    <t>LA Clamp for panther Conductor</t>
  </si>
  <si>
    <t>MM0M007002</t>
  </si>
  <si>
    <t>bucholz relay (old &amp; defective)</t>
  </si>
  <si>
    <t>MM0M007005</t>
  </si>
  <si>
    <t xml:space="preserve">PRV Relay for 20 MVA T/F 132/33 KV </t>
  </si>
  <si>
    <t>MM0M007004</t>
  </si>
  <si>
    <t>OSR Relay for 5MVA T/F</t>
  </si>
  <si>
    <t>OSR relay (old &amp; defective)</t>
  </si>
  <si>
    <t>NN5N504002</t>
  </si>
  <si>
    <t>CONTRACTOR 63 A 3 PHASE</t>
  </si>
  <si>
    <t>PP4P406024</t>
  </si>
  <si>
    <t>FEBRICATED FANCING IRON SUPPORT</t>
  </si>
  <si>
    <t>QQ0Q001001</t>
  </si>
  <si>
    <t xml:space="preserve"> Fire fighting cylinder 50 ltr(leakage &amp; rusty)</t>
  </si>
  <si>
    <t>SS0S003005</t>
  </si>
  <si>
    <t>145 KV Tandom Isolator</t>
  </si>
  <si>
    <t>SS0S003003</t>
  </si>
  <si>
    <t>145 KV BUS isolator</t>
  </si>
  <si>
    <t>SS5S501017</t>
  </si>
  <si>
    <t>132 KV Isolator clamp for Panther conductor(Old/used melted)</t>
  </si>
  <si>
    <t>SS5S501019</t>
  </si>
  <si>
    <t>33 kv isolator clamp (O&amp;U melted)</t>
  </si>
  <si>
    <t>SS5S501015</t>
  </si>
  <si>
    <t>Isolator clamp for Zebra conductor</t>
  </si>
  <si>
    <t>SS6S610020</t>
  </si>
  <si>
    <t>HRC FUSE 10 AMP</t>
  </si>
  <si>
    <t>SS6S610019</t>
  </si>
  <si>
    <t>HRC FUSE 16 AMP</t>
  </si>
  <si>
    <t>SS6S610013</t>
  </si>
  <si>
    <t>HRC FUSE 25 AMP</t>
  </si>
  <si>
    <t>SS6S610010</t>
  </si>
  <si>
    <t>HRC FUSE 32 AMP</t>
  </si>
  <si>
    <t>SS6S610008</t>
  </si>
  <si>
    <t>HRC FUSE 63 AMP</t>
  </si>
  <si>
    <t>SS6S610006</t>
  </si>
  <si>
    <t>HRC FUSE 80 AMP</t>
  </si>
  <si>
    <t>SS6S617003</t>
  </si>
  <si>
    <t>SEMI CONDUCTOR FUSE 50A GSA 50</t>
  </si>
  <si>
    <t>SS4S402020</t>
  </si>
  <si>
    <t>33 KV Bus Post   insulators.</t>
  </si>
  <si>
    <t>VV1V103020</t>
  </si>
  <si>
    <t>20 MVA T/F Clamps (brass ) (old &amp; used damaged )</t>
  </si>
  <si>
    <t>VV5V407023</t>
  </si>
  <si>
    <t>Current Transformer Clamp for panther Conductor</t>
  </si>
  <si>
    <t>CT clamp for Panther conductor</t>
  </si>
  <si>
    <t>CT clamp for Zebra conductor</t>
  </si>
  <si>
    <t>132 KV CT clamp for Panther conductor(Old/used melted)</t>
  </si>
  <si>
    <t>33 kv CT clamp (O&amp;U melted)</t>
  </si>
  <si>
    <t>VV5V406009</t>
  </si>
  <si>
    <t>CT TERMINAL LINK</t>
  </si>
  <si>
    <t>VV6V601005</t>
  </si>
  <si>
    <t>PT TERMINAL LINK</t>
  </si>
  <si>
    <t>132 KV CT Clamp Zebra conductor</t>
  </si>
  <si>
    <t>VV2V206001</t>
  </si>
  <si>
    <t>OTI meter old &amp;used</t>
  </si>
  <si>
    <t>VV2V207001</t>
  </si>
  <si>
    <t>WTI meter old &amp;used</t>
  </si>
  <si>
    <t>VV2V203001</t>
  </si>
  <si>
    <t>Silicagel in blue colour</t>
  </si>
  <si>
    <t>VV3V303005</t>
  </si>
  <si>
    <t>145KV (5 Core ) CT Single phase (ratio 200/100/1A) Accuracy class 0.2s</t>
  </si>
  <si>
    <t>VV3V303004</t>
  </si>
  <si>
    <t>132 KV CT Kapco make(400/200/1A) Accruacy 0.2</t>
  </si>
  <si>
    <t>VV4V305013</t>
  </si>
  <si>
    <t>33 KV CT 200/100 A (o/ u &amp; /hepta care power)</t>
  </si>
  <si>
    <t>Transformer oil Old &amp; Used(useable )</t>
  </si>
  <si>
    <t>ltr</t>
  </si>
  <si>
    <t>VV2V204007</t>
  </si>
  <si>
    <t>EMPTY OIL DRUM(UESABLE)</t>
  </si>
  <si>
    <t>EMPTY OIL DRUM</t>
  </si>
  <si>
    <t>VV2V204003</t>
  </si>
  <si>
    <t>OIL SAMPLING CONTAINER 2 LIT</t>
  </si>
  <si>
    <t>VV2V201003</t>
  </si>
  <si>
    <t>NITRIL GASKET8MM</t>
  </si>
  <si>
    <t>SPM</t>
  </si>
  <si>
    <t>CT Clamps (off size of different rating)</t>
  </si>
  <si>
    <t>VV5V406004</t>
  </si>
  <si>
    <t>CT/PT junction box (old &amp; used)</t>
  </si>
  <si>
    <t>YY0Y002006</t>
  </si>
  <si>
    <t>110 V EXCIDE BATTERY CELL 55 U/S</t>
  </si>
  <si>
    <t>set</t>
  </si>
  <si>
    <t>YY1Y107026</t>
  </si>
  <si>
    <t>CONTRACTOR 25 A 3 PHASE</t>
  </si>
  <si>
    <t>ZZ1Z001001</t>
  </si>
  <si>
    <t>Aluminium Scrap</t>
  </si>
  <si>
    <t>PURE TINING</t>
  </si>
  <si>
    <t>2S Account Of Capital July 2026 at 132 KV S/S Bhowali</t>
  </si>
  <si>
    <t>Armoured PVC Control Cable 2 Core 2.5 mm</t>
  </si>
  <si>
    <t>Armoured PVC Control Cable 4 Core 2.5 mm</t>
  </si>
  <si>
    <t>Armoured PVC Control Cable 6 Core 2.5 mm</t>
  </si>
  <si>
    <t xml:space="preserve"> 33 KV outdoor  Termination Kit for 33 kv XPLE copper power cable (1x400 sqmm)</t>
  </si>
  <si>
    <t>FF0F050042</t>
  </si>
  <si>
    <t>GI Lattice type 33 KV Isolator structure</t>
  </si>
  <si>
    <t>FF2F203004</t>
  </si>
  <si>
    <t>MS 33 Gantry Scrap</t>
  </si>
  <si>
    <t>JJ0J004003</t>
  </si>
  <si>
    <t>66 KV MOCB BHEL (Defective)</t>
  </si>
  <si>
    <t>JJ5J503006</t>
  </si>
  <si>
    <t xml:space="preserve">33 KV CB (O&amp;U)ALSTOM MAKE /2003 </t>
  </si>
  <si>
    <t>33 KV ABB Make Vacuum Circuit Breaker 3 Phase With support structure(old &amp; used)</t>
  </si>
  <si>
    <t>JJ5J501006</t>
  </si>
  <si>
    <t>33 KV ABB Make SF6 Circuit Breaker 3 Phase (Old &amp; used )</t>
  </si>
  <si>
    <t>MM0M001006</t>
  </si>
  <si>
    <t>RELAY ABB MAKE MODEL NO REL 511(O/U)(distance relay)</t>
  </si>
  <si>
    <t>MM0M002009</t>
  </si>
  <si>
    <t>RELAY  MAKE SIEMENS  Sr no GF 1504502721 (DIFFRENTIAL RELAY ) Diffective(booting problam)</t>
  </si>
  <si>
    <t>NN0N003003</t>
  </si>
  <si>
    <t>132  KV CONTROL LINE  PANEL  (WITHOUT RELAY  AND ENERGY METER)(O/U)</t>
  </si>
  <si>
    <t>NN0N002003</t>
  </si>
  <si>
    <t>132  KV RELAY LINE  PANEL  (WITHOUT RELAY  AND ENERGY METER)(O/U)</t>
  </si>
  <si>
    <t>NN1N101003</t>
  </si>
  <si>
    <t>15 MVA T/F C&amp;R Panel (old &amp; used )(without electrical relay &amp; enaegy meter )</t>
  </si>
  <si>
    <t>NN1N102005</t>
  </si>
  <si>
    <t>15 MVA T/F RTCC PANEL old &amp; used (With Electro Mechanical Relay)</t>
  </si>
  <si>
    <t>15 MVA T/F  CONTROL AND RELAY  PANEL (WITHOUT RELAY  AND ENERGY METER)(O/U)</t>
  </si>
  <si>
    <t>NN0N003005</t>
  </si>
  <si>
    <t>33 KV CONTROL AND RELAY  TRIPLE FEDDER  PANEL (WITHOUT RELAY  AND ENERGY METER)(O/U)</t>
  </si>
  <si>
    <t>33 KV CONTROL AND RELAY  TRIPLE FEDDER  PANEL old &amp; used (With Electro Mechanical Relay)</t>
  </si>
  <si>
    <t>CTR 15 MVA T/F Tap Changer Panel old &amp; used (With Electro Mechanical Relay)</t>
  </si>
  <si>
    <t>5 MVA T/F Protection Panel old &amp; used (With Electro Mechanical Relay)</t>
  </si>
  <si>
    <t>NN5N507001</t>
  </si>
  <si>
    <t>132 KV Wave trap(Damaged)</t>
  </si>
  <si>
    <t>33 KV Wave trap</t>
  </si>
  <si>
    <t>NOS</t>
  </si>
  <si>
    <t>VV0V004001</t>
  </si>
  <si>
    <t xml:space="preserve">5MVA T/F 66/11 KV GEC Make(Old &amp; Used) </t>
  </si>
  <si>
    <t>VV0V003007</t>
  </si>
  <si>
    <t>5 MVA T/F 132/33 KV Single phase GEC Make with accessories(Old &amp;Used)</t>
  </si>
  <si>
    <t>5 MVA T/F 132/33 KV Single phase BBL Make with accessories(O /U &amp; Danaged)</t>
  </si>
  <si>
    <t>132 KV CT 200/100/50/1A SCT make year 2000 class 0.5A(dismantal &amp; leakage)</t>
  </si>
  <si>
    <t>VV3V305008</t>
  </si>
  <si>
    <t>36 KV (3 Core ) CT Single phase (Ratio 400/200/1A ) Accuracy class 0.2s</t>
  </si>
  <si>
    <t>36 KV (3 Core ) CT Single phase (Ratio 200/100/1A ) Accuracy class 0.2s</t>
  </si>
  <si>
    <t>33 KV CT 400/200/1 A make vishal T/F &amp; S G pvt ltd year 2003 class 0.2A(dismantal &amp; O/U)</t>
  </si>
  <si>
    <t>33 KV CT 400/200/1 A make SCT year  1981 class 0.5A(dismantal &amp; leakage)</t>
  </si>
  <si>
    <t>33 KV CT 400/200/1 A make Heptacare power equpiment  year 2006 class 0.2A(dismantal &amp; O/U)</t>
  </si>
  <si>
    <t>VV4V305014</t>
  </si>
  <si>
    <t>33 KV CT 100/50/1 A make ASEA CLASS 1A (dismantal &amp; O/U)</t>
  </si>
  <si>
    <t>VV6V505002</t>
  </si>
  <si>
    <t xml:space="preserve">36 KV PT Single Phase accuracy class 0.2 </t>
  </si>
  <si>
    <t>33 KV PT Single phase Make SCT year 1992 class 0.5 a(dismantal &amp; O/U)</t>
  </si>
  <si>
    <t>33 KV PT Single phase Make CGL class 1A(dismantal &amp; O/U)</t>
  </si>
  <si>
    <t>VV6V505001</t>
  </si>
  <si>
    <t>33KV PT Three phase make Ambarnath T/F &amp; Electrical class 0.5 A(dismantal &amp; O/U)</t>
  </si>
  <si>
    <t>YY0Y003005</t>
  </si>
  <si>
    <t>300 AH BATTERY OLD &amp; USED</t>
  </si>
  <si>
    <t>48 v 200 AH Battery charger Caldyne make  (old and used)</t>
  </si>
  <si>
    <t>YY0Y003027</t>
  </si>
  <si>
    <t>Woodan Battery  stand (old and used)</t>
  </si>
  <si>
    <t xml:space="preserve">ENERGY METER 3P4W  MAKE SECURE (New Dismanteled) </t>
  </si>
  <si>
    <t>ENERGY METER 3P4W  MAKE L&amp;T(O/U) TYPE ER 300P</t>
  </si>
  <si>
    <t>ENERGY METER 3P4W  MAKE SECURE (OLD &amp; USDE)</t>
  </si>
  <si>
    <t>5 MVA T/F 132/33 KV HV (132 kv)Side Bushing(old &amp;used)</t>
  </si>
  <si>
    <t>5 MVA T/F 132/33 KV HV Neutral Side Bushing with metal part (old&amp;used)</t>
  </si>
  <si>
    <t>5 MVA T/F 132/33 KV LV (33 kv )Side Bushing</t>
  </si>
  <si>
    <t>5 MVA T/F 132/33 KV TV (11 kv)Side Bushing</t>
  </si>
  <si>
    <t>Account PSDF  July 26 at 132 KV S/S Bhowali</t>
  </si>
  <si>
    <t>CC0C001006</t>
  </si>
  <si>
    <t>12x1.5mm2 cable (pvc)</t>
  </si>
  <si>
    <t>SS3S301009</t>
  </si>
  <si>
    <t>132 kv isolator earth switch</t>
  </si>
  <si>
    <t>VV3V303001</t>
  </si>
  <si>
    <t>132 kv CT 1 Phase Heptacare Power (1600/800/400/1A)</t>
  </si>
  <si>
    <t>Account April 26 to Sept 26 at 132 KV Kathgodam Bhowali Line</t>
  </si>
  <si>
    <t xml:space="preserve">ACSR Panther conductor </t>
  </si>
  <si>
    <t>ACSR Panther conductor in pieces (old and used )</t>
  </si>
  <si>
    <t>swg earth wire 7/10</t>
  </si>
  <si>
    <t xml:space="preserve">Galvanzed/Zinc coated Nut &amp; Bolts </t>
  </si>
  <si>
    <t>Galvianized Tower pieces X Type</t>
  </si>
  <si>
    <t>Galvianized Tower pieces (without lag)(old &amp; dismantal two set)</t>
  </si>
  <si>
    <t>Double Tension fitting for ACSR conductor</t>
  </si>
  <si>
    <t>Double Tension fitting for ACSR conductor(old &amp;used)</t>
  </si>
  <si>
    <t>Single Tension fitting 120KN for panther conductor</t>
  </si>
  <si>
    <t>Single Tension fitting for ACSR conductor (Old&amp; used)</t>
  </si>
  <si>
    <t>no</t>
  </si>
  <si>
    <t>Mid Span joint for ACSR Conductor</t>
  </si>
  <si>
    <t>Mid span joint for panther conductor</t>
  </si>
  <si>
    <t>Vibration Damper for panther conductor</t>
  </si>
  <si>
    <t>Vibration damper for Panther Conductor(Old &amp;used)</t>
  </si>
  <si>
    <t>Repair Sleeve for ACSR Conductor</t>
  </si>
  <si>
    <t>Repair sleeve panther conductor</t>
  </si>
  <si>
    <t>PG Clamp panther conductor</t>
  </si>
  <si>
    <t>120 KN disk insulator(old &amp; used)</t>
  </si>
  <si>
    <t>120 KN disk insulator(OLD &amp;USED)</t>
  </si>
  <si>
    <t>II2I202002</t>
  </si>
  <si>
    <t>Tension clamp swg earth wire</t>
  </si>
  <si>
    <t>Single tension fitting complete with arching horn</t>
  </si>
  <si>
    <t>Repair sleeve for panther coductor</t>
  </si>
  <si>
    <t>PG clamp panther to panther(O/D)</t>
  </si>
  <si>
    <t>PP0P010003</t>
  </si>
  <si>
    <t>turn buckle</t>
  </si>
  <si>
    <t xml:space="preserve"> 2T account July 26</t>
  </si>
  <si>
    <t>S.N</t>
  </si>
  <si>
    <t>Amt</t>
  </si>
  <si>
    <t>PP4P405001</t>
  </si>
  <si>
    <t>WOODEN RACK</t>
  </si>
  <si>
    <t>PP4P425012</t>
  </si>
  <si>
    <t>STEEL TABLE OF MICA</t>
  </si>
  <si>
    <t>PP4P424020</t>
  </si>
  <si>
    <t>OFFICE TABLE</t>
  </si>
  <si>
    <t>PP1P102013</t>
  </si>
  <si>
    <t>TOOL BOX</t>
  </si>
  <si>
    <t>PP1P134005</t>
  </si>
  <si>
    <t>BANCH VICE</t>
  </si>
  <si>
    <t>WALL CLOCK</t>
  </si>
  <si>
    <t>PP1P147006</t>
  </si>
  <si>
    <t>HAND DRILL MACHINE</t>
  </si>
  <si>
    <t>PP1P138008</t>
  </si>
  <si>
    <t>MECHANICAL HEAVY DUTY JACK 5 TON (DEF)</t>
  </si>
  <si>
    <t>PP0P003002</t>
  </si>
  <si>
    <t>CHAIN TACKLE  5 TON (DIF)</t>
  </si>
  <si>
    <t>PP1P109001</t>
  </si>
  <si>
    <t xml:space="preserve">NUMBER PUNCH </t>
  </si>
  <si>
    <t>PP1P148010</t>
  </si>
  <si>
    <t>AL - LADDER ONE PEACE U/S</t>
  </si>
  <si>
    <t>PP2P223007</t>
  </si>
  <si>
    <t>MOBILE PHONE NOKIA 3310</t>
  </si>
  <si>
    <t>STEEL TABLE WITH TEAK PLY</t>
  </si>
  <si>
    <t>PP4P410003</t>
  </si>
  <si>
    <t>STEEL CHAIR WITH ARM AND BACK</t>
  </si>
  <si>
    <t>DD0D001001</t>
  </si>
  <si>
    <t>DESKTOP COMPUTER</t>
  </si>
  <si>
    <t>DD0D001011</t>
  </si>
  <si>
    <t>TFT 39.5 CM MONITOR , MAKE HCL</t>
  </si>
  <si>
    <t>DD1D101006</t>
  </si>
  <si>
    <t>UPS 1.0 KVA 165 VAH</t>
  </si>
  <si>
    <t>DD0D005004</t>
  </si>
  <si>
    <t>BILINUGUAL KEYBOARD</t>
  </si>
  <si>
    <t>DD1D102011</t>
  </si>
  <si>
    <t>COMBO DRIVE</t>
  </si>
  <si>
    <t>DD2D201002</t>
  </si>
  <si>
    <t>MCAFEE ANTI VIRUS</t>
  </si>
  <si>
    <t>DD1D106003</t>
  </si>
  <si>
    <t>INTENAL MODEM 56 KBPS</t>
  </si>
  <si>
    <t>HAND GLOVE FOR 11 KV</t>
  </si>
  <si>
    <t>PP3P301004</t>
  </si>
  <si>
    <t>LEATHER SAFETY BELT WITH ROPE</t>
  </si>
  <si>
    <t>PP2P217001</t>
  </si>
  <si>
    <t>DRINKING WATER COOLER WITH AQUA GUARD</t>
  </si>
  <si>
    <t>HELMET ISI MARK</t>
  </si>
  <si>
    <t>PP1P149001</t>
  </si>
  <si>
    <t xml:space="preserve">BRASS EARTH CHAIN </t>
  </si>
  <si>
    <t>DD0D007004</t>
  </si>
  <si>
    <t>MULTIFUNCTION PRINTER SAMSUNG %C*4521 F SNO BP676ACZ900389 (DIFF)</t>
  </si>
  <si>
    <t>SINGLE SLEEVE PULLEY SET</t>
  </si>
  <si>
    <t>DOUBLE SLEEVE PULLEY SET</t>
  </si>
  <si>
    <t>PP0P021006</t>
  </si>
  <si>
    <t>TRIPEL SLEEVE PULLEY SET</t>
  </si>
  <si>
    <t>CUM ALONG CLAMP FOR PANTER CONDUCTOR</t>
  </si>
  <si>
    <t>PP1P142006</t>
  </si>
  <si>
    <t xml:space="preserve">CHARGABLE FOCUS TORCH </t>
  </si>
  <si>
    <t>PP1P134003</t>
  </si>
  <si>
    <t xml:space="preserve">OIL LIFTING MACHINE </t>
  </si>
  <si>
    <t>PP1P107013</t>
  </si>
  <si>
    <t>FLAT FILE</t>
  </si>
  <si>
    <t>PP1P107005</t>
  </si>
  <si>
    <t>ROUND FILE</t>
  </si>
  <si>
    <t>PP1P147004</t>
  </si>
  <si>
    <t xml:space="preserve">ELECTRIC HAMMER DRILL MACHINE  </t>
  </si>
  <si>
    <t xml:space="preserve">SAL WOOD SLEEPER </t>
  </si>
  <si>
    <t>WOODEN SLEEPER (DAMAGED)</t>
  </si>
  <si>
    <t>WOODEN PLANK (DAMAGED)</t>
  </si>
  <si>
    <t>PP1P124002</t>
  </si>
  <si>
    <t>1200 LPH FILTERATION MACHINE</t>
  </si>
  <si>
    <t>Motorized insulation Tester 5 kv (megger ) wako make)</t>
  </si>
  <si>
    <t>Digital Multi meter 600 volt 10 amp , 0.5% accuracy (Motwani make)</t>
  </si>
  <si>
    <t>PP1P144005</t>
  </si>
  <si>
    <t>Dischareg Road of 18 feet long</t>
  </si>
  <si>
    <t>PP1P102012</t>
  </si>
  <si>
    <t>Goti set complete (Tapariya make)</t>
  </si>
  <si>
    <t>PP1P114032</t>
  </si>
  <si>
    <t>D-- SPANNER SET (Tapariya make)</t>
  </si>
  <si>
    <t>PP1P115005</t>
  </si>
  <si>
    <t>Ring Spanner (Tapariya make)</t>
  </si>
  <si>
    <t>PORTABLE MEGGER (HAND OPRATED)</t>
  </si>
  <si>
    <t>PP2P202002</t>
  </si>
  <si>
    <t>EARTH RESISATANCE METER</t>
  </si>
  <si>
    <t>PP2P201002</t>
  </si>
  <si>
    <t xml:space="preserve">AC LEAKAGE CLAMP METER </t>
  </si>
  <si>
    <t>PP1P148003</t>
  </si>
  <si>
    <t>ALLUMINIUM  EXTENSION LADDER 36 FEET HIGHT(18 FEET EXTENSION )</t>
  </si>
  <si>
    <t>PP1P148013</t>
  </si>
  <si>
    <t>ALLUMINIUM   LADDER 6 FEET HIGHT</t>
  </si>
  <si>
    <t>WEIGHING MACHINE</t>
  </si>
  <si>
    <t>PP2P207001</t>
  </si>
  <si>
    <t>ANGLE GRINDER</t>
  </si>
  <si>
    <t>VACCUM CLEANER</t>
  </si>
  <si>
    <t>PP3P301020</t>
  </si>
  <si>
    <t>RAIN SUIT</t>
  </si>
  <si>
    <t>GUM BOOT</t>
  </si>
  <si>
    <t>SET</t>
  </si>
  <si>
    <t>PP3P301011</t>
  </si>
  <si>
    <t>INSULATION GLOVES 33 KV</t>
  </si>
  <si>
    <t>PP0P020002</t>
  </si>
  <si>
    <t>TURFER 5 TON</t>
  </si>
  <si>
    <t>PP0P021018</t>
  </si>
  <si>
    <t>CHAIN HOIST(PULLEY) 5 TON</t>
  </si>
  <si>
    <t>PP4P433002</t>
  </si>
  <si>
    <t>OFFICE TABLE WITH 3 DRAWER SIZE 5X3</t>
  </si>
  <si>
    <t>HIGH BACK CHAIR</t>
  </si>
  <si>
    <t>PP4P425005</t>
  </si>
  <si>
    <t>OFFICE TABLE 3 DRAWER SIZE 6X3</t>
  </si>
  <si>
    <t>OFFICE ALMIRAH SIZE 6.5X3</t>
  </si>
  <si>
    <t>PP4P406020</t>
  </si>
  <si>
    <t>DRAWER TYPE RACK</t>
  </si>
  <si>
    <t>PP4P410008</t>
  </si>
  <si>
    <t>STEEL BANCH</t>
  </si>
  <si>
    <t>VISITOR CHAIR</t>
  </si>
  <si>
    <t>Nokia 3 matte black Mobile Phone</t>
  </si>
  <si>
    <t>DD0D007022</t>
  </si>
  <si>
    <t>Multi fanction Printer Canon MF 3010</t>
  </si>
  <si>
    <t>NOKIA 105 SS Mobile Phone</t>
  </si>
  <si>
    <t>Bolted type come along clamp  , 7 boltes for panther  conductor</t>
  </si>
  <si>
    <t>nos</t>
  </si>
  <si>
    <t>PP0P017007</t>
  </si>
  <si>
    <t>Sling 18 mm 10 mtr</t>
  </si>
  <si>
    <t>PP0P017009</t>
  </si>
  <si>
    <t>sling 18 mm 5 mtr</t>
  </si>
  <si>
    <t>D - shackle 4.75 Ton</t>
  </si>
  <si>
    <t>safety belt fully body safety harness PN 42901)(Reputed make like karam etc)</t>
  </si>
  <si>
    <t>PP0P015017</t>
  </si>
  <si>
    <t>PP Rope 12 mm220 mtr</t>
  </si>
  <si>
    <t>PP Rope 20 mm220 mtr</t>
  </si>
  <si>
    <t>PP0P015005</t>
  </si>
  <si>
    <t>PP Rope 24 mm220 mtr</t>
  </si>
  <si>
    <t>Rain Coat &amp; Insulating Gum Boot</t>
  </si>
  <si>
    <t>Insulating Gloves(33 kv)</t>
  </si>
  <si>
    <t>Helmets</t>
  </si>
  <si>
    <t>PP4P403006</t>
  </si>
  <si>
    <t>Single Bed in wood finish in size 3x6 with box storage and back of size 3x6</t>
  </si>
  <si>
    <t>PP4P411010</t>
  </si>
  <si>
    <t>Side Table of size 21x16x12 with drawer and cabinet</t>
  </si>
  <si>
    <t>PP4P429009</t>
  </si>
  <si>
    <t>4 Seter Dining set complete with table with glass top4 nos cushioned chairs</t>
  </si>
  <si>
    <t>PP4P401022</t>
  </si>
  <si>
    <t>best quality 2 door wardobe in wood finish with drawers and hanging space in size 6x3 complete with locking system</t>
  </si>
  <si>
    <t>Non Contact High Voltage Detector &amp; Induced Voltage Detector</t>
  </si>
  <si>
    <t>PSDF 2T account July 26</t>
  </si>
  <si>
    <t xml:space="preserve">Qty </t>
  </si>
  <si>
    <t>Insulation tester 5 Kv (magger make)</t>
  </si>
  <si>
    <t>Oil BDV KIT(magger make)</t>
  </si>
  <si>
    <t>total</t>
  </si>
  <si>
    <t>Name of Circle/Zone: - Kumaun Zone                                                                                                                 Name of Sub Station- 132 Kv Sub station Jaspur</t>
  </si>
  <si>
    <t xml:space="preserve">Name of Division: - Mahuakheraganj                                                                                                                                    Month of-July 2026                                                                                      </t>
  </si>
  <si>
    <t xml:space="preserve">                                                                                                                                                                                                                                                                                           Month of:- Aug 2020</t>
  </si>
  <si>
    <t>S.No.</t>
  </si>
  <si>
    <t>Item Description</t>
  </si>
  <si>
    <t xml:space="preserve">Useable  </t>
  </si>
  <si>
    <t>UnserviceableDismantle/Incomplete/ Damage</t>
  </si>
  <si>
    <t>Book Value</t>
  </si>
  <si>
    <t>ACSR Conductor Panther</t>
  </si>
  <si>
    <t>CC1C103002</t>
  </si>
  <si>
    <t>Power Cable -440V LT - - 3.5x400 Sq. mm</t>
  </si>
  <si>
    <t>Mtr</t>
  </si>
  <si>
    <t>CC4C401001</t>
  </si>
  <si>
    <t>HF Cable -75 Ohm HP CABLE-</t>
  </si>
  <si>
    <t>FF7F702005</t>
  </si>
  <si>
    <t>MS Flat- 32x6mm</t>
  </si>
  <si>
    <t>II0I00I003</t>
  </si>
  <si>
    <t xml:space="preserve"> Disc Insulator  120 KN   Porceline</t>
  </si>
  <si>
    <t>1101001007</t>
  </si>
  <si>
    <t xml:space="preserve"> Disc Insulator   70 KN   </t>
  </si>
  <si>
    <t>1101006001</t>
  </si>
  <si>
    <t>PG Clamp  Panther-  Panther</t>
  </si>
  <si>
    <t xml:space="preserve"> C-wedge Clamp  Zebra-  Zebra</t>
  </si>
  <si>
    <t xml:space="preserve"> C-wedge Clamp  Panther-  Panther</t>
  </si>
  <si>
    <t xml:space="preserve">  Mid Span Joint   Panther</t>
  </si>
  <si>
    <t>II5I502004</t>
  </si>
  <si>
    <t xml:space="preserve">  Repair Sleeve   Panther</t>
  </si>
  <si>
    <t xml:space="preserve">  Single Tension Fitting   Zebra</t>
  </si>
  <si>
    <t>Circuit Breaker Sapres   132KV   110V DC Trip Coil</t>
  </si>
  <si>
    <t>33 Kv Lightening Arrester. @7930</t>
  </si>
  <si>
    <t xml:space="preserve"> Post Insulator 33KV</t>
  </si>
  <si>
    <t>VV1V103015</t>
  </si>
  <si>
    <t xml:space="preserve">  Terminal connector for bushing.  HV-40 MVA</t>
  </si>
  <si>
    <t>VV2V204015</t>
  </si>
  <si>
    <t>VV3V305005</t>
  </si>
  <si>
    <t xml:space="preserve">Current Transformer   33 KV   800-400/1A 3 core </t>
  </si>
  <si>
    <t>VV3V305010</t>
  </si>
  <si>
    <t xml:space="preserve">Current Transformer   33 KV   400/200/1A 3 core </t>
  </si>
  <si>
    <t xml:space="preserve"> CVT CVT - CVT 132 KV/110 Volt - 145kv </t>
  </si>
  <si>
    <t>VV1V103045</t>
  </si>
  <si>
    <t>Clamps and connector scrap</t>
  </si>
  <si>
    <t>FF4F402068</t>
  </si>
  <si>
    <t>Old &amp; used Bended tower Parts</t>
  </si>
  <si>
    <t>KG.</t>
  </si>
  <si>
    <t>QQ1Q104001</t>
  </si>
  <si>
    <t xml:space="preserve">Wire Mesh </t>
  </si>
  <si>
    <t>Old ,used &amp; rusted wire mesh</t>
  </si>
  <si>
    <t>II5I503003</t>
  </si>
  <si>
    <t>G.I. Hanger Suitable for 132 Kv Line (ACSR Panther).</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</si>
  <si>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</si>
  <si>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</si>
  <si>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</si>
  <si>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</si>
  <si>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</si>
  <si>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JJ5J501005</t>
  </si>
  <si>
    <t>Old Used &amp; diffective spring charge Motor for CB.</t>
  </si>
  <si>
    <t>no.</t>
  </si>
  <si>
    <t>33 Kv Current Transformer 1Ph 400/200/1Awith junction box ).2S</t>
  </si>
  <si>
    <t>Potential Transformer 1 Ph (0.2 Class) 33 Kv</t>
  </si>
  <si>
    <t>132 Kv Old &amp; used dismental Bended tower material.</t>
  </si>
  <si>
    <t xml:space="preserve"> Disc Insulator old &amp; used 70 KN   </t>
  </si>
  <si>
    <t>VV3V03003</t>
  </si>
  <si>
    <t xml:space="preserve">145KV (5 Core)Current Transformer (1-Phase) 400/200/1A </t>
  </si>
  <si>
    <t>VV6V503002</t>
  </si>
  <si>
    <t xml:space="preserve">145KV (5 Core)Capacitive Voltage Transformer 1-Ph. </t>
  </si>
  <si>
    <t xml:space="preserve">Anchor bolts. </t>
  </si>
  <si>
    <t xml:space="preserve">C-wedge Clamps for Zebra/Panther conductor. </t>
  </si>
  <si>
    <t xml:space="preserve">ACSR Zebra conductor (in 30 mtr. &amp; above Pcs.). </t>
  </si>
  <si>
    <t>CC3C307003</t>
  </si>
  <si>
    <t>33 KV Outdoor cable termination Kit suitable for 3 x 400 Sqmm. @17486.273</t>
  </si>
  <si>
    <t>N0.</t>
  </si>
  <si>
    <t>CC3C315006</t>
  </si>
  <si>
    <t>Lugs for 33 Kv cable size 3 x 400 Sqmm. @567.58</t>
  </si>
  <si>
    <t>SS4S402009</t>
  </si>
  <si>
    <t>Male contact armfoer 33 Kv centre break isolator (Elpro make). @ 20388.70</t>
  </si>
  <si>
    <t>SS4S402008</t>
  </si>
  <si>
    <t>Female contact armfoer 33 Kv centre break isolator (Elpro make). @ 20388.70</t>
  </si>
  <si>
    <t>SS4S402004</t>
  </si>
  <si>
    <t>Jaw for 33 Kv 800 Amp, isolator. @ 6844.94</t>
  </si>
  <si>
    <t>Blade for 33 Kv 800 Amp, isolator. @ 4887.62</t>
  </si>
  <si>
    <t>120 KV Surge Arrester/Lightening Arrester (Polymeric) @58705</t>
  </si>
  <si>
    <t>CC0C002013</t>
  </si>
  <si>
    <t>Control Cable Copper Aromoured (PVC) 2C x 2.5Sqmm. @143552.90</t>
  </si>
  <si>
    <t>CC0C002011</t>
  </si>
  <si>
    <t>Control Cable Copper Aromoured (PVC) 4C x 2.5Sqmm. @230182.60</t>
  </si>
  <si>
    <t>CC0C002018</t>
  </si>
  <si>
    <t>Control Cable Copper Aromoured (PVC) 6C x 2.5Sqmm. @322995.50</t>
  </si>
  <si>
    <t>Control Cable Copper Aromoured (PVC) 10C x 2.5Sqmm. @494726.80</t>
  </si>
  <si>
    <t>VV3V305004</t>
  </si>
  <si>
    <r>
      <t xml:space="preserve">33 KV CT Old &amp; used 400/200/1 (3 core). </t>
    </r>
    <r>
      <rPr>
        <b/>
        <sz val="12"/>
        <color indexed="8"/>
        <rFont val="Calibri"/>
        <family val="2"/>
      </rPr>
      <t>@ 7000</t>
    </r>
  </si>
  <si>
    <r>
      <t xml:space="preserve">Old used &amp; defective 33 KV CB. (Burst). </t>
    </r>
    <r>
      <rPr>
        <b/>
        <sz val="12"/>
        <color indexed="8"/>
        <rFont val="Calibri"/>
        <family val="2"/>
      </rPr>
      <t>@2500</t>
    </r>
    <r>
      <rPr>
        <sz val="12"/>
        <color indexed="8"/>
        <rFont val="Calibri"/>
        <family val="2"/>
      </rPr>
      <t>.</t>
    </r>
  </si>
  <si>
    <t>VV8V805002</t>
  </si>
  <si>
    <r>
      <t xml:space="preserve">PT 1-Ph. 33 KV/110Volt. (Burst). </t>
    </r>
    <r>
      <rPr>
        <b/>
        <sz val="12"/>
        <color indexed="8"/>
        <rFont val="Calibri"/>
        <family val="2"/>
      </rPr>
      <t>@ 1500</t>
    </r>
  </si>
  <si>
    <t>VV7V701006</t>
  </si>
  <si>
    <r>
      <t xml:space="preserve">132 KV CVT clamps suitable for zebra conductor </t>
    </r>
    <r>
      <rPr>
        <b/>
        <sz val="12"/>
        <rFont val="Calibri"/>
        <family val="2"/>
      </rPr>
      <t>@2849.70</t>
    </r>
  </si>
  <si>
    <r>
      <t xml:space="preserve">C wedge clamps for zebra/Panther conductor </t>
    </r>
    <r>
      <rPr>
        <b/>
        <sz val="12"/>
        <rFont val="Calibri"/>
        <family val="2"/>
      </rPr>
      <t>@2855.60</t>
    </r>
  </si>
  <si>
    <t>FF4F403001</t>
  </si>
  <si>
    <t>Copper Scrap</t>
  </si>
  <si>
    <t>FF4F402001</t>
  </si>
  <si>
    <t>JJ7J707005</t>
  </si>
  <si>
    <t>SF-6 Gas cylinder (3 Kg. Empty)</t>
  </si>
  <si>
    <t>KK2K103001</t>
  </si>
  <si>
    <t xml:space="preserve">LA Counter (burst &amp; burnt) </t>
  </si>
  <si>
    <r>
      <t>145 KV CVoT 1-ph (Accuracy class 0.5)</t>
    </r>
    <r>
      <rPr>
        <b/>
        <sz val="12"/>
        <rFont val="Calibri"/>
        <family val="2"/>
      </rPr>
      <t>@5000</t>
    </r>
  </si>
  <si>
    <r>
      <t xml:space="preserve">Good quality, reputed make 33 KV CT 1 Phase, ratio 800/400/1A, 3 core having accuracy class 0.2s. </t>
    </r>
    <r>
      <rPr>
        <b/>
        <sz val="12"/>
        <color indexed="8"/>
        <rFont val="Calibri"/>
        <family val="2"/>
      </rPr>
      <t>@92021.36</t>
    </r>
  </si>
  <si>
    <t>VV1V101035</t>
  </si>
  <si>
    <t>LV bushing set of rated Voltage-52KV, Rated Current-1250Amp having Standard- Is:2099/IEC 137 Mounting Angle-&lt;30⁰From I Having Weight-60 Kg. Approx set. @315101</t>
  </si>
  <si>
    <t>132 KV CT (burst and burnt)</t>
  </si>
  <si>
    <t>ZZ2Z005001</t>
  </si>
  <si>
    <r>
      <t xml:space="preserve">Oil Sampling Bottle Stainless Steel 02 Ltrs. Capacity. </t>
    </r>
    <r>
      <rPr>
        <b/>
        <sz val="12"/>
        <color indexed="8"/>
        <rFont val="Calibri"/>
        <family val="2"/>
      </rPr>
      <t>@23541</t>
    </r>
  </si>
  <si>
    <r>
      <t xml:space="preserve">132 KV Isolator Clamp. </t>
    </r>
    <r>
      <rPr>
        <b/>
        <sz val="12"/>
        <color indexed="8"/>
        <rFont val="Calibri"/>
        <family val="2"/>
      </rPr>
      <t>@2846.16</t>
    </r>
  </si>
  <si>
    <r>
      <t xml:space="preserve">132 KV CT/CVT Clamp. </t>
    </r>
    <r>
      <rPr>
        <b/>
        <sz val="12"/>
        <color indexed="8"/>
        <rFont val="Calibri"/>
        <family val="2"/>
      </rPr>
      <t>@2947.64</t>
    </r>
  </si>
  <si>
    <r>
      <t xml:space="preserve">132 KV CB clamp suitable for Zebra conductors. </t>
    </r>
    <r>
      <rPr>
        <b/>
        <sz val="12"/>
        <rFont val="Calibri"/>
        <family val="2"/>
      </rPr>
      <t>@2637.30</t>
    </r>
  </si>
  <si>
    <t>VV5V407031</t>
  </si>
  <si>
    <r>
      <t xml:space="preserve">132 KV Horizontal clamp suitable for Zebra conductors. </t>
    </r>
    <r>
      <rPr>
        <b/>
        <sz val="12"/>
        <rFont val="Calibri"/>
        <family val="2"/>
      </rPr>
      <t>@2715.18</t>
    </r>
  </si>
  <si>
    <r>
      <t xml:space="preserve">33 KV Isolator Clamp. </t>
    </r>
    <r>
      <rPr>
        <b/>
        <sz val="12"/>
        <color indexed="8"/>
        <rFont val="Calibri"/>
        <family val="2"/>
      </rPr>
      <t>@2566.50</t>
    </r>
  </si>
  <si>
    <r>
      <t xml:space="preserve">33 KV CB Clamp. </t>
    </r>
    <r>
      <rPr>
        <b/>
        <sz val="12"/>
        <color indexed="8"/>
        <rFont val="Calibri"/>
        <family val="2"/>
      </rPr>
      <t>@2849.70</t>
    </r>
  </si>
  <si>
    <r>
      <t xml:space="preserve">33 KV CT/CVT Clamp. </t>
    </r>
    <r>
      <rPr>
        <b/>
        <sz val="12"/>
        <color indexed="8"/>
        <rFont val="Calibri"/>
        <family val="2"/>
      </rPr>
      <t>@2537</t>
    </r>
  </si>
  <si>
    <r>
      <t xml:space="preserve">33 KV Horizontal clamp suitable for Zebra conductors. </t>
    </r>
    <r>
      <rPr>
        <b/>
        <sz val="12"/>
        <rFont val="Calibri"/>
        <family val="2"/>
      </rPr>
      <t>@2433.16</t>
    </r>
  </si>
  <si>
    <r>
      <t xml:space="preserve">Vibration Damphor for Panthor Conductor. </t>
    </r>
    <r>
      <rPr>
        <b/>
        <sz val="12"/>
        <rFont val="Calibri"/>
        <family val="2"/>
      </rPr>
      <t>@ 1917.50</t>
    </r>
  </si>
  <si>
    <t>MM3M303007</t>
  </si>
  <si>
    <r>
      <t xml:space="preserve">Digital Ammeter. </t>
    </r>
    <r>
      <rPr>
        <b/>
        <sz val="12"/>
        <rFont val="Calibri"/>
        <family val="2"/>
      </rPr>
      <t>@8821.68</t>
    </r>
  </si>
  <si>
    <t>MM2M205007</t>
  </si>
  <si>
    <r>
      <t xml:space="preserve">Digital Volt meter. </t>
    </r>
    <r>
      <rPr>
        <b/>
        <sz val="12"/>
        <rFont val="Calibri"/>
        <family val="2"/>
      </rPr>
      <t>@8821.68</t>
    </r>
  </si>
  <si>
    <t>MM2M206001</t>
  </si>
  <si>
    <r>
      <t xml:space="preserve">Digital P.F. meter. </t>
    </r>
    <r>
      <rPr>
        <b/>
        <sz val="12"/>
        <rFont val="Calibri"/>
        <family val="2"/>
      </rPr>
      <t>@8991.60</t>
    </r>
  </si>
  <si>
    <t>MM3M304012</t>
  </si>
  <si>
    <r>
      <t xml:space="preserve">Digital MW. meter. </t>
    </r>
    <r>
      <rPr>
        <b/>
        <sz val="12"/>
        <rFont val="Calibri"/>
        <family val="2"/>
      </rPr>
      <t>@8991.60</t>
    </r>
  </si>
  <si>
    <t>MM2M205021</t>
  </si>
  <si>
    <r>
      <t xml:space="preserve">Digital MVAR meter. </t>
    </r>
    <r>
      <rPr>
        <b/>
        <sz val="12"/>
        <rFont val="Calibri"/>
        <family val="2"/>
      </rPr>
      <t>@9121.40</t>
    </r>
  </si>
  <si>
    <t>JE.                 JE.(Line)</t>
  </si>
  <si>
    <t>AE.</t>
  </si>
  <si>
    <t>E.E.</t>
  </si>
  <si>
    <t>Substation Name Stock Inventory for the Month of - JUNE 2026</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</si>
  <si>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</si>
  <si>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</si>
  <si>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</si>
  <si>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</si>
  <si>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</si>
  <si>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</si>
  <si>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</si>
  <si>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</si>
  <si>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</si>
  <si>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Qty.</t>
  </si>
  <si>
    <t>Total Amount in Rs.</t>
  </si>
  <si>
    <t>11 K.V Disc Insulator Of Sizes</t>
  </si>
  <si>
    <t>_</t>
  </si>
  <si>
    <t>G.I Bolt Nut Of Sizes</t>
  </si>
  <si>
    <t>Mid Spane Joint w/o Steel</t>
  </si>
  <si>
    <t>Single Suspension Fitting For Panther</t>
  </si>
  <si>
    <t>Bolted Type Gun Fitting For Zebra</t>
  </si>
  <si>
    <t>C-Type Tower part Incomplete</t>
  </si>
  <si>
    <t>Tower Part Old and Used</t>
  </si>
  <si>
    <t>CC1C114003</t>
  </si>
  <si>
    <t>Armar polley cable XLPE 3*300mm</t>
  </si>
  <si>
    <t>JJ3J302023</t>
  </si>
  <si>
    <t>132 K.V Bushing/ Breacing Insulator</t>
  </si>
  <si>
    <t>VV1V101029</t>
  </si>
  <si>
    <t>72.5 K.V 400 Amp Condensor Bushing</t>
  </si>
  <si>
    <t xml:space="preserve">Steel Wire Rope </t>
  </si>
  <si>
    <t>FF1F107002</t>
  </si>
  <si>
    <t>Anchor Bolt 28mm</t>
  </si>
  <si>
    <t>FF1F107001</t>
  </si>
  <si>
    <t>Anchor Bolt 32mm</t>
  </si>
  <si>
    <t>CC3C315007</t>
  </si>
  <si>
    <t>Alu Lag 240mm</t>
  </si>
  <si>
    <t>CC3C315023</t>
  </si>
  <si>
    <t>Alu Lag 400mm</t>
  </si>
  <si>
    <t>VV5V407028</t>
  </si>
  <si>
    <t>132/33 K.V C.T Connector</t>
  </si>
  <si>
    <t>145 K.V Bus Isolators</t>
  </si>
  <si>
    <t>Magnet 110 V-127V D.C(A.B.B)</t>
  </si>
  <si>
    <t>JJ7J710018</t>
  </si>
  <si>
    <t>Catch(A.B.B)</t>
  </si>
  <si>
    <t>Linkage(A.B.B)</t>
  </si>
  <si>
    <t>VV2V209001</t>
  </si>
  <si>
    <t>Pressure Release Valve</t>
  </si>
  <si>
    <t>FF1F106006</t>
  </si>
  <si>
    <t>Brass Nut Bolt of Sizes</t>
  </si>
  <si>
    <t>SS6S606008</t>
  </si>
  <si>
    <t>contactors(2 no+2 nc)</t>
  </si>
  <si>
    <t xml:space="preserve">PVC control cable 4 core </t>
  </si>
  <si>
    <t>CC0C002008</t>
  </si>
  <si>
    <t xml:space="preserve">PVC control cable 10 core </t>
  </si>
  <si>
    <t>NN4N409003</t>
  </si>
  <si>
    <t>selector switches for 132 kv panels</t>
  </si>
  <si>
    <t>PP0P001003</t>
  </si>
  <si>
    <t>Come Along Clamp for Zebra</t>
  </si>
  <si>
    <t>NN4N405007</t>
  </si>
  <si>
    <t>LED Type Semaphore</t>
  </si>
  <si>
    <t>48 V battery charger old and used</t>
  </si>
  <si>
    <t>33 KV Isolater structure old and used</t>
  </si>
  <si>
    <t>C Wedge Clamp for Panther Conductor</t>
  </si>
  <si>
    <t>SS6S610022</t>
  </si>
  <si>
    <t>HRC FUSE 6 AMP</t>
  </si>
  <si>
    <t>Single Tension Fitting For Panther Incomplete</t>
  </si>
  <si>
    <t>SS7S705005</t>
  </si>
  <si>
    <t xml:space="preserve">3PHASE 10 A 3 POLE MCB </t>
  </si>
  <si>
    <t>VV5V404001</t>
  </si>
  <si>
    <t xml:space="preserve">33 KV CT CONNECTING ROD </t>
  </si>
  <si>
    <t>VV5V403001</t>
  </si>
  <si>
    <t xml:space="preserve">132KV CT CONNECTING ROD </t>
  </si>
  <si>
    <t>CC1C104002</t>
  </si>
  <si>
    <t xml:space="preserve">400 SQMM 3.5CORE AL CABLE </t>
  </si>
  <si>
    <t>MTR</t>
  </si>
  <si>
    <t>DISC INSULATORS 120 KN</t>
  </si>
  <si>
    <t>FF0F050013</t>
  </si>
  <si>
    <t>G.I STRUCTURE (BCT)</t>
  </si>
  <si>
    <t>SS4S401001</t>
  </si>
  <si>
    <t>66 K.V jaw</t>
  </si>
  <si>
    <t>FF2F201003</t>
  </si>
  <si>
    <t>M.s Earth 40 mm Dia</t>
  </si>
  <si>
    <t>ACSR Zebra Conducter In Pieces</t>
  </si>
  <si>
    <t>GG0G001010</t>
  </si>
  <si>
    <t xml:space="preserve">Insulating Mat </t>
  </si>
  <si>
    <t>Closing Coil</t>
  </si>
  <si>
    <t xml:space="preserve">Tripping Coil </t>
  </si>
  <si>
    <t>JJ7J704028</t>
  </si>
  <si>
    <t>O rings</t>
  </si>
  <si>
    <t>Selector Switch(Manual/ Auto)</t>
  </si>
  <si>
    <t>SS3S301002</t>
  </si>
  <si>
    <t>132 K.V  Isolater Jaw</t>
  </si>
  <si>
    <t>NO.</t>
  </si>
  <si>
    <t xml:space="preserve">PVC Control Cable  old  and used in pieces </t>
  </si>
  <si>
    <t>VV3V305012</t>
  </si>
  <si>
    <t>33 KV CT 300/150/1 Old and Used Dismantled</t>
  </si>
  <si>
    <t>Tension Fitting for earth wire</t>
  </si>
  <si>
    <t>Suspension Fitting for earth wire</t>
  </si>
  <si>
    <t>II3I307003</t>
  </si>
  <si>
    <t>Phase Plate</t>
  </si>
  <si>
    <t>II3I307001</t>
  </si>
  <si>
    <t xml:space="preserve">Number Plate </t>
  </si>
  <si>
    <t>Repair Sleeve for Panther Conductor</t>
  </si>
  <si>
    <t>Repair Sleeve for Earth Wire</t>
  </si>
  <si>
    <t>II3I307006</t>
  </si>
  <si>
    <t>Danger Plate</t>
  </si>
  <si>
    <t>AA2A201001</t>
  </si>
  <si>
    <t xml:space="preserve">Counter Poise Earthing </t>
  </si>
  <si>
    <t>II4I406005</t>
  </si>
  <si>
    <t>Anti Climbing Device Barbared type</t>
  </si>
  <si>
    <t>II3I307005</t>
  </si>
  <si>
    <t>Circuit Plate</t>
  </si>
  <si>
    <t>NN5N506007</t>
  </si>
  <si>
    <t xml:space="preserve">ABB PB Unit </t>
  </si>
  <si>
    <t>30 KV LA</t>
  </si>
  <si>
    <t>1/2 unfscr of 110 V Battery Charger Hsstbb</t>
  </si>
  <si>
    <t>SS6S617006</t>
  </si>
  <si>
    <t>Semi Conductor Fuse75AGSA75</t>
  </si>
  <si>
    <t>Semi Conductor Fuse 50A GSA50</t>
  </si>
  <si>
    <t>Diode S8hr55 Size M8</t>
  </si>
  <si>
    <t>Diode S4hr41 Size M8</t>
  </si>
  <si>
    <t>Diode S4Hr16 Size M6</t>
  </si>
  <si>
    <t>Fuse 36AGE SM63A</t>
  </si>
  <si>
    <t>JJ7J701027</t>
  </si>
  <si>
    <t xml:space="preserve">Contactor 25A 3 Phase Coil Voltage 240V DC </t>
  </si>
  <si>
    <t xml:space="preserve">Contactor 63A 3 Phase Coil Voltage 240 V DC </t>
  </si>
  <si>
    <t>SS6S617004</t>
  </si>
  <si>
    <t>Trip Indicator Fuse GE TI 300</t>
  </si>
  <si>
    <t>Space Heater 2500HM/250W</t>
  </si>
  <si>
    <t>Single  Phase Voltmeter (0-200) DC</t>
  </si>
  <si>
    <t>Surger Capacitor 2Uf/440 V AC)</t>
  </si>
  <si>
    <t>SS0S003001</t>
  </si>
  <si>
    <t>132 KV Isolator without Structure Old and Used</t>
  </si>
  <si>
    <t>132 KV CVT Old and Used</t>
  </si>
  <si>
    <t>VV6V603007</t>
  </si>
  <si>
    <t>132 KV CT Used</t>
  </si>
  <si>
    <t>132 KV CT Old and Used</t>
  </si>
  <si>
    <t>132 KV LA  Used</t>
  </si>
  <si>
    <t>132 KV LA Old and Used</t>
  </si>
  <si>
    <t>33 KV LA Old and Used</t>
  </si>
  <si>
    <t>MS Angle 50*50*6mm</t>
  </si>
  <si>
    <t>FF2F202003</t>
  </si>
  <si>
    <t>MS Flat 50*6 mm</t>
  </si>
  <si>
    <t>G.I. Wire Mess of 10 SWG Aperture 50mm width 1.8mm</t>
  </si>
  <si>
    <t>Sqm</t>
  </si>
  <si>
    <t>M.S. Nut &amp; Bolts suitable for fencing work</t>
  </si>
  <si>
    <t xml:space="preserve">DANGER PLATE </t>
  </si>
  <si>
    <t>NUMBER PLATE</t>
  </si>
  <si>
    <t>PHASE  PLATE</t>
  </si>
  <si>
    <t>132 KV DOUBLE FEEDER CONTROL PANEL OLD &amp; USED</t>
  </si>
  <si>
    <t>132 KV TRANSFORMER PANEL W/O RELAY OLD &amp; USED</t>
  </si>
  <si>
    <t>132 KV RELAY PANEL OLD &amp; USED</t>
  </si>
  <si>
    <t>NN0N002004</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</si>
  <si>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</si>
  <si>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</si>
  <si>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</si>
  <si>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</si>
  <si>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</si>
  <si>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FF0F013012</t>
  </si>
  <si>
    <t>Galvanized Double Circuit Tower Pieces (without leg) old &amp; Dismantled incomplete. (C type+3)</t>
  </si>
  <si>
    <t>33 KV (3Core) CT (800/400/1) accuracy class 0.2s</t>
  </si>
  <si>
    <t>33 KV PT Single Phase</t>
  </si>
  <si>
    <t>33 KV Surge arrester Single Phase - Polymer</t>
  </si>
  <si>
    <t>SS4S402001</t>
  </si>
  <si>
    <t>33 KV Isolator Jaws(1250 AMP.)</t>
  </si>
  <si>
    <t>C Wedge Clamps for ACSR Zebra Conductor</t>
  </si>
  <si>
    <t xml:space="preserve">    </t>
  </si>
  <si>
    <t>VV3V304001</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</si>
  <si>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</si>
  <si>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</si>
  <si>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</si>
  <si>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</si>
  <si>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</si>
  <si>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</si>
  <si>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</si>
  <si>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</si>
  <si>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</si>
  <si>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FF4F403011</t>
  </si>
  <si>
    <t>Flexible Copper bond for 7/3.15 mm GS Earthwire or 7/10 SWG</t>
  </si>
  <si>
    <t>33 KV CT (400-200/1) old and used dismentled damaged.</t>
  </si>
  <si>
    <t>Transformer Oil Old &amp; Used</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</si>
  <si>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</si>
  <si>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</si>
  <si>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</si>
  <si>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</si>
  <si>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PP3P301014</t>
  </si>
  <si>
    <t>First Aid Box With Medicine</t>
  </si>
  <si>
    <t>PP3P301015</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</si>
  <si>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</si>
  <si>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</si>
  <si>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</si>
  <si>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</si>
  <si>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</si>
  <si>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</si>
  <si>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</si>
  <si>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VV3V303003</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</si>
  <si>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</si>
  <si>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</si>
  <si>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</si>
  <si>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</si>
  <si>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YY1Y102002</t>
  </si>
  <si>
    <t>110 V 300AH Battery Charger old &amp; Used Defective</t>
  </si>
  <si>
    <t>Drum Old &amp; Used</t>
  </si>
  <si>
    <t>145 KV Capacitor Voltage Transformer (CVT)</t>
  </si>
  <si>
    <t>Junction Box</t>
  </si>
  <si>
    <t>II2I203003</t>
  </si>
  <si>
    <t>Suspention Clamp For E/W</t>
  </si>
  <si>
    <t>Alu Strip 3*2.5 mm</t>
  </si>
  <si>
    <t>Empty T/F Oil Drum</t>
  </si>
  <si>
    <t>YY0Y003006</t>
  </si>
  <si>
    <t xml:space="preserve">Battery Old &amp; Used </t>
  </si>
  <si>
    <t>Cable Termination Box 450*450*200mm</t>
  </si>
  <si>
    <t>Total (in Rs.)</t>
  </si>
  <si>
    <t>Junior Engineer</t>
  </si>
  <si>
    <t>Assistant Engineer</t>
  </si>
  <si>
    <t>Name of Zone: Kumoun Zone</t>
  </si>
  <si>
    <t>Month</t>
  </si>
  <si>
    <t>Name of Circle: Kashipur</t>
  </si>
  <si>
    <t>Name of Division:- 220 KV O&amp;M Division Mahuakheraganj</t>
  </si>
  <si>
    <t>Name of Substation:- 220 KV Substation Mahuakheraganj</t>
  </si>
  <si>
    <t>S. No.</t>
  </si>
  <si>
    <t>Name of Item</t>
  </si>
  <si>
    <t>Unit rate in Rs.</t>
  </si>
  <si>
    <t>Unserviceable</t>
  </si>
  <si>
    <t>Non-Moving</t>
  </si>
  <si>
    <t>ACSR Conductor Zebra</t>
  </si>
  <si>
    <t>GI Earth Wire 7/10 SWG</t>
  </si>
  <si>
    <t xml:space="preserve"> IPS Aluminium Tube 4"</t>
  </si>
  <si>
    <t xml:space="preserve">PVC Control Cable  - W/o Armoured- 6x2.5mm </t>
  </si>
  <si>
    <t>HF Cable -Longest optical cable -</t>
  </si>
  <si>
    <t>Tower Parts- GI</t>
  </si>
  <si>
    <t xml:space="preserve">Line Isolator 220 KV Motorized with Earth Switch </t>
  </si>
  <si>
    <t xml:space="preserve">Line Isolator 132 KV Motorized with Earth Switch </t>
  </si>
  <si>
    <t xml:space="preserve">220 KV Isolater Spare Support Insulator </t>
  </si>
  <si>
    <t>220 KV Isolater Spare Switch  220V Limit Switch for Motorized Isolators</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</si>
  <si>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</si>
  <si>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</si>
  <si>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</si>
  <si>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</si>
  <si>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90 KN   </t>
  </si>
  <si>
    <t xml:space="preserve"> Disc Insulator  11 KV     (11500 kg X pin</t>
  </si>
  <si>
    <t>PG Clamp   Moose -   Moose</t>
  </si>
  <si>
    <t>PG Clamp  Moose-  Panther</t>
  </si>
  <si>
    <t>PG Clamp  Zebra-  Zebra</t>
  </si>
  <si>
    <t xml:space="preserve"> C-wedge Clamp  Moose-  Moose</t>
  </si>
  <si>
    <t xml:space="preserve">  Cleat type Clamp   7/10 SWG</t>
  </si>
  <si>
    <t xml:space="preserve">  Mid Span Joint   Zebra</t>
  </si>
  <si>
    <t xml:space="preserve">  Mid Span Joint   7/10 SWG</t>
  </si>
  <si>
    <t xml:space="preserve">  Repair Sleeve   Zebra</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</si>
  <si>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</si>
  <si>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</si>
  <si>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</si>
  <si>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</si>
  <si>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</si>
  <si>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</si>
  <si>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</si>
  <si>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</si>
  <si>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</si>
  <si>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</si>
  <si>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</si>
  <si>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</si>
  <si>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</si>
  <si>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</si>
  <si>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</si>
  <si>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</si>
  <si>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</si>
  <si>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</si>
  <si>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</si>
  <si>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</si>
  <si>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</si>
  <si>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</si>
  <si>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</si>
  <si>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</si>
  <si>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</si>
  <si>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</si>
  <si>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</si>
  <si>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</si>
  <si>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</si>
  <si>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</si>
  <si>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</si>
  <si>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</si>
  <si>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</si>
  <si>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</si>
  <si>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</si>
  <si>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</si>
  <si>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</si>
  <si>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</si>
  <si>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</si>
  <si>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</si>
  <si>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</si>
  <si>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</si>
  <si>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</si>
  <si>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</si>
  <si>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</si>
  <si>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</si>
  <si>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</si>
  <si>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</si>
  <si>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</si>
  <si>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</si>
  <si>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</si>
  <si>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</si>
  <si>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</si>
  <si>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</si>
  <si>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</si>
  <si>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</si>
  <si>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</si>
  <si>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</si>
  <si>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</si>
  <si>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</si>
  <si>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</si>
  <si>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</si>
  <si>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</si>
  <si>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</si>
  <si>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</si>
  <si>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</si>
  <si>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</si>
  <si>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</si>
  <si>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</si>
  <si>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</si>
  <si>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</si>
  <si>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</si>
  <si>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</si>
  <si>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</si>
  <si>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</si>
  <si>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</si>
  <si>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</si>
  <si>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</si>
  <si>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</si>
  <si>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</si>
  <si>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</si>
  <si>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</si>
  <si>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</si>
  <si>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</si>
  <si>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</si>
  <si>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</si>
  <si>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</si>
  <si>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</si>
  <si>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</si>
  <si>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</si>
  <si>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</si>
  <si>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</si>
  <si>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</si>
  <si>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</si>
  <si>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</si>
  <si>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</si>
  <si>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</si>
  <si>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</si>
  <si>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</si>
  <si>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</si>
  <si>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</si>
  <si>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</si>
  <si>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</si>
  <si>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</si>
  <si>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</si>
  <si>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</si>
  <si>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</si>
  <si>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</si>
  <si>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</si>
  <si>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</si>
  <si>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</si>
  <si>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</si>
  <si>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</si>
  <si>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</si>
  <si>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</si>
  <si>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</si>
  <si>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</si>
  <si>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</si>
  <si>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</si>
  <si>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</si>
  <si>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</si>
  <si>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</si>
  <si>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</si>
  <si>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</si>
  <si>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</si>
  <si>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</si>
  <si>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</si>
  <si>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</si>
  <si>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</si>
  <si>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</si>
  <si>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</si>
  <si>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</si>
  <si>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</si>
  <si>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</si>
  <si>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</si>
  <si>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</si>
  <si>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</si>
  <si>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</si>
  <si>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</si>
  <si>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</si>
  <si>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</si>
  <si>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</si>
  <si>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</si>
  <si>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</si>
  <si>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</si>
  <si>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</si>
  <si>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</si>
  <si>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</si>
  <si>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</si>
  <si>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</si>
  <si>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</si>
  <si>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</si>
  <si>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</si>
  <si>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</si>
  <si>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</si>
  <si>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</si>
  <si>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</si>
  <si>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</si>
  <si>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</si>
  <si>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</si>
  <si>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</si>
  <si>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</si>
  <si>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</si>
  <si>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</si>
  <si>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</si>
  <si>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</si>
  <si>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</si>
  <si>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</si>
  <si>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</si>
  <si>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</si>
  <si>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</si>
  <si>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</si>
  <si>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</si>
  <si>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</si>
  <si>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</si>
  <si>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</si>
  <si>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</si>
  <si>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</si>
  <si>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</si>
  <si>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</si>
  <si>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</si>
  <si>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</si>
  <si>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</si>
  <si>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</si>
  <si>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</si>
  <si>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</si>
  <si>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</si>
  <si>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</si>
  <si>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</si>
  <si>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</si>
  <si>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</si>
  <si>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</si>
  <si>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</si>
  <si>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</si>
  <si>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</si>
  <si>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</si>
  <si>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</si>
  <si>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</si>
  <si>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</si>
  <si>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</si>
  <si>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</si>
  <si>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</si>
  <si>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</si>
  <si>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</si>
  <si>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</si>
  <si>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</si>
  <si>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</si>
  <si>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</si>
  <si>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</si>
  <si>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</si>
  <si>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</si>
  <si>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</si>
  <si>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</si>
  <si>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</si>
  <si>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</si>
  <si>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</si>
  <si>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</si>
  <si>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</si>
  <si>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</si>
  <si>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</si>
  <si>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</si>
  <si>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</si>
  <si>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</si>
  <si>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</si>
  <si>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</si>
  <si>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</si>
  <si>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</si>
  <si>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</si>
  <si>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</si>
  <si>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</si>
  <si>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</si>
  <si>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</si>
  <si>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</si>
  <si>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</si>
  <si>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</si>
  <si>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</si>
  <si>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</si>
  <si>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</si>
  <si>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</si>
  <si>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</si>
  <si>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</si>
  <si>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</si>
  <si>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</si>
  <si>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</si>
  <si>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</si>
  <si>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</si>
  <si>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</si>
  <si>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</si>
  <si>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</si>
  <si>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</si>
  <si>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</si>
  <si>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</si>
  <si>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</si>
  <si>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</si>
  <si>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</si>
  <si>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</si>
  <si>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</si>
  <si>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</si>
  <si>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</si>
  <si>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</si>
  <si>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</si>
  <si>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</si>
  <si>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</si>
  <si>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</si>
  <si>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</si>
  <si>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</si>
  <si>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</si>
  <si>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</si>
  <si>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</si>
  <si>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</si>
  <si>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</si>
  <si>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</si>
  <si>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</si>
  <si>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</si>
  <si>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</si>
  <si>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</si>
  <si>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</si>
  <si>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</si>
  <si>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</si>
  <si>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</si>
  <si>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</si>
  <si>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</si>
  <si>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</si>
  <si>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</si>
  <si>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</si>
  <si>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</si>
  <si>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</si>
  <si>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</si>
  <si>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</si>
  <si>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</si>
  <si>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</si>
  <si>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</si>
  <si>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</si>
  <si>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</si>
  <si>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</si>
  <si>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</si>
  <si>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</si>
  <si>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</si>
  <si>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</si>
  <si>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</si>
  <si>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</si>
  <si>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KMeter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</si>
  <si>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</si>
  <si>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</si>
  <si>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</si>
  <si>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</si>
  <si>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</si>
  <si>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</si>
  <si>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</si>
  <si>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</si>
  <si>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</si>
  <si>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</si>
  <si>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</si>
  <si>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</si>
  <si>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</si>
  <si>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</si>
  <si>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</si>
  <si>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</si>
  <si>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</si>
  <si>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</si>
  <si>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</si>
  <si>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</si>
  <si>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</si>
  <si>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</si>
  <si>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Silica Gel</t>
  </si>
  <si>
    <t>Supply of special type 33 KV Isolator Jaw rating of 800 Amp with heavy duty copper fingur and tension spring and provided heavy duty aluminium pad for termination 7 G.I. frame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</si>
  <si>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</si>
  <si>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</si>
  <si>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</si>
  <si>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</si>
  <si>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</si>
  <si>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</si>
  <si>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</si>
  <si>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</si>
  <si>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</si>
  <si>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</si>
  <si>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</si>
  <si>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RCCB 100A, 4 Pole, 440 Volts</t>
  </si>
  <si>
    <t>RCCB 63A, 4 Pole, 440 Volts</t>
  </si>
  <si>
    <t>MCB 40/32A, 3 Pole, 440 Volts</t>
  </si>
  <si>
    <t>MCB 6/3A, 2 Pole, 240 Volts</t>
  </si>
  <si>
    <t>MCB 32/16A, 2 Pole, 240 Volts</t>
  </si>
  <si>
    <t>MCB 10A, 1 Pole,DC 220 Volts</t>
  </si>
  <si>
    <t>Supply of good quality reputed company make Power cable aluminium (PVC) Armoured 3.5 core 35 sqmm as per TS of PTCUL</t>
  </si>
  <si>
    <t>33 kv, 1600 amp aluminium alloy isolator clamps suitable for isolator to double moose conductor connection</t>
  </si>
  <si>
    <t>Special type 33 kv isolator Jaw rating of 800 amp with heavy duty copper fingur and tension spring and provide heavy duty aluminium pad for termination &amp; G.I. Frame</t>
  </si>
  <si>
    <t xml:space="preserve">Special type 33 kv isolator Blade rating of 800 amp with heavy duty copper materials with stands for fixing of 800 Amp special type clamp for fixing of Blade at post and water caps/shielding plates for jaw </t>
  </si>
  <si>
    <t xml:space="preserve">C wedge clamps suitable for moose to moose ACSR conductor </t>
  </si>
  <si>
    <t>Special type  isolator Jaw with capacity 800 amp with heavy duty copper fingur and tension spring and provide heavy duty aluminium pad for termination &amp; G.I. Frame</t>
  </si>
  <si>
    <t xml:space="preserve">Special type isolator Blade with capacity  of 800 amp with heavy duty copper materials with stands for fixing of 800 Amp special type clamp for fixing of Blade at post and water caps/shielding plates for jaw </t>
  </si>
  <si>
    <t>Good quality, reputed make 33 KV CT 1phase, ratio(1600/800/1A) 3 core having accuracy class 0.2S, without juction box as per technical specification of PTCUL</t>
  </si>
  <si>
    <t>Good quality, reputed make 33 KV CT 1phase, ratio(800/400/1A) 3 core having accuracy class 0.2S, without juction box as per technical specification of PTCUL</t>
  </si>
  <si>
    <t xml:space="preserve">Good quality Aluminium alloy C wedge clamps suitable for moose to moose ACSR conductor </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</si>
  <si>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</si>
  <si>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</si>
  <si>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</si>
  <si>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</si>
  <si>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</si>
  <si>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</si>
  <si>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</si>
  <si>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</si>
  <si>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</si>
  <si>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</si>
  <si>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</si>
  <si>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</si>
  <si>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</si>
  <si>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</si>
  <si>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</si>
  <si>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</si>
  <si>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</si>
  <si>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</si>
  <si>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</si>
  <si>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</si>
  <si>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</si>
  <si>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</si>
  <si>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</si>
  <si>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</si>
  <si>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</si>
  <si>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</si>
  <si>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</si>
  <si>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</si>
  <si>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</si>
  <si>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Receive Back Old &amp; used 216 KV Surge arrester complete</t>
  </si>
  <si>
    <t>Receive back damaged 90 KN Polymer Long Rod Insulator</t>
  </si>
  <si>
    <t xml:space="preserve">Receive Back damaged 33 KV Circuit Breaker </t>
  </si>
  <si>
    <t>Damaged 132 KV IsolatorJaw</t>
  </si>
  <si>
    <t>Burn Aluminium Conductor</t>
  </si>
  <si>
    <t>G.Total</t>
  </si>
  <si>
    <t>Singnature of J.E.</t>
  </si>
  <si>
    <t>Date:-</t>
  </si>
  <si>
    <t>Singnature of A.E.</t>
  </si>
  <si>
    <t>Singnature of E.E.</t>
  </si>
  <si>
    <t>T&amp;P 220 KV S/S Mahuakheraganj</t>
  </si>
  <si>
    <t>Computer Chair</t>
  </si>
  <si>
    <t>Godrej Table T-9</t>
  </si>
  <si>
    <t>Computer Table</t>
  </si>
  <si>
    <t>Single Sleeve Pulley Block</t>
  </si>
  <si>
    <t>Raincoat with cap</t>
  </si>
  <si>
    <t>Safety Belt</t>
  </si>
  <si>
    <t>Rubber Gum Boots</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</si>
  <si>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</si>
  <si>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</si>
  <si>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</si>
  <si>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</si>
  <si>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</si>
  <si>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</si>
  <si>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</si>
  <si>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</si>
  <si>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</si>
  <si>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</si>
  <si>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</si>
  <si>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</si>
  <si>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</si>
  <si>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</si>
  <si>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</si>
  <si>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</si>
  <si>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</si>
  <si>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</si>
  <si>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</si>
  <si>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</si>
  <si>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</si>
  <si>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</si>
  <si>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</si>
  <si>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</si>
  <si>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</si>
  <si>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</si>
  <si>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</si>
  <si>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</si>
  <si>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</si>
  <si>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</si>
  <si>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</si>
  <si>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</si>
  <si>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</si>
  <si>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</si>
  <si>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</si>
  <si>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</si>
  <si>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</si>
  <si>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</si>
  <si>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</si>
  <si>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</si>
  <si>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</si>
  <si>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</si>
  <si>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</si>
  <si>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</si>
  <si>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</si>
  <si>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</si>
  <si>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</si>
  <si>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</si>
  <si>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</si>
  <si>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</si>
  <si>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</si>
  <si>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</si>
  <si>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</si>
  <si>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</si>
  <si>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</si>
  <si>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</si>
  <si>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</si>
  <si>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</si>
  <si>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</si>
  <si>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</si>
  <si>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</si>
  <si>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</si>
  <si>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</si>
  <si>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</si>
  <si>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</si>
  <si>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</si>
  <si>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</si>
  <si>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</si>
  <si>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</si>
  <si>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</si>
  <si>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</si>
  <si>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Bolted type come along clamp, 7 bolts for ACSR Panther Conductor</t>
  </si>
  <si>
    <t>Come along clamp 3 bolts type suitable for 7/10 SWG Earth wire</t>
  </si>
  <si>
    <t xml:space="preserve">Four sheave sagging pulley 10 Ton capacity </t>
  </si>
  <si>
    <t>Sling 18 MM 10 MTR</t>
  </si>
  <si>
    <t>Sling 18 MM 5 MTR</t>
  </si>
  <si>
    <t>D-Shackle 4.75 Ton</t>
  </si>
  <si>
    <t>Sefetey Belt full body Sefetey Harness PN 42 (01) (REPUTED MAKE LIKE Karam etc.)</t>
  </si>
  <si>
    <t>PP Rope 12 MM 220 MTR</t>
  </si>
  <si>
    <t>PP Rope 20 MM 220 MTR</t>
  </si>
  <si>
    <t>PP Rope 24 MM 220 MTR</t>
  </si>
  <si>
    <t>Chain Shackle 10 Ton Chain pulley block 3 MTR</t>
  </si>
  <si>
    <t>Chain Shackle 2 Ton Chain pulley block 3 MTR</t>
  </si>
  <si>
    <t>25 Inch 2700 W Petrol Chain Saw of reputed make</t>
  </si>
  <si>
    <t>Substation Stock Inventory Status for the month of July 2026</t>
  </si>
  <si>
    <t>Name of Circle/ Zone:- Kumaon Zone</t>
  </si>
  <si>
    <t>Name of Division:- 220 KV O&amp;M Division Pantnagar</t>
  </si>
  <si>
    <t>Name of Substation 220 KV Substation Pantnagar</t>
  </si>
  <si>
    <t>Name of Sub-Division:- 220 KV Sub-Division Pantnagar</t>
  </si>
  <si>
    <t>Month of July 2026</t>
  </si>
  <si>
    <t>Dismantle/Incomplete/ Damage/Unservicable</t>
  </si>
  <si>
    <t>ACSR Conductor Moose</t>
  </si>
  <si>
    <t>GI Earth Wire</t>
  </si>
  <si>
    <t>OPGW</t>
  </si>
  <si>
    <t>AA3A301004</t>
  </si>
  <si>
    <t>IPS Aluminium Tube 4"</t>
  </si>
  <si>
    <t>Earth wire &amp; Fitting Scrap</t>
  </si>
  <si>
    <t>Empty earth wire drum</t>
  </si>
  <si>
    <t>BB0B002002</t>
  </si>
  <si>
    <t>Capacitor Cell-  331kvar, 6.9kv</t>
  </si>
  <si>
    <t>PVC Control Cable  - W/o Armoured- 10x2.5mm</t>
  </si>
  <si>
    <t>PVC Control Cable  - W/o Armoured- 2x2.5mm</t>
  </si>
  <si>
    <t>CC1C103012</t>
  </si>
  <si>
    <t>Power Cable - 440V LT - - 3.5x35 Sq. mm</t>
  </si>
  <si>
    <t>CC2C201001</t>
  </si>
  <si>
    <t>FF0F033006</t>
  </si>
  <si>
    <t>Stub for 132KV D/c  B Type</t>
  </si>
  <si>
    <t>FF0F042008</t>
  </si>
  <si>
    <t>Template A Type for 220KV Single Circuit</t>
  </si>
  <si>
    <t>FF0F050002</t>
  </si>
  <si>
    <t>Strcture- Pipe</t>
  </si>
  <si>
    <t>FF0F050028</t>
  </si>
  <si>
    <t>Strcture-HT</t>
  </si>
  <si>
    <t>FF0F050029</t>
  </si>
  <si>
    <t>Strcture-MT</t>
  </si>
  <si>
    <t>Strcture-33KV Isolator</t>
  </si>
  <si>
    <t>Tower Parts- GI (220KV)</t>
  </si>
  <si>
    <t>Tower Parts- GI (132KV)</t>
  </si>
  <si>
    <t>Gantry -GI (132KV)</t>
  </si>
  <si>
    <t>Galvanised Nuts &amp; Bolts-12x70 mm</t>
  </si>
  <si>
    <t>FF4F401044</t>
  </si>
  <si>
    <t>Galvanised Nuts &amp; Bolts-12x50 mm</t>
  </si>
  <si>
    <t>Galvanised Nuts &amp; Bolts-10X80 mm</t>
  </si>
  <si>
    <t>FF4F401054</t>
  </si>
  <si>
    <t>Galvanised Nuts &amp; Bolts-10X100 mm</t>
  </si>
  <si>
    <t>FF1F101025</t>
  </si>
  <si>
    <t>HOT dipped Galvanised-16x45 mm/ (5/8"x1*3/4</t>
  </si>
  <si>
    <t>FF1F101027</t>
  </si>
  <si>
    <t>HOT dipped Galvanised-16x35 mm</t>
  </si>
  <si>
    <t>FF9F904003</t>
  </si>
  <si>
    <t>Copper -Bond Round</t>
  </si>
  <si>
    <t>132 KV Line Fitting old &amp; used</t>
  </si>
  <si>
    <t>GG0G001001</t>
  </si>
  <si>
    <t>Maintenance material Petrolleum Jelly</t>
  </si>
  <si>
    <t>GG0G001003</t>
  </si>
  <si>
    <t>Maintenance material CRC 400 ML Bottle</t>
  </si>
  <si>
    <t>GG0G001007</t>
  </si>
  <si>
    <t>Maintenance material Grease</t>
  </si>
  <si>
    <t>220 KV Isolator Male Arm</t>
  </si>
  <si>
    <t>220 KV Isolator Female Arm</t>
  </si>
  <si>
    <t>SS0S002001</t>
  </si>
  <si>
    <t>220 KV Isolator (old &amp; used)</t>
  </si>
  <si>
    <t>SS0S005003</t>
  </si>
  <si>
    <t>Bus Isolator 33 KV 800 Amp Double break without Earth switch</t>
  </si>
  <si>
    <t>132 KV Isolator Spare Blade Male contact</t>
  </si>
  <si>
    <t>132 KV Isolator Spare Blade Female Contact</t>
  </si>
  <si>
    <t>33 KV Isolater Spare Jaws  800 Amp.</t>
  </si>
  <si>
    <t>33 KV Isolater Spare Blade  800 Amp.</t>
  </si>
  <si>
    <t>33 KV Isolater Spare Jaws  1200 Amp.</t>
  </si>
  <si>
    <t>33 KV Isolater Spare Blade  1200 Amp.</t>
  </si>
  <si>
    <t>SS5S501002</t>
  </si>
  <si>
    <t>Isolator Clamp Rigid terminal connector 4" AL tube (33KV)</t>
  </si>
  <si>
    <t>SS5S501003</t>
  </si>
  <si>
    <t>Isolator Clamp  Through type for 4” IPS Al tube (132KV)</t>
  </si>
  <si>
    <t>SS5S501008</t>
  </si>
  <si>
    <t>Isolator Clamp  Twin moose</t>
  </si>
  <si>
    <t>SS5S501009</t>
  </si>
  <si>
    <t>Isolator Clamp  Single moose</t>
  </si>
  <si>
    <t>132 KV Isolater Spare 1600 A Blade Male contact</t>
  </si>
  <si>
    <t>132 KV Isolater Spare 1600 A Blade Female Contact</t>
  </si>
  <si>
    <t>220 KV Isolator clamp for moose to 30 mm</t>
  </si>
  <si>
    <t>132 KV Isolator clamp for 4" IPS tube to 40 mm</t>
  </si>
  <si>
    <t>33 KV Isolater Spare Blade 1600 Amp.</t>
  </si>
  <si>
    <t>33 KV Isolater Spare Jaws  1600 Amp.</t>
  </si>
  <si>
    <t>4" IPS Tube Clamp for Single Moose</t>
  </si>
  <si>
    <t>4" IPS Tube Clamp for Twin Moose</t>
  </si>
  <si>
    <t>Aluminium Scrap(Burnt Clamp/Isolator Jaw/blade)</t>
  </si>
  <si>
    <t>Aluminium Scrap (220KV Burnt Isolator)</t>
  </si>
  <si>
    <t>Copper Scrap (33KV Burnt Isolator)</t>
  </si>
  <si>
    <t>Copper Scrap (220KV Burnt Isolator Arm)</t>
  </si>
  <si>
    <t>II0I001001</t>
  </si>
  <si>
    <t>Disc Insulator  160 KN   Porceline</t>
  </si>
  <si>
    <t>Disc Insulator  120 KN   Porceline</t>
  </si>
  <si>
    <t>Disc Insulator   70 KN</t>
  </si>
  <si>
    <t>220KV Old Disc Insulator</t>
  </si>
  <si>
    <t>132KV Old Disc Insulator</t>
  </si>
  <si>
    <t>II0I001002</t>
  </si>
  <si>
    <t>Disc Insulator Polymer 160 KN</t>
  </si>
  <si>
    <t>II0I003001</t>
  </si>
  <si>
    <t>PG Clamp  Moose-  Moose</t>
  </si>
  <si>
    <t>C-wedge Clamp  Moose-  Moose</t>
  </si>
  <si>
    <t>C-wedge Clamp  Zebra-  Zebra</t>
  </si>
  <si>
    <t>C-wedge Clamp  Zebra-  Panther</t>
  </si>
  <si>
    <t>C-wedge Clamp  Panther-  Panther</t>
  </si>
  <si>
    <t>II1I107001</t>
  </si>
  <si>
    <t>T-Connector Twin Moose to Single Moose</t>
  </si>
  <si>
    <t>II2I202001</t>
  </si>
  <si>
    <t>Earth Wire Tension Clamp   7/9 SWG</t>
  </si>
  <si>
    <t>II2I203001</t>
  </si>
  <si>
    <t>Earth Wire Suspension Clamp   7/9 SWG</t>
  </si>
  <si>
    <t>II3I301001</t>
  </si>
  <si>
    <t>Moose Conductor Mid Span Joint</t>
  </si>
  <si>
    <t>II3I301003</t>
  </si>
  <si>
    <t>Mid Span Joint Zebra</t>
  </si>
  <si>
    <t>Mid Span Joint Panther</t>
  </si>
  <si>
    <t>II3I301008</t>
  </si>
  <si>
    <t>Mid Span Joint   7/9 SWG</t>
  </si>
  <si>
    <t>Mid Span Joint   7/10 SWG</t>
  </si>
  <si>
    <t>II3I302001</t>
  </si>
  <si>
    <t>Repair Sleeve   Moose</t>
  </si>
  <si>
    <t>II3I302003</t>
  </si>
  <si>
    <t>Repair Sleeve Zebra</t>
  </si>
  <si>
    <t>Repair Sleeve   7/10 SWG</t>
  </si>
  <si>
    <t>II3I303003</t>
  </si>
  <si>
    <t>Vibration Damper Zebra</t>
  </si>
  <si>
    <t>Vibration Damper Panther</t>
  </si>
  <si>
    <t>II3I303008</t>
  </si>
  <si>
    <t>Vibration Damper 7/9 SWG</t>
  </si>
  <si>
    <t>Vibration Damper 7/10 SWG</t>
  </si>
  <si>
    <t>Bird guard</t>
  </si>
  <si>
    <t>Armour Rod   Panther</t>
  </si>
  <si>
    <t>II7I704004</t>
  </si>
  <si>
    <t>Spacers Twin Moose</t>
  </si>
  <si>
    <t>Single Tension Fitting   Zebra</t>
  </si>
  <si>
    <t>Sets</t>
  </si>
  <si>
    <t>Single Tension Fitting   Panther</t>
  </si>
  <si>
    <t>II5I501009</t>
  </si>
  <si>
    <t>Single Tension Fitting   7/9 SWG</t>
  </si>
  <si>
    <t>Single Tension Fitting   7/10 SWG</t>
  </si>
  <si>
    <t>Double Tension Fitting   Zebra</t>
  </si>
  <si>
    <t>Double Tension Fitting   Panther</t>
  </si>
  <si>
    <t>II5I504004</t>
  </si>
  <si>
    <t>Single Suspension Fitting   Zebra</t>
  </si>
  <si>
    <t>Single Suspension Fitting   7/10 SWG</t>
  </si>
  <si>
    <t>Pilot fitting for Zebra</t>
  </si>
  <si>
    <t>Bolted tension fitting for ACSR Moose</t>
  </si>
  <si>
    <t>Bolted tension fitting for ACSR Zebra</t>
  </si>
  <si>
    <t>T Clamp 40mm for Moose</t>
  </si>
  <si>
    <t>JJ0J002001</t>
  </si>
  <si>
    <t>Circuit Breaker   220KV   Air Blast</t>
  </si>
  <si>
    <t>JJ0J005002</t>
  </si>
  <si>
    <t>Circuit Breaker    33KV    220V DC SF-6</t>
  </si>
  <si>
    <t>Circuit Breaker    33KV    110V DC SF-6</t>
  </si>
  <si>
    <t>JJ2J201001</t>
  </si>
  <si>
    <t>Circuit Breaker Sapres   220KV  220V DC Trip Coil (ABB make)</t>
  </si>
  <si>
    <t>Circuit Breaker Sapres   220KV  220V DC Trip Coil (CGL make)</t>
  </si>
  <si>
    <t>JJ2J201003</t>
  </si>
  <si>
    <t>Circuit Breaker Sapres   220KV  220V DC Closing Coil (CGL make)</t>
  </si>
  <si>
    <t>Circuit Breaker Sapres   220KV  220V DC Closing Coil (ABB make)</t>
  </si>
  <si>
    <t>JJ3J301001</t>
  </si>
  <si>
    <t>Circuit Breaker Sapres   132KV   220V DC Trip Coil (CGL make)</t>
  </si>
  <si>
    <t>JJ3J301003</t>
  </si>
  <si>
    <t>Circuit Breaker Sapres   132KV    220V DC  Closing Coil (CGL make)</t>
  </si>
  <si>
    <t>JJ5J501001</t>
  </si>
  <si>
    <t>Circuit Breaker Sapres   33KV   220V DC Trip Coil (CGL make)</t>
  </si>
  <si>
    <t>JJ5J501003</t>
  </si>
  <si>
    <t>Circuit Breaker Sapres   33KV   220V DC Closing Coil (CGL make)</t>
  </si>
  <si>
    <t>Circuit Breaker Sapres   33KV   110V DC Trip Coil (ABB Make)</t>
  </si>
  <si>
    <t>Circuit Breaker Auxiliary switch   LOCAL/Remote Switch</t>
  </si>
  <si>
    <t>JJ7J701010</t>
  </si>
  <si>
    <t>Circuit Breaker Auxiliary switch   Density moniter switch</t>
  </si>
  <si>
    <t>Circuit Breaker connector 4"IPS Tube (220KV)</t>
  </si>
  <si>
    <t>JJ4J401003</t>
  </si>
  <si>
    <t>Circuit Breaker Connector Moose</t>
  </si>
  <si>
    <t>JJ4J401004</t>
  </si>
  <si>
    <t>Circuit Breaker Connector Twin Moose</t>
  </si>
  <si>
    <t>SF6 Gas</t>
  </si>
  <si>
    <t>Defective &amp; Damage CB</t>
  </si>
  <si>
    <t>JJ5J501014</t>
  </si>
  <si>
    <t>Circuit Breaker spare 33 KV SF6 Stationary arcing contact, CGL Make</t>
  </si>
  <si>
    <t>KK0K002001</t>
  </si>
  <si>
    <t>Lighting Arrestor 132 KV</t>
  </si>
  <si>
    <t>LL6L603001</t>
  </si>
  <si>
    <t>Lighting Spares  Lighting Junction Box.</t>
  </si>
  <si>
    <t>MM0M008001</t>
  </si>
  <si>
    <t>Relay - Trip circuit supervision relay - Trip ckt supervision relay (ABB make 220 V DC)</t>
  </si>
  <si>
    <t>MM0M009004</t>
  </si>
  <si>
    <t>Relay - Trip circuit supervision relay - Trip ckt supervision relay (JVS make 220 V DC)</t>
  </si>
  <si>
    <t>MM0M001008</t>
  </si>
  <si>
    <t>Relay - Distance Relay (Faulty)</t>
  </si>
  <si>
    <t>MM0M019002</t>
  </si>
  <si>
    <t>MM0M011004</t>
  </si>
  <si>
    <t>Control panel Spares    Relay    Thermal Overload realy</t>
  </si>
  <si>
    <t>MM2M202005</t>
  </si>
  <si>
    <t>Digital Meter - Volt Meter - 220 KV Digital volt meter size 140 x 70 mm PTR-220 KV/110V range (0-300 KV), Auxiliary Supply 220V DC, A.E. make</t>
  </si>
  <si>
    <t>MM2M202007</t>
  </si>
  <si>
    <t>Digital Meter - Volt Meter - 132 KV Digital voltmeter size 140 x 70 mm PTR-132 KV/110V Range (0-160 KV), Auxiliary Supply 220V DC, A.E. Make</t>
  </si>
  <si>
    <t>MM2M202011</t>
  </si>
  <si>
    <t>Digital Meter - Volt Meter - 33 KV Digital voltmeter size 140 x 70 mm PTR-33 KV/110V, Auxiliary Supply 220V DC, A.E. Make</t>
  </si>
  <si>
    <t>MM2M203005</t>
  </si>
  <si>
    <t>Digital Meter - Ampere Meter - Digital panel meter to display current in Amp for C&amp;R panel range (0-1600 A), Auxiliary Supply 220V DC, Size 140 x 70 MM, A.E. Make</t>
  </si>
  <si>
    <t>MM2M204003</t>
  </si>
  <si>
    <t>Digital Meter - MW Meter - MW Meter 220 KV -size 140 x 70 mm PTR-220 KV/110V, CTR-1600/1 A, Auxiliary Supply 220V DC, A.E. Make</t>
  </si>
  <si>
    <t>Digital Meter - MVAR Meter - MVAR Meter 220 KV -size 140 x 70 mm PTR-220 KV/110V, CTR-1600/1 A, Auxiliary Supply 220V DC, A.E. Make</t>
  </si>
  <si>
    <t>NN4N401001</t>
  </si>
  <si>
    <t>Miscellaneous Panel Spare - Indication Lamp LED 220/110 V AC/DC - LED-Multycolour 110/220V Ac/Dc</t>
  </si>
  <si>
    <t>NN4N412002</t>
  </si>
  <si>
    <t>Miscellaneous Panel Spare - TNC -suitable for 220KV Control and relay panel.</t>
  </si>
  <si>
    <t>NN4N412004</t>
  </si>
  <si>
    <t>Miscellaneous Panel Spare - Trip transfer switch - TNC -suitable for 33KV Control and relay panel.</t>
  </si>
  <si>
    <t>NN5N504001</t>
  </si>
  <si>
    <t>Miscellaneous- - Contactor - power contactor 65A 440V</t>
  </si>
  <si>
    <t>Miscellaneous- - Contactor - power contactor 80A 440V</t>
  </si>
  <si>
    <t>Miscellaneous- - Contactor - power contactor 32A 440V</t>
  </si>
  <si>
    <t>NN5N506004</t>
  </si>
  <si>
    <t>Miscellaneous- - Resistor - variable</t>
  </si>
  <si>
    <t>NN5N506047</t>
  </si>
  <si>
    <t>Single Phasing and Unbalancing Preventor 415V</t>
  </si>
  <si>
    <t>SS2S201006</t>
  </si>
  <si>
    <t>Bus Post Insulator  (without corona ring) with creepage distance of 6125 mm. - 245 kV</t>
  </si>
  <si>
    <t>SS3S301016</t>
  </si>
  <si>
    <t>Bus Post Insulator  (without corona ring) with creepage distance of 3625 mm. - 145 kV</t>
  </si>
  <si>
    <t>SS6S605004</t>
  </si>
  <si>
    <t>Contactor  Air Break    16 Amp. 415 V Ac</t>
  </si>
  <si>
    <t>SS1S104006</t>
  </si>
  <si>
    <t>Contactor  415V AC  240 Volt A.C. Coils including frame for coil for 3ɸ Power Contactor  IC-65a &amp; IC-65a/4</t>
  </si>
  <si>
    <t>MCB  220V DC   Double Pole 32 Amp</t>
  </si>
  <si>
    <t>MCB  220V DC   Single Pole 32 Amp</t>
  </si>
  <si>
    <t>SS7S701002</t>
  </si>
  <si>
    <t>MCB  220V DC   Double Pole 20 Amp</t>
  </si>
  <si>
    <t>SS7S701003</t>
  </si>
  <si>
    <t>MCB  220V DC   10 Amp</t>
  </si>
  <si>
    <t>SS4S404001</t>
  </si>
  <si>
    <t>MCB  230V AC  Single Pole 32 Amp</t>
  </si>
  <si>
    <t>A. C. D. Box MCB 25 Amp</t>
  </si>
  <si>
    <t>SS7S705002</t>
  </si>
  <si>
    <t>MCB  415 AC  Four Pole C3.</t>
  </si>
  <si>
    <t>MCB  415 AC  Four Pole 40 Amp.</t>
  </si>
  <si>
    <t>MCB  415 AC  Four Pole 10 Amp.</t>
  </si>
  <si>
    <t>SS7S705007</t>
  </si>
  <si>
    <t>MCB  415 AC  Tripple Pole 3 Amp.</t>
  </si>
  <si>
    <t>SS7S704002</t>
  </si>
  <si>
    <t>MCB  230V AC  Double Pole 16 Amp</t>
  </si>
  <si>
    <t>SS7S704008</t>
  </si>
  <si>
    <t>MCB  230V AC  Double Pole 1 Amp</t>
  </si>
  <si>
    <t>SS7S705008</t>
  </si>
  <si>
    <t>MCB  415 AC  Tripple Pole 1 Amp.</t>
  </si>
  <si>
    <t>NN4N407001</t>
  </si>
  <si>
    <t>Timer  delay block Time delay block</t>
  </si>
  <si>
    <t>Fan Control Switch</t>
  </si>
  <si>
    <t>SS6S617008</t>
  </si>
  <si>
    <t>TPN Main Switch 415V 200A</t>
  </si>
  <si>
    <t>Auxiliary Connector</t>
  </si>
  <si>
    <t>Auxiliary contactor 12 A 230V</t>
  </si>
  <si>
    <t>VV1V101010</t>
  </si>
  <si>
    <t>Transformer  Bushing  -220/132 KV  HV-160 MVA</t>
  </si>
  <si>
    <t>VV1V101011</t>
  </si>
  <si>
    <t>Transformer  Bushing  -220/132 KV  LV-160 MVA</t>
  </si>
  <si>
    <t>VV1V101031</t>
  </si>
  <si>
    <t>Transformer  Bushing  -132/33KV  HV-80 MVA</t>
  </si>
  <si>
    <t>VV1V101032</t>
  </si>
  <si>
    <t>Transformer  Bushing  -132/33KV  LV-80 MVA</t>
  </si>
  <si>
    <t>VV1V101033</t>
  </si>
  <si>
    <t>Transformer  Bushing  -132/33KV  Neutral-80 MVA</t>
  </si>
  <si>
    <t>VV2V201001</t>
  </si>
  <si>
    <t>Transformer Gasket,  Breather, Silica gel &amp; Connector Gasket  Nitril gasket 10mm</t>
  </si>
  <si>
    <t>VV2V202007</t>
  </si>
  <si>
    <t>Silica Gel  Breather  Capacity 1 kg.</t>
  </si>
  <si>
    <t>Silica Gel   Blue crystal</t>
  </si>
  <si>
    <t>Transformer Bushing 36KV/200A</t>
  </si>
  <si>
    <t>Oil  Transformer Oil</t>
  </si>
  <si>
    <t>Ltr.</t>
  </si>
  <si>
    <t>Oil  Oil sample Bottle 2Ltr</t>
  </si>
  <si>
    <t>VV2V204004</t>
  </si>
  <si>
    <t>Oil  Oil sample Bottle 1Ltr</t>
  </si>
  <si>
    <t>Oil Empty Oil Drums</t>
  </si>
  <si>
    <t>Bushing CT for 160 MVA T/F</t>
  </si>
  <si>
    <t>HV Bushing CT for 80 MVA T/F</t>
  </si>
  <si>
    <t>MM0M007001</t>
  </si>
  <si>
    <t>Bucholz Relay for 160 MVA T/F</t>
  </si>
  <si>
    <t>HV Bushing WTI CT for 80 MVA T/F</t>
  </si>
  <si>
    <t>LV Bushing WTI CT for 80 MVA T/F</t>
  </si>
  <si>
    <t>Bushing CT for 80 MVA T/F</t>
  </si>
  <si>
    <t>Bucholz Relay for 80 MVA T/F</t>
  </si>
  <si>
    <t>MOG with float arm for 80 MVA T/F</t>
  </si>
  <si>
    <t>Flow Indicator</t>
  </si>
  <si>
    <t>VV1V103007</t>
  </si>
  <si>
    <t>160 MVA T/F HV Bushing Clamp</t>
  </si>
  <si>
    <t>160 MVA T/F LV Bushing Clamp</t>
  </si>
  <si>
    <t>80 MVA T/F LV Bushing Clamp</t>
  </si>
  <si>
    <t>50 MVA T/F HV Bushing Clamp</t>
  </si>
  <si>
    <t>50 MVA T/F LV Bushing Clamp</t>
  </si>
  <si>
    <t>Transformer Spare Oil Temperature indicator   Meter (0-120 0C )</t>
  </si>
  <si>
    <t>Transformer Spare Winding Temperature indicator Winding Temperature indicator   Meter</t>
  </si>
  <si>
    <t>VV2V208001</t>
  </si>
  <si>
    <t>Transformer Spare Level Gauge Magnetic oil Level Guage</t>
  </si>
  <si>
    <t>Transformer Spare PRV Pressure Relief Vent</t>
  </si>
  <si>
    <t>VV2V213003</t>
  </si>
  <si>
    <t>Transformer Spare Tap Position Indicator  SR.No. TPC 2001/12050</t>
  </si>
  <si>
    <t>VV3V302001</t>
  </si>
  <si>
    <t>Current Transformer  245KV   1600/800/1A  5 core Accuracy 0.2</t>
  </si>
  <si>
    <t>Current Transformer  245KV   1200/600/1A 5 core Accuracy 0.2</t>
  </si>
  <si>
    <t>VV3V302006</t>
  </si>
  <si>
    <t>Current Transformer  245KV   600/300/1 A  5 core Accuracy 0.2</t>
  </si>
  <si>
    <t>Current Transformer  245KV   200/100/1 A  5 core Accuracy 0.2</t>
  </si>
  <si>
    <t>Current Transformer  145KV   1200/800/1A 5 core Accuracy 0.2</t>
  </si>
  <si>
    <t>Current Transformer  145KV   1200/600/1A 5 core Accuracy 0.2</t>
  </si>
  <si>
    <t>Current Transformer   145KV  800/400/1 A  3 core Accuracy 0.2</t>
  </si>
  <si>
    <t>Current Transformer   145KV 200/100/1A 5 core Accuracy 0.2</t>
  </si>
  <si>
    <t>VV3V305001</t>
  </si>
  <si>
    <t>Current Transformer   33 KV  1600/800/1A 5 Core Accuracy 0.2</t>
  </si>
  <si>
    <t>Current Transformer   33 KV   800/400/1A 3 core Accuracy 0.2</t>
  </si>
  <si>
    <t>Current Transformer   33 KV   400/200/1A  3 core Accuracy 0.2</t>
  </si>
  <si>
    <t>Current Transformer   33 KV   1200/600/1A  3 core Accuracy 0.2</t>
  </si>
  <si>
    <t>Current Transformer   33 KV   1200/800/1A  3 core Accuracy 0.2</t>
  </si>
  <si>
    <t>VV7V701013</t>
  </si>
  <si>
    <t>Twin  Moose  Current Transformer Clamp</t>
  </si>
  <si>
    <t>VV7V701014</t>
  </si>
  <si>
    <t>Single Moose Current Transformer Clamp</t>
  </si>
  <si>
    <t>VV7V701025</t>
  </si>
  <si>
    <t>Current Transformer   Terminal Connectors 33 KV CT clamp having 20 mm dia bore</t>
  </si>
  <si>
    <t>CT clamp Panther to 30 mm Dia</t>
  </si>
  <si>
    <t>CT clamp Panther to 20 mm Dia</t>
  </si>
  <si>
    <t>33 KV Clamp 4"IPS to Twin Moose</t>
  </si>
  <si>
    <t>33 KV Clamp 4"IPS to Single Moose</t>
  </si>
  <si>
    <t>132 KV CT Clamp Suitable for Moose/4" AI Pipe</t>
  </si>
  <si>
    <t>132 KV CT Clamp for 4"IPS Tube to Single Moose</t>
  </si>
  <si>
    <t>132 KV CT Clamp 30mm to single moose</t>
  </si>
  <si>
    <t>VV6V502001</t>
  </si>
  <si>
    <t>PT (Potential Transformer) PT 220 KV/110 Volt with 0.2 accuracy</t>
  </si>
  <si>
    <t>VV6V507004</t>
  </si>
  <si>
    <t>PT (Potential Transformer) 145 KV CVT 3 core with one 0.2 accuracy</t>
  </si>
  <si>
    <t>PT (Potential Transformer) 145 KV PT 3 core with one 0.2 accuracy</t>
  </si>
  <si>
    <t>PT (Potential Transformer) PT 1-phase, 33KV/110 Volt -</t>
  </si>
  <si>
    <t>VV6V507002</t>
  </si>
  <si>
    <t>CVT CVT  220 KV/110 Volt -</t>
  </si>
  <si>
    <t>CVT CVT - CVT 132 KV/110 Volt - 145kv</t>
  </si>
  <si>
    <t>YY0Y003004</t>
  </si>
  <si>
    <t>Battery Cell 2 V 400AH  lead acid</t>
  </si>
  <si>
    <t>YY1Y101003</t>
  </si>
  <si>
    <t>Battery Charger 220 Volt DC   for 400AH Battery set</t>
  </si>
  <si>
    <t>Ceiling Fan Old &amp; Used</t>
  </si>
  <si>
    <t>Total in Rs.</t>
  </si>
  <si>
    <t>P- Group (T&amp;P)</t>
  </si>
  <si>
    <t>Steel Almera</t>
  </si>
  <si>
    <t>PP4P406006</t>
  </si>
  <si>
    <t>Steel Rack</t>
  </si>
  <si>
    <t>Chair</t>
  </si>
  <si>
    <t>PP4P408012</t>
  </si>
  <si>
    <t>chair PCH 9003</t>
  </si>
  <si>
    <t>PP4P409009</t>
  </si>
  <si>
    <t>Easy Chair PCN 500/T</t>
  </si>
  <si>
    <t>PP4P408017</t>
  </si>
  <si>
    <t>PP4P409004</t>
  </si>
  <si>
    <t>Chair PCH 1007</t>
  </si>
  <si>
    <t>Wheel chair</t>
  </si>
  <si>
    <t>Godrej chair 7003</t>
  </si>
  <si>
    <t>PP4P409006</t>
  </si>
  <si>
    <t>Godrej Visitor Chair 1007</t>
  </si>
  <si>
    <t>Table</t>
  </si>
  <si>
    <t>PP4P433011</t>
  </si>
  <si>
    <t>PP4P433008</t>
  </si>
  <si>
    <t>PP4P424001</t>
  </si>
  <si>
    <t>Office Table 1800X900X760</t>
  </si>
  <si>
    <t>PP4P414003</t>
  </si>
  <si>
    <t>Book Case Rack</t>
  </si>
  <si>
    <t>PP4P424022</t>
  </si>
  <si>
    <t>Table with 3 drawer</t>
  </si>
  <si>
    <t>PP4P429003</t>
  </si>
  <si>
    <t>Dining V1</t>
  </si>
  <si>
    <t>PP4P427007</t>
  </si>
  <si>
    <t>Center Table sonata</t>
  </si>
  <si>
    <t>PP4P432005</t>
  </si>
  <si>
    <t>Table wt711</t>
  </si>
  <si>
    <t>T&amp;C Equipments</t>
  </si>
  <si>
    <t>AC and other electrical/Electranics items</t>
  </si>
  <si>
    <t>PP2P217002</t>
  </si>
  <si>
    <t>Voltas water cooler with aquaflow eyreaforebs storage capacity 20 ltr.</t>
  </si>
  <si>
    <t>PP2P216002</t>
  </si>
  <si>
    <t>AC Votas 1.5 Ton</t>
  </si>
  <si>
    <t>Ropes</t>
  </si>
  <si>
    <t>Para Para Rope 24 mm</t>
  </si>
  <si>
    <t xml:space="preserve">Other T&amp;P </t>
  </si>
  <si>
    <t>PP2P201001</t>
  </si>
  <si>
    <t>Tong tester</t>
  </si>
  <si>
    <t>PP1P118027</t>
  </si>
  <si>
    <t>Screw driver Large  (Standard Quality)</t>
  </si>
  <si>
    <t>PP1P118028</t>
  </si>
  <si>
    <t>screw driver medium  (Standard Quality)</t>
  </si>
  <si>
    <t>PP1P110003</t>
  </si>
  <si>
    <t>Nose Plier  (Standard Quality)</t>
  </si>
  <si>
    <t>PP2P211001</t>
  </si>
  <si>
    <t>Vaccum cleaner with blower and suction</t>
  </si>
  <si>
    <t>Visitor chairs without arm (Godrej make)</t>
  </si>
  <si>
    <t>Portable SF6 Gas Leak Detector.</t>
  </si>
  <si>
    <t>PP1P138007</t>
  </si>
  <si>
    <t>Hydrolic Jack with gauge &amp; house pipe</t>
  </si>
  <si>
    <t>PP1P117015</t>
  </si>
  <si>
    <t>Open Jaw spanner</t>
  </si>
  <si>
    <t>PP1P117016</t>
  </si>
  <si>
    <t>double end tubeler box</t>
  </si>
  <si>
    <t>PP1P121003</t>
  </si>
  <si>
    <t>Adjestable wriench 200 mm Long</t>
  </si>
  <si>
    <t>PP1P119002</t>
  </si>
  <si>
    <t>Pipe wrinch 450 mm Long</t>
  </si>
  <si>
    <t>PP1P109009</t>
  </si>
  <si>
    <t>Gasket punch set</t>
  </si>
  <si>
    <t>Flat file</t>
  </si>
  <si>
    <t>PP1P113017</t>
  </si>
  <si>
    <t>Lather mallet</t>
  </si>
  <si>
    <t>PP1P136001</t>
  </si>
  <si>
    <t>Cold chiesel</t>
  </si>
  <si>
    <t>PP4P411007</t>
  </si>
  <si>
    <t>Stool</t>
  </si>
  <si>
    <t>Teak wood bed (singel)</t>
  </si>
  <si>
    <t>PP4P433014</t>
  </si>
  <si>
    <t>Table S1070</t>
  </si>
  <si>
    <t>DD0D001017</t>
  </si>
  <si>
    <t>Desktop PC</t>
  </si>
  <si>
    <t>DD0D004003</t>
  </si>
  <si>
    <t>TFT Monitor</t>
  </si>
  <si>
    <t>UPS 1 KVA</t>
  </si>
  <si>
    <t>Laser Printer</t>
  </si>
  <si>
    <t>PP2P226003</t>
  </si>
  <si>
    <t>Laser Fax</t>
  </si>
  <si>
    <t>PP0P020001</t>
  </si>
  <si>
    <t>Trafer 10T</t>
  </si>
  <si>
    <t>PP0P021016</t>
  </si>
  <si>
    <t>Single pully block</t>
  </si>
  <si>
    <t>PP0P021015</t>
  </si>
  <si>
    <t>Double pully block</t>
  </si>
  <si>
    <t>PP0P021013</t>
  </si>
  <si>
    <t>Four Pully block</t>
  </si>
  <si>
    <t>Al Lader 15 Feet</t>
  </si>
  <si>
    <t>PP1P148001</t>
  </si>
  <si>
    <t>Al Lader 24 Feet</t>
  </si>
  <si>
    <t>DD0D007019</t>
  </si>
  <si>
    <t>Printer Samsung</t>
  </si>
  <si>
    <t>PP4P408009</t>
  </si>
  <si>
    <t>Chair PCH5002T</t>
  </si>
  <si>
    <t>PP4P409017</t>
  </si>
  <si>
    <t>Chair PCH 1004</t>
  </si>
  <si>
    <t>Store well Plain Godrej</t>
  </si>
  <si>
    <t>DD1D106001</t>
  </si>
  <si>
    <t>Broad band modem</t>
  </si>
  <si>
    <t>Al Tower lader</t>
  </si>
  <si>
    <t>30 Watt LED rechargeable portable light</t>
  </si>
  <si>
    <t>PP2P222004</t>
  </si>
  <si>
    <t>Desert cooler with Stand</t>
  </si>
  <si>
    <t>PP1P126014</t>
  </si>
  <si>
    <t>MRI Instrument</t>
  </si>
  <si>
    <t>PP2P223014</t>
  </si>
  <si>
    <t>Cell Phone LM6</t>
  </si>
  <si>
    <t>Cell Phone 2630</t>
  </si>
  <si>
    <t>Cell Phone 2626</t>
  </si>
  <si>
    <t>PP2P223009</t>
  </si>
  <si>
    <t>Karbon Cell Phone (A101)</t>
  </si>
  <si>
    <t>PP2P223008</t>
  </si>
  <si>
    <t>Micromax Cell Phone (A60)</t>
  </si>
  <si>
    <t>PP2P223001</t>
  </si>
  <si>
    <t>Samsung Cell Phone (grand)</t>
  </si>
  <si>
    <t>Desktop Computer System</t>
  </si>
  <si>
    <t>DD0D007012</t>
  </si>
  <si>
    <t>Printer HP pro</t>
  </si>
  <si>
    <t>DD1D101012</t>
  </si>
  <si>
    <t>UPS 600VA</t>
  </si>
  <si>
    <t>DD0D007024</t>
  </si>
  <si>
    <t>Photo copier machine</t>
  </si>
  <si>
    <t>PP0P004002</t>
  </si>
  <si>
    <t>Hydraulic Compressor of 100 Ton Capacity</t>
  </si>
  <si>
    <t>PP0P006006</t>
  </si>
  <si>
    <t>Compression die sets suitable for jointing ACSR Zebra (Steel Portion)</t>
  </si>
  <si>
    <t>PP0P006005</t>
  </si>
  <si>
    <t>Compression die sets suitable for jointing ACSR Zebra (Aluminium Portion)</t>
  </si>
  <si>
    <t>Bolted type come along clamp, 7 bolts for Zebra Conductor</t>
  </si>
  <si>
    <t>D Shackle 3 Ton</t>
  </si>
  <si>
    <t>PP0P018004</t>
  </si>
  <si>
    <t>D Shackle 6.5 Ton</t>
  </si>
  <si>
    <t>Helmet Yellow (Karam Make)</t>
  </si>
  <si>
    <t>PP1P122001</t>
  </si>
  <si>
    <t>Gas Filling Device</t>
  </si>
  <si>
    <t>PP1P125001</t>
  </si>
  <si>
    <t>Connecting Pipe HP to LP</t>
  </si>
  <si>
    <t>Godrej Storewel Plain 4SH</t>
  </si>
  <si>
    <t>Godrej 4 Drawers Vertical Filling Cabinet</t>
  </si>
  <si>
    <t>Printer Canon IR 2625 with Duplex &amp; DADF</t>
  </si>
  <si>
    <t>Water Cooler</t>
  </si>
  <si>
    <t>PP2P218005</t>
  </si>
  <si>
    <t>Kent RO Water filter</t>
  </si>
  <si>
    <t>PP2P223016</t>
  </si>
  <si>
    <t>Mobile Phone (OS Ram SIngh Adhikari)</t>
  </si>
  <si>
    <t>Non contact voltage detector</t>
  </si>
  <si>
    <t>Name of Circle/ Zone :- Haldwani / Kumaon                                                                                                                Name of Substation :- 132 KV S/s Pithoragarh</t>
  </si>
  <si>
    <t>Name of  Division:- O&amp;M Almora                                                                                                                                                                                                                                                                        Month : July 2025</t>
  </si>
  <si>
    <t xml:space="preserve"> Stock &amp; T&amp;P  Material Up To : 22 July  -2026 of Sri Anand Singh Gobari J.E.  At 132 KV Substation Pithoragarh</t>
  </si>
  <si>
    <t xml:space="preserve">ACSR Conductor Moose </t>
  </si>
  <si>
    <t>AA0A004001</t>
  </si>
  <si>
    <t>ACSR Conductor Zebra Conductor in pieces</t>
  </si>
  <si>
    <t>BB0B002001</t>
  </si>
  <si>
    <t xml:space="preserve"> 552.50 KVARCapacitor Cell suitable for2X5 MVAR CAPACITOR Bank</t>
  </si>
  <si>
    <t>CC0C002010</t>
  </si>
  <si>
    <t>PVC Control Cable  6core</t>
  </si>
  <si>
    <t>PVC Control Cable  4 core</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</si>
  <si>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</si>
  <si>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</si>
  <si>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</si>
  <si>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</si>
  <si>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</si>
  <si>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</si>
  <si>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</si>
  <si>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</si>
  <si>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</si>
  <si>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</si>
  <si>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</si>
  <si>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</si>
  <si>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</si>
  <si>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</si>
  <si>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</si>
  <si>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</si>
  <si>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</si>
  <si>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</si>
  <si>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</si>
  <si>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</si>
  <si>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</si>
  <si>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</si>
  <si>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</si>
  <si>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</si>
  <si>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</si>
  <si>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PG Clamp  Moose-  Panther 3 bolted type</t>
  </si>
  <si>
    <t>Old &amp; Used PG Clamp  Moose-  Panther</t>
  </si>
  <si>
    <t>PG Clamp  Deer-  Panther</t>
  </si>
  <si>
    <t>PG Clamp  Zebra-  Panther</t>
  </si>
  <si>
    <t>Old &amp; Used PG Clamp  Zebra-  Panther</t>
  </si>
  <si>
    <t>II1I104003</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</si>
  <si>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</si>
  <si>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</si>
  <si>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</si>
  <si>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</si>
  <si>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</si>
  <si>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</si>
  <si>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</si>
  <si>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</si>
  <si>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</si>
  <si>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</si>
  <si>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</si>
  <si>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</si>
  <si>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JJ1J103005</t>
  </si>
  <si>
    <t>Tripping coil of 132 Kv SF6 Ckt. Breaker of AREVA make</t>
  </si>
  <si>
    <t>Tripping coil of 132 Kv SF6 Ckt. Breaker of ABB make</t>
  </si>
  <si>
    <t>JJ1J105005</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</si>
  <si>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</si>
  <si>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</si>
  <si>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</si>
  <si>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</si>
  <si>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</si>
  <si>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</si>
  <si>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</si>
  <si>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</si>
  <si>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33 KV Polymer Lightning Arrestor with surge counter</t>
  </si>
  <si>
    <t>KK1K001007</t>
  </si>
  <si>
    <t>132 KV Lightning Arrester counter</t>
  </si>
  <si>
    <t>LL6L602002</t>
  </si>
  <si>
    <t>1.5 Sq.mm Flexible wire roll (90 mtr. Each)</t>
  </si>
  <si>
    <t>MM3M301006</t>
  </si>
  <si>
    <t>Volt Meter</t>
  </si>
  <si>
    <t>MM3M302006</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</si>
  <si>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</si>
  <si>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</si>
  <si>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</si>
  <si>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</si>
  <si>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</si>
  <si>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</si>
  <si>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</si>
  <si>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</si>
  <si>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</si>
  <si>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</si>
  <si>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 xml:space="preserve">63 Amp. 4 poleMCCB </t>
  </si>
  <si>
    <t>VV2V201002</t>
  </si>
  <si>
    <t>nitril gasket 10mm thickness</t>
  </si>
  <si>
    <t>Sqmtr.</t>
  </si>
  <si>
    <t>nitril gasket 8mm thickness</t>
  </si>
  <si>
    <t>VV2V201005</t>
  </si>
  <si>
    <t>nitril gasket 6mm thickness</t>
  </si>
  <si>
    <t>VV3V301001</t>
  </si>
  <si>
    <t xml:space="preserve">ElectrolT/F oil as per Is 335:1993 </t>
  </si>
  <si>
    <t>KL</t>
  </si>
  <si>
    <t>Transformer oil old &amp; used(Centrifuged)</t>
  </si>
  <si>
    <t>VV3V301007</t>
  </si>
  <si>
    <t>Empty Trasformer oil Drum</t>
  </si>
  <si>
    <t>Transformer oil drums old &amp;used</t>
  </si>
  <si>
    <t>VV3V301003</t>
  </si>
  <si>
    <t xml:space="preserve">   Stainless steel T/F Oil Sampling Container of 2 Ltr. Capacity</t>
  </si>
  <si>
    <t>VV3V301004</t>
  </si>
  <si>
    <t xml:space="preserve"> Stainless steel T/F Oil Sampling Container of 1 Ltr. Capacity</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</si>
  <si>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</si>
  <si>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</si>
  <si>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</si>
  <si>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</si>
  <si>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</si>
  <si>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</si>
  <si>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</si>
  <si>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</si>
  <si>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</si>
  <si>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PG Clamp Zebra to Zebra Conductor</t>
  </si>
  <si>
    <t>FF4F401043</t>
  </si>
  <si>
    <t>12 mm Thickness 2.5 inches long GI Nuts &amp; bolts with two washer</t>
  </si>
  <si>
    <t>Aluminum cable 3.5 X 35 Sqmm</t>
  </si>
  <si>
    <t>132 KV LA(Old &amp; Used)</t>
  </si>
  <si>
    <t>Online oil leakage Arrestor Kit</t>
  </si>
  <si>
    <t xml:space="preserve"> Silica gel in blue colour crystal</t>
  </si>
  <si>
    <t>33 KV outdoor termination kit 3 X 300 sqmm</t>
  </si>
  <si>
    <t>Galvnizing coating spraywith zinc of 400 ml pack</t>
  </si>
  <si>
    <t>Old &amp; used 20 MVA T/F (NGEF Make)</t>
  </si>
  <si>
    <t>Obselet &amp; Scrap Material -</t>
  </si>
  <si>
    <t>JJ1J105019</t>
  </si>
  <si>
    <t>Defective Spring charge motor of 33 kv ckt. Breaker (ABB)</t>
  </si>
  <si>
    <t>YY0Y002005</t>
  </si>
  <si>
    <t xml:space="preserve">Battery set 110V, 60AH, old used and unserviceable   </t>
  </si>
  <si>
    <t>YY1Y101006</t>
  </si>
  <si>
    <t>02 V 300 AH Battery Cell Old &amp; Used Damaged</t>
  </si>
  <si>
    <t xml:space="preserve">Battery set 110V, 300 AH Tubular lead acid, old used and unserviceable   </t>
  </si>
  <si>
    <t>CT Junction Box</t>
  </si>
  <si>
    <t>PT Junction Box</t>
  </si>
  <si>
    <t>VV8V810003</t>
  </si>
  <si>
    <t xml:space="preserve">145KV C.V.T. ABB make  </t>
  </si>
  <si>
    <t>CC5C506002</t>
  </si>
  <si>
    <t xml:space="preserve">11 KV Cable box XLPE 3X400 Sq.mm outdoor type   </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</si>
  <si>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</si>
  <si>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</si>
  <si>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</si>
  <si>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</si>
  <si>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</si>
  <si>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</si>
  <si>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</si>
  <si>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VV5V505021</t>
  </si>
  <si>
    <t>Old &amp; Used 33 KV CT 400/200/1 Amp,2 core</t>
  </si>
  <si>
    <t>Old and used 132 KV CT 400/200/100/1A (SCT make)</t>
  </si>
  <si>
    <t>Old &amp; used 145 Kv CVT (ABB Make)</t>
  </si>
  <si>
    <t>Old &amp; Used 33 KV Ckt. Breaker (VCB) ABB Make</t>
  </si>
  <si>
    <t>Old &amp; used 145 KV CVT Alstom Make</t>
  </si>
  <si>
    <t>old &amp; used 33 KV CT,(Ratio-400/200/1A)</t>
  </si>
  <si>
    <t>old &amp; used 33 KV CT,(Ratio-200/100/1A)</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</si>
  <si>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</si>
  <si>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</si>
  <si>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</si>
  <si>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</si>
  <si>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</si>
  <si>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</si>
  <si>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</si>
  <si>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</si>
  <si>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</si>
  <si>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</si>
  <si>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</si>
  <si>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</si>
  <si>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</si>
  <si>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</si>
  <si>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</si>
  <si>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</si>
  <si>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</si>
  <si>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</si>
  <si>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</si>
  <si>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</si>
  <si>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</si>
  <si>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</si>
  <si>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</si>
  <si>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</si>
  <si>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</si>
  <si>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</si>
  <si>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</si>
  <si>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</si>
  <si>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</si>
  <si>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</si>
  <si>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</si>
  <si>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</si>
  <si>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</si>
  <si>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</si>
  <si>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</si>
  <si>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</si>
  <si>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</si>
  <si>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</si>
  <si>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</si>
  <si>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</si>
  <si>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</si>
  <si>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</si>
  <si>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</si>
  <si>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</si>
  <si>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</si>
  <si>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</si>
  <si>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</si>
  <si>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</si>
  <si>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</si>
  <si>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</si>
  <si>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</si>
  <si>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</si>
  <si>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</si>
  <si>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</si>
  <si>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</si>
  <si>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</si>
  <si>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</si>
  <si>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</si>
  <si>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</si>
  <si>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</si>
  <si>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</si>
  <si>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</si>
  <si>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</si>
  <si>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</si>
  <si>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</si>
  <si>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</si>
  <si>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</si>
  <si>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</si>
  <si>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</si>
  <si>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</si>
  <si>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</si>
  <si>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</si>
  <si>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</si>
  <si>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Tong Tester Make- Motwane</t>
  </si>
  <si>
    <t xml:space="preserve"> PP1P144006 </t>
  </si>
  <si>
    <t>Discharge rod having 4.5 mtr. In 3peices1.5 mtr. Each &amp;25 mtr.long cable</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</si>
  <si>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</si>
  <si>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</si>
  <si>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</si>
  <si>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</si>
  <si>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</si>
  <si>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</si>
  <si>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</si>
  <si>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</si>
  <si>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</si>
  <si>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</si>
  <si>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</si>
  <si>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</si>
  <si>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</si>
  <si>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</si>
  <si>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</si>
  <si>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</si>
  <si>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</si>
  <si>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</si>
  <si>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</si>
  <si>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</si>
  <si>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</si>
  <si>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</si>
  <si>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</si>
  <si>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</si>
  <si>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</si>
  <si>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</si>
  <si>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</si>
  <si>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</si>
  <si>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</si>
  <si>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</si>
  <si>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</si>
  <si>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</si>
  <si>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</si>
  <si>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</si>
  <si>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</si>
  <si>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</si>
  <si>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</si>
  <si>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</si>
  <si>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</si>
  <si>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</si>
  <si>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</si>
  <si>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</si>
  <si>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</si>
  <si>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July  2026 of Sri Jitendra Joshi J.E.  At 132 KV Sub Division Pithoragarh</t>
  </si>
  <si>
    <t>AA0A005001</t>
  </si>
  <si>
    <t xml:space="preserve">ACSR panther conductor </t>
  </si>
  <si>
    <t>1.3</t>
  </si>
  <si>
    <t>AA1A102001</t>
  </si>
  <si>
    <t>old &amp; used 7/10 SWG earth wire in pieces</t>
  </si>
  <si>
    <t>42.65</t>
  </si>
  <si>
    <t>AA0A008001</t>
  </si>
  <si>
    <t xml:space="preserve">ACSR dog conductor </t>
  </si>
  <si>
    <t>FF2F233012</t>
  </si>
  <si>
    <t>Template for “C” type tower</t>
  </si>
  <si>
    <t>M.T.</t>
  </si>
  <si>
    <t>FF2F233010</t>
  </si>
  <si>
    <t>Template for “B” type tower</t>
  </si>
  <si>
    <t>FF0F003011</t>
  </si>
  <si>
    <t>Galv. Tower parts for “C” type</t>
  </si>
  <si>
    <t>9.8112</t>
  </si>
  <si>
    <t>FF4F401027</t>
  </si>
  <si>
    <t>Galv. Nuts &amp; bolts16*35 , W.T/Pcs.= 0.117kg</t>
  </si>
  <si>
    <t>24.456</t>
  </si>
  <si>
    <t>Galv. Nuts &amp; bolts16*50 , W.T/Pcs.= 0.141kg</t>
  </si>
  <si>
    <t>33.435</t>
  </si>
  <si>
    <t>FF4F401022</t>
  </si>
  <si>
    <t>Galv. Nuts &amp; bolts16*55 , W.T/Pcs.= 0.149kg</t>
  </si>
  <si>
    <t>FF4F401008</t>
  </si>
  <si>
    <t>Galv. Nuts &amp; bolts16*175 , W.T/Pcs.= 0.417kg</t>
  </si>
  <si>
    <t>85.352</t>
  </si>
  <si>
    <t>FF4F402104</t>
  </si>
  <si>
    <t xml:space="preserve"> M 16 pack washer 6mm w.t/Pcs=0.034kg</t>
  </si>
  <si>
    <t>2.724</t>
  </si>
  <si>
    <t>FF4F402103</t>
  </si>
  <si>
    <t xml:space="preserve"> M 16 pack washer 8mm w.t/Pcs=0.045kg</t>
  </si>
  <si>
    <t>3.78</t>
  </si>
  <si>
    <t xml:space="preserve"> M 16 pack washer 10mm w.t/Pcs=0.057kg</t>
  </si>
  <si>
    <t>1.948</t>
  </si>
  <si>
    <t>FF4F402105</t>
  </si>
  <si>
    <t xml:space="preserve"> M 16*5 pack washer  w.t/Pcs=0.011kg</t>
  </si>
  <si>
    <t>6.905</t>
  </si>
  <si>
    <t>FF4F402139</t>
  </si>
  <si>
    <t>MS channel size 125*65 mm for top channel of SP-72 pole</t>
  </si>
  <si>
    <t>0.386</t>
  </si>
  <si>
    <t>FF2F233003</t>
  </si>
  <si>
    <t>GI template B-type</t>
  </si>
  <si>
    <t>FF2F233005</t>
  </si>
  <si>
    <t>GI template C-type</t>
  </si>
  <si>
    <t>Mid Span Joints</t>
  </si>
  <si>
    <t>95</t>
  </si>
  <si>
    <t>Repair Sleeve for Panther</t>
  </si>
  <si>
    <t>58</t>
  </si>
  <si>
    <t>Mid Span Joint for Earth wire</t>
  </si>
  <si>
    <t>23</t>
  </si>
  <si>
    <t>II0I002002</t>
  </si>
  <si>
    <t>120 KN silicon rubber/polymer disc insulator including cross arm &amp; conductor end fitting</t>
  </si>
  <si>
    <t>2</t>
  </si>
  <si>
    <t>PG clamp moose to panther 4 bolted type</t>
  </si>
  <si>
    <t>15</t>
  </si>
  <si>
    <t>PG clamp moose to moose</t>
  </si>
  <si>
    <t>II0I002001</t>
  </si>
  <si>
    <t>disc insulator</t>
  </si>
  <si>
    <t>110</t>
  </si>
  <si>
    <t>II0I004001</t>
  </si>
  <si>
    <t xml:space="preserve"> 70 KN 11kv disc insulator</t>
  </si>
  <si>
    <t>555</t>
  </si>
  <si>
    <t>Steel  rope ½” dia best quality ISI mark</t>
  </si>
  <si>
    <t>Dismantled old &amp; damaged tower parts</t>
  </si>
  <si>
    <t>3.24947</t>
  </si>
  <si>
    <t>MS angel size 65*65*6 mm for bracing of SP-72 pole</t>
  </si>
  <si>
    <t>0.3574</t>
  </si>
  <si>
    <t>old &amp; used tower parts</t>
  </si>
  <si>
    <t>4.5125</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</si>
  <si>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</si>
  <si>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</si>
  <si>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</si>
  <si>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</si>
  <si>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</si>
  <si>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</si>
  <si>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</si>
  <si>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II8I802005</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</si>
  <si>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</si>
  <si>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</si>
  <si>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</si>
  <si>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</si>
  <si>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</si>
  <si>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</si>
  <si>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</si>
  <si>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</si>
  <si>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</si>
  <si>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</si>
  <si>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</si>
  <si>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</si>
  <si>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</si>
  <si>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</si>
  <si>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</si>
  <si>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MSJ for modifiedearth wire (7/4 m.m.)</t>
  </si>
  <si>
    <t>vibration damper for modified earth wire (7/4 m.m.)</t>
  </si>
  <si>
    <t>Compression type tension fitting for modified earth wire (7/4 m.m.)</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</si>
  <si>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</si>
  <si>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</si>
  <si>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</si>
  <si>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</si>
  <si>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</si>
  <si>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</si>
  <si>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Bolted type come along clamp,7 bolts for ACSR Panther conductor</t>
  </si>
  <si>
    <t xml:space="preserve"> come along clamp,4 bolted type suitable for 7/10 SWG Earth wire,</t>
  </si>
  <si>
    <t>Single sheave pulley open type of 5 ton capacity,</t>
  </si>
  <si>
    <t>Safety belt  PN 17 full body,</t>
  </si>
  <si>
    <t>Hydraulic conductor cutter,</t>
  </si>
  <si>
    <t>PP0P017021</t>
  </si>
  <si>
    <t>Steel rope endless sling 10 ton capacity 12 mm 1.5 Mtr,</t>
  </si>
  <si>
    <t>Steel rope endless sling 10 ton capacity 12 mm 3 Mtr,</t>
  </si>
  <si>
    <t xml:space="preserve">Format of Monthly Inventory for Uploading on PTCUL Website </t>
  </si>
  <si>
    <t>Name of Circle/ Zone:- O&amp;M Kumaon Zone Haldwani</t>
  </si>
  <si>
    <t>Name of Substation 132 KV S/s Ranikhet</t>
  </si>
  <si>
    <t>Name of Division O&amp;M Div. Almora</t>
  </si>
  <si>
    <t>Month till 22 July 2026</t>
  </si>
  <si>
    <t xml:space="preserve">Book Value Per Unit </t>
  </si>
  <si>
    <t>Capital Items</t>
  </si>
  <si>
    <t>FF0F050008</t>
  </si>
  <si>
    <t>Structure - ATM</t>
  </si>
  <si>
    <t>FF0F050020</t>
  </si>
  <si>
    <t>Structure - CGR</t>
  </si>
  <si>
    <t>FF0F050022</t>
  </si>
  <si>
    <t>Structure - CCR</t>
  </si>
  <si>
    <t>FF0F050032</t>
  </si>
  <si>
    <t>132 kv Peak type structure XPM</t>
  </si>
  <si>
    <t>FF2F201004</t>
  </si>
  <si>
    <t>MS Earthing rod - 36mm Dia</t>
  </si>
  <si>
    <t>II0I001004</t>
  </si>
  <si>
    <t>120KN Polymer Disc Insulator</t>
  </si>
  <si>
    <t>70KN Disc Insulator</t>
  </si>
  <si>
    <t xml:space="preserve">ACSR Zebra Single Tension Fitting </t>
  </si>
  <si>
    <t>ACSR Panther Single Tension Fitting</t>
  </si>
  <si>
    <t>ACSR Zebra Single Suspension Fitting</t>
  </si>
  <si>
    <t>132 KV LA (Old and Used)</t>
  </si>
  <si>
    <t>33 KV LA (Old and Used)</t>
  </si>
  <si>
    <t>132 KV /33KV 5MVA Power TF (GEC) Defective</t>
  </si>
  <si>
    <t>VV1V101034</t>
  </si>
  <si>
    <t>132/33 KV HV-40 MVA Transformer Bushing</t>
  </si>
  <si>
    <t>145 KV (5 core) CT (200/100/1A)</t>
  </si>
  <si>
    <t>33 KV CT 400/200/1A 3 Core</t>
  </si>
  <si>
    <t>VV4V305012</t>
  </si>
  <si>
    <t>33KV CT 300/150/1 A</t>
  </si>
  <si>
    <t>33 KV CT 200-100/1 Amp 3 Core</t>
  </si>
  <si>
    <t>VV6V602003</t>
  </si>
  <si>
    <t>145 KV CVT (Accuracy Class 0.5)</t>
  </si>
  <si>
    <t>M&amp;R</t>
  </si>
  <si>
    <t>Acsr Conductor Panther</t>
  </si>
  <si>
    <t>ACSR Conductor Weasel</t>
  </si>
  <si>
    <t>AA1A102002</t>
  </si>
  <si>
    <t>Stay wire set</t>
  </si>
  <si>
    <t>AA1A102003</t>
  </si>
  <si>
    <t>GI wire 8 No.</t>
  </si>
  <si>
    <t>4C x 2.5 Sqmm armoured control cable (copper)</t>
  </si>
  <si>
    <t>Kmtr</t>
  </si>
  <si>
    <t>CC1C103010</t>
  </si>
  <si>
    <t>3.5C x 70 Sqmm armoured power cable (Al)</t>
  </si>
  <si>
    <t>CC1C103014</t>
  </si>
  <si>
    <t>4C x 16 Sqmm armoured power cable (Al)</t>
  </si>
  <si>
    <t>CC3C307002</t>
  </si>
  <si>
    <t xml:space="preserve">33 KV Heat Shrink Cable termination kit outdoor type for 3-ph 300 sqmm XLPE cable </t>
  </si>
  <si>
    <t>CC3C317002</t>
  </si>
  <si>
    <t>HT Tape roll suitable for 11 KV to 33 KV</t>
  </si>
  <si>
    <t>steel nut&amp;bolt of different size</t>
  </si>
  <si>
    <t>FF1F108003</t>
  </si>
  <si>
    <t>U Type bolt- with Nuts and Washer</t>
  </si>
  <si>
    <t>FF3F301007</t>
  </si>
  <si>
    <t>S.T. Round Pole (6.5Mtr cut piece)</t>
  </si>
  <si>
    <t>Petrollium Jelly</t>
  </si>
  <si>
    <t>CRC Bottle 500 ml</t>
  </si>
  <si>
    <t>GG0G001006</t>
  </si>
  <si>
    <t>Grease Standard Quality</t>
  </si>
  <si>
    <t>Disc Insulator (Line 2S account)</t>
  </si>
  <si>
    <t>PG Clamp Zebra to Panther</t>
  </si>
  <si>
    <t>C-Wedge Clamp Zebra to Panther</t>
  </si>
  <si>
    <t>C-Wedge Clamp Panther to Panther</t>
  </si>
  <si>
    <t>II2I201001</t>
  </si>
  <si>
    <t>SP Pole Stay Clamp</t>
  </si>
  <si>
    <t>II2I204005</t>
  </si>
  <si>
    <t>PG Clamp for HV Transformer Bushing for 20MVA 132/33KV Transformer</t>
  </si>
  <si>
    <t>Panther Conductor Mid Span Joint</t>
  </si>
  <si>
    <t>7/10 SWG Conductor Repair Sleeve</t>
  </si>
  <si>
    <t>7/10 SWG Wire Vibration Damper</t>
  </si>
  <si>
    <t>II2I204006</t>
  </si>
  <si>
    <t>Clamp for 33 KV Post Insulator for Panther Conductor</t>
  </si>
  <si>
    <t>132 KV SF6 Circuit Breaker 110 V DC Trip Coil</t>
  </si>
  <si>
    <t>132 KV SF6 Circuit Breaker 110 V DC Closing Coil</t>
  </si>
  <si>
    <t>132 KV SF6 Circuit Breaker Spring Charging Motor</t>
  </si>
  <si>
    <t>33KV SF6 Circuit Breaker 220 V AC/DC Spring Charging Motor</t>
  </si>
  <si>
    <t>33 KV SF6 Circuit Breaker 110V DC Trip Coil</t>
  </si>
  <si>
    <t>33 KV SF6 Circuit Breaker 110V DC Closing Coil</t>
  </si>
  <si>
    <t xml:space="preserve">Limit switch 110VDC CB Auxiliary Switch for spring </t>
  </si>
  <si>
    <t>Local/Remote Switch CB Auxiliary Switch</t>
  </si>
  <si>
    <t>JJ7J701013</t>
  </si>
  <si>
    <t>14NO+14NC CB Auxiliary Switch</t>
  </si>
  <si>
    <t>JJ7J701020</t>
  </si>
  <si>
    <t xml:space="preserve">Auxiliary Power Contact for 
132KV ABB Make Breaker </t>
  </si>
  <si>
    <t>JJ7J710028</t>
  </si>
  <si>
    <t>Circuit Breaker Operation Counter</t>
  </si>
  <si>
    <t>T&amp;C Selector switch</t>
  </si>
  <si>
    <t>JJ3J301009</t>
  </si>
  <si>
    <t>Interlocking relay for ABB 132 KV Breaker 110 VDC</t>
  </si>
  <si>
    <t>JJ3J301019</t>
  </si>
  <si>
    <t>Air Break Contactor LC -1 250 Volt aux contacts 1 NO + 1 NC 25 Amp</t>
  </si>
  <si>
    <t>JJ3J302030</t>
  </si>
  <si>
    <t xml:space="preserve">Supply  of Anti pumping relay for 33KV ABB Make Breaker </t>
  </si>
  <si>
    <t xml:space="preserve">Antipumping Relay for 132KV ABB Make Breaker </t>
  </si>
  <si>
    <t>132 KV Lighting Arrestor</t>
  </si>
  <si>
    <t>33 KV Lighting Arrestor</t>
  </si>
  <si>
    <t>132 KV Voltmeter</t>
  </si>
  <si>
    <t>33 KV Voltmeter</t>
  </si>
  <si>
    <t>Digital Ampere Meter (0-400A)</t>
  </si>
  <si>
    <t>Digital Ampere Meter (0-200A)</t>
  </si>
  <si>
    <t>MM3M304015</t>
  </si>
  <si>
    <t>MW meter (-25 MW to 25 MW)</t>
  </si>
  <si>
    <t>MM2M205016</t>
  </si>
  <si>
    <t>MVAR meter (-12.5 MVAR to +12.5 MVAr)</t>
  </si>
  <si>
    <t>NN4N403001</t>
  </si>
  <si>
    <t>Indication lamp red colour LED 110VDC</t>
  </si>
  <si>
    <t>NN4N403002</t>
  </si>
  <si>
    <t>Indication Lamp Yellow colour LED 110 VDC</t>
  </si>
  <si>
    <t>NN4N403003</t>
  </si>
  <si>
    <t>Indication Lamp Green colour LED 110 VDC</t>
  </si>
  <si>
    <t>NN4N411005</t>
  </si>
  <si>
    <t>63 Amp 250 V Rotary Switch</t>
  </si>
  <si>
    <t>PP1P141005</t>
  </si>
  <si>
    <t>Submersible pump 5HP</t>
  </si>
  <si>
    <t>GI D-Shackle</t>
  </si>
  <si>
    <t>PP0P010002</t>
  </si>
  <si>
    <t>Heavy duty turn buckle for transmission lines 5 Ton</t>
  </si>
  <si>
    <t>132KV Isolator Male contact blade</t>
  </si>
  <si>
    <t>132KV Isolator Female contact blade</t>
  </si>
  <si>
    <t>132KV Isolator supporting Insulator</t>
  </si>
  <si>
    <t>33KV Isolator Jaw</t>
  </si>
  <si>
    <t>SS4S402015</t>
  </si>
  <si>
    <t>33 KV Isolator Blade Copper tube</t>
  </si>
  <si>
    <t>132 KV isolator clamp</t>
  </si>
  <si>
    <t>Isolator Clamp 132 KV for ACSR Panther Conductor</t>
  </si>
  <si>
    <t>SS5S501021</t>
  </si>
  <si>
    <t>Single Panther Isolator Clamp(33 KV Terminal Pad type)</t>
  </si>
  <si>
    <t>SS5S501026</t>
  </si>
  <si>
    <t>Single Dog Isolator Clamp</t>
  </si>
  <si>
    <t>SS6S606006</t>
  </si>
  <si>
    <t xml:space="preserve">Power Contact for 132KV
 ABB Make Breaker </t>
  </si>
  <si>
    <t xml:space="preserve">HRC Fuse 10 AMP </t>
  </si>
  <si>
    <t xml:space="preserve">HRC Fuse 6 AMP </t>
  </si>
  <si>
    <t>SS6S610026</t>
  </si>
  <si>
    <t xml:space="preserve">HRC Fuse 4 AMP </t>
  </si>
  <si>
    <t>SS6S610027</t>
  </si>
  <si>
    <t xml:space="preserve">HRC Fuse 2 AMP </t>
  </si>
  <si>
    <t>SS7S702002</t>
  </si>
  <si>
    <t>Double Pole MCB 10 Amp 110 Volt</t>
  </si>
  <si>
    <t xml:space="preserve">Dc MCB 2pole Rating 10A 110V DC </t>
  </si>
  <si>
    <t>SS7S702004</t>
  </si>
  <si>
    <t xml:space="preserve">Dc MCB 2pole Rating 6A 110V DC </t>
  </si>
  <si>
    <t>SS7S702006</t>
  </si>
  <si>
    <t xml:space="preserve">Dc MCB 2pole Rating 4A 110V DC </t>
  </si>
  <si>
    <t>SS7S702007</t>
  </si>
  <si>
    <t xml:space="preserve">MCB  2pole 2A 110V DC </t>
  </si>
  <si>
    <t xml:space="preserve">Double Pole MCB 02 Amp </t>
  </si>
  <si>
    <t xml:space="preserve">MCB  2 Pole Rating 2A 240VAc </t>
  </si>
  <si>
    <t>SS7S705001</t>
  </si>
  <si>
    <t xml:space="preserve">3 Pole 440 Volt LT Circuit Breaker
 rated current 60A breaking Capacity Ics-37KA with  Lugs  of C&amp;S make </t>
  </si>
  <si>
    <t>Transformer Oil Sampling stainless steel Bottle 2 Ltr</t>
  </si>
  <si>
    <t>Transformer Oil Sampling stainless steel Bottle 1 Ltr</t>
  </si>
  <si>
    <t>Transformer Drms Old &amp; Used</t>
  </si>
  <si>
    <t>VV2V210001</t>
  </si>
  <si>
    <t>TF conservator shutoff valve 75mm bore</t>
  </si>
  <si>
    <t>CT clamp</t>
  </si>
  <si>
    <t>CT clamp suitable for panther conductor</t>
  </si>
  <si>
    <t>VV2V205001</t>
  </si>
  <si>
    <t>Online leakage arrester kit</t>
  </si>
  <si>
    <t>Silica gel in blue colour</t>
  </si>
  <si>
    <t>ZZ2Z005004</t>
  </si>
  <si>
    <t>AC Ampere meter size 65x65 mm range 0-25 Amp</t>
  </si>
  <si>
    <t>Thermal over load relay Make Telemechanic</t>
  </si>
  <si>
    <t>Premium Butain gas bottle 300gm</t>
  </si>
  <si>
    <t xml:space="preserve">Surge Counter for LA </t>
  </si>
  <si>
    <t>Foundation Bolt 25mm</t>
  </si>
  <si>
    <t>Fire Fighting Foam type 50 Ltr</t>
  </si>
  <si>
    <t>TF oil Empty oil drum</t>
  </si>
  <si>
    <t>CO2 Type Fire Ext. 2.2 Kg. Capacity scrap</t>
  </si>
  <si>
    <t>CO2 Type Fire Ext. 4.5 Kg. Capacity scrap</t>
  </si>
  <si>
    <t>CO2 Type Fire Ext. 9 Kg. Capacity scrap</t>
  </si>
  <si>
    <t>CO2 Type Fire Ext. 22.5 Kg. Capacity scrap</t>
  </si>
  <si>
    <t>AFFF mechanical foam type 9 Ltr Capacity Fire Ext. Scrap</t>
  </si>
  <si>
    <t>Stored pressure type 10 Kg Capacity Fire Ext. Scrap</t>
  </si>
  <si>
    <t>Stored pressure type 25 Kg Capacity Fire Ext. Scrap</t>
  </si>
  <si>
    <t xml:space="preserve"> (WTI) Scrap</t>
  </si>
  <si>
    <t>Oil Surge Relay Transformer Relay (Scrap)</t>
  </si>
  <si>
    <t>UB+0 type tower part galv. Damaged</t>
  </si>
  <si>
    <t>300 AH Tubular lead acid battery cell 2 Volt</t>
  </si>
  <si>
    <t>33 KV CB (Defective)</t>
  </si>
  <si>
    <t>Shri Pawan Lohani</t>
  </si>
  <si>
    <t>Shri Sunil Singh</t>
  </si>
  <si>
    <t xml:space="preserve"> Shri Manish Kumar Tamta</t>
  </si>
  <si>
    <t>Physical Verification of Stock Material at 132 KV S/S Sitarganj</t>
  </si>
  <si>
    <t>Month July/2026</t>
  </si>
  <si>
    <t xml:space="preserve">Total Inventory Amt. </t>
  </si>
  <si>
    <t>AA0A002002</t>
  </si>
  <si>
    <t>ACSR  Moose Conductor(In bits)</t>
  </si>
  <si>
    <t>Metre</t>
  </si>
  <si>
    <t>…</t>
  </si>
  <si>
    <t>Zebra Conductor Old&amp; Used (In Bits)</t>
  </si>
  <si>
    <t>ACSR Panther Conductor old &amp;used(in bits)</t>
  </si>
  <si>
    <t>..</t>
  </si>
  <si>
    <t>AA0A002006</t>
  </si>
  <si>
    <t>ACSR  wolf Conductor old &amp;used(in bits)</t>
  </si>
  <si>
    <t>FF0F013006</t>
  </si>
  <si>
    <t>GI Angle of (different size) TD 30 B Type D/C Tower(old &amp; used)</t>
  </si>
  <si>
    <t>FF0F013013</t>
  </si>
  <si>
    <t xml:space="preserve">Double Circuit Dismantial Tower C+6 Type(Old &amp; Used) </t>
  </si>
  <si>
    <t>FF0F043003</t>
  </si>
  <si>
    <t xml:space="preserve">TD 30 B type tower stub setting templates
(old used) </t>
  </si>
  <si>
    <t>FF0F043006</t>
  </si>
  <si>
    <t>Template foe 132 KV D/C C+9  Type Tower Lattice Structure Stub Template(Old&amp; Used)</t>
  </si>
  <si>
    <t xml:space="preserve">Mt </t>
  </si>
  <si>
    <t>AL Scrap</t>
  </si>
  <si>
    <t>120KN Disc insulator (old used)</t>
  </si>
  <si>
    <t>P.G. Clamp Zebra to Zebra( Old &amp; Uded)</t>
  </si>
  <si>
    <t>II0I008001</t>
  </si>
  <si>
    <t>P.G. Clamp for ACSR Wolf to Wolf Conductor</t>
  </si>
  <si>
    <t>II1I101001</t>
  </si>
  <si>
    <t>Supply of C Wedge Clamp For  AAAC Tarantulla  -  AAAC Tarantulla Conductor.</t>
  </si>
  <si>
    <t>C Wedge clamp moose to moose</t>
  </si>
  <si>
    <t>P.I.Clamp Single Moose</t>
  </si>
  <si>
    <t>Mid Span joint for panther conductor</t>
  </si>
  <si>
    <t>Repair Sleeve for ACSR  Panther Conductor</t>
  </si>
  <si>
    <t>Vibration Dampers for ACSR Panther Conductor (Old&amp; Used)</t>
  </si>
  <si>
    <t>Armrd rod for panther</t>
  </si>
  <si>
    <t>II4I404004</t>
  </si>
  <si>
    <t>Rigid Spacer for ACSR Moose</t>
  </si>
  <si>
    <t>Tension clamp for earth wire 7/10 SWG</t>
  </si>
  <si>
    <t>II5I504002</t>
  </si>
  <si>
    <t>Single Suspension bolted type fitting (120 KN) Twin moose</t>
  </si>
  <si>
    <t>sets</t>
  </si>
  <si>
    <t xml:space="preserve"> Suspention Clamp for ACSR Zebra  conductor (Old&amp; Used)</t>
  </si>
  <si>
    <t>Single Suspention fitting for ACSR panther conductor</t>
  </si>
  <si>
    <t>Suspension fitting for GS Earth wire 7/10 SWG</t>
  </si>
  <si>
    <t>Gun  Fitting Zebra conductor (Old &amp; Used)</t>
  </si>
  <si>
    <t>132 KV Feeder Trip coil/Close coil ( CGL Breaker)</t>
  </si>
  <si>
    <t>Tripping/Closing Coil 132 KV ABB CB</t>
  </si>
  <si>
    <t>Circuit Breaker control switch</t>
  </si>
  <si>
    <t>Spring charge motor</t>
  </si>
  <si>
    <t>Density monitor switch</t>
  </si>
  <si>
    <t>JJ7J702003</t>
  </si>
  <si>
    <t>Contactor for spring charge motor CGL Breaker</t>
  </si>
  <si>
    <t>Sulphur Hex Fluoride (SF-6) Gas .</t>
  </si>
  <si>
    <t>SF6 Gas Empty Cylinder</t>
  </si>
  <si>
    <t>JJ8J801002</t>
  </si>
  <si>
    <t>33 KV  CB Connector with  AAAC Tarantulla conductor .</t>
  </si>
  <si>
    <t>132 Lighting Arrester(Old&amp; Used)</t>
  </si>
  <si>
    <t>PP0P001001</t>
  </si>
  <si>
    <t xml:space="preserve">Single Testionbolted type Fitting twin moose conductorWith 350 mmY strap </t>
  </si>
  <si>
    <t>PP2P220003</t>
  </si>
  <si>
    <t>1200 MM Ceiling fans (Defective &amp; Scrap)</t>
  </si>
  <si>
    <t>QQ1Q102001</t>
  </si>
  <si>
    <t>Fencing Scrap</t>
  </si>
  <si>
    <t>Aluminium alloy made isolator Female Arm assambly of HCB 132 KV Volatge Level 1200 Ampere current .</t>
  </si>
  <si>
    <t>Aluminium alloy made isolator Female Arm assambly of HCB isolator  with good and heavy duty copper finger complete in all respect suitable for isolator of 145 KV voltage level, 1200 ampere current  ( as per sample. )</t>
  </si>
  <si>
    <t>Aluminium alloy made isolator Male Arm assambly of HCB 132 KV Volatge Level 1200 Ampere current</t>
  </si>
  <si>
    <t xml:space="preserve">Aluminium alloy made isolator Male Arm assambly of HCB isolator  with good and heavy duty copper finger complete in all respect suitable for isolator of 145 KV voltage level, 1200 ampere current  ( as per sample.) </t>
  </si>
  <si>
    <t>SS3S301011</t>
  </si>
  <si>
    <t>Rotatary Bearing for 132 KV Isolator</t>
  </si>
  <si>
    <t>145 KV Post insulator</t>
  </si>
  <si>
    <t>SS5S501006</t>
  </si>
  <si>
    <t xml:space="preserve"> 33 KV isolator terminal pad Connector  suitable for  single AAAC Tarantulla conductor </t>
  </si>
  <si>
    <t>132 KV Isolator Clamp Single Moose</t>
  </si>
  <si>
    <t>Isolater Clamp Zebra Conductor (Old&amp; Used)</t>
  </si>
  <si>
    <t>132 KV  isolator clamp ACSR Panther conductor.</t>
  </si>
  <si>
    <t>TT1T101029</t>
  </si>
  <si>
    <t>Log sheet register .32 Pages.</t>
  </si>
  <si>
    <t>40 MVA T/F HV Side Bushing  clamp For Zebra conductor</t>
  </si>
  <si>
    <t>VV1V103016</t>
  </si>
  <si>
    <t>40 MVA T/F LV Side Bushing  clamp For Tarantula conductor</t>
  </si>
  <si>
    <t>132 KV  CB Pad Connector with  ACSR Zebra conductor</t>
  </si>
  <si>
    <t>VV2V202005</t>
  </si>
  <si>
    <t>Standard quality transparent silica gel breather 8Kg capacity as per sample</t>
  </si>
  <si>
    <t>Standard quality transparent silica gel breather 5 Kg capacity as per sample</t>
  </si>
  <si>
    <t>EHV Grade Transformer Oil</t>
  </si>
  <si>
    <t>T/F oil Empty Drums</t>
  </si>
  <si>
    <t>VV2V207002</t>
  </si>
  <si>
    <t>Winding temrature indicator 0-120 *C 40 MVA T/F</t>
  </si>
  <si>
    <t>PRV For 40 MVA T/F</t>
  </si>
  <si>
    <t>VV3V303002</t>
  </si>
  <si>
    <t>132 kv CT Damaged &amp; Burned (01.02.2021) Rece. Back Scrap</t>
  </si>
  <si>
    <t>VV3V303006</t>
  </si>
  <si>
    <t xml:space="preserve"> 132 KV 200/100/1,1,1 Amp CT old &amp; Used</t>
  </si>
  <si>
    <t>132 KV CT 200/100/1A 0.2 class</t>
  </si>
  <si>
    <t>33 KV CT 800/400/111</t>
  </si>
  <si>
    <t>33 KV CT Defective Scrap(old &amp; Used)</t>
  </si>
  <si>
    <t>VV5V406003</t>
  </si>
  <si>
    <t xml:space="preserve">Supply of powder coted 45*30*15 cm matellic junction box of 16 gauge sheet including din rail for 45 connectors </t>
  </si>
  <si>
    <t>VV5V406008</t>
  </si>
  <si>
    <t>CT junction box terminal link.</t>
  </si>
  <si>
    <t>VV5V407012</t>
  </si>
  <si>
    <t>33 KV    CT terminal Connector rod with   AAAC Tarantulla conductor .</t>
  </si>
  <si>
    <t xml:space="preserve">  132 KV CT terminal Connector ACSR zebra conductor.</t>
  </si>
  <si>
    <t>33kv one side 13 mm grove with cu sleeve ct clamp other side panther conductor</t>
  </si>
  <si>
    <t xml:space="preserve">  3-Phase 33KV110 Volt PT (Old&amp; Used)</t>
  </si>
  <si>
    <t>PT (Potential Transformer )Single Phase 33 KV/110 Volt</t>
  </si>
  <si>
    <t>Old&amp; Used 145 KV CVT 3 Core Accurecy Class .5 132 KV /110Volt132 KV CVT(Received Back from to switch yard)</t>
  </si>
  <si>
    <t>Old&amp; Used 145 KV CVT 3 Core Accurecy Class .2 132 KV /110Volt132 KV CVT(Received Back from to switch yard)</t>
  </si>
  <si>
    <t>PT junction box terminal link.</t>
  </si>
  <si>
    <t>VV7V701010</t>
  </si>
  <si>
    <t>33kv PT Clamp for panther conductor</t>
  </si>
  <si>
    <t>2 Volt 300 AH 10 Hr.LeadAcod Cells</t>
  </si>
  <si>
    <t>110 Volt D.C. Charger Make Caldyne Automatics LTD</t>
  </si>
  <si>
    <t>….</t>
  </si>
  <si>
    <t xml:space="preserve"> 132 KV 500/1 Amp CT old &amp; Used18.04.2026 Receved Back Swith Yard</t>
  </si>
  <si>
    <t xml:space="preserve"> 132 KV 500/1 Amp CT Burned &amp; Scrap18.04.2026 Receved Back Swith Yard</t>
  </si>
  <si>
    <t>PP4P412002</t>
  </si>
  <si>
    <t>Iron packing case scrap (old&amp; Used)</t>
  </si>
  <si>
    <t xml:space="preserve"> Total (in Rs)</t>
  </si>
  <si>
    <t xml:space="preserve">Total Amt. of Useable </t>
  </si>
  <si>
    <t xml:space="preserve">Total Amt. of Unserviceable </t>
  </si>
  <si>
    <t>Total Amt. of Non. Moving</t>
  </si>
  <si>
    <t>Total Amt. of Obsolete</t>
  </si>
  <si>
    <t>Total Amt. of Scrap</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</si>
</sst>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00"/>
    <numFmt numFmtId="166" formatCode="0.00_ "/>
    <numFmt numFmtId="167" formatCode="_(* #,##0_);_(* \(#,##0\);_(* &quot;-&quot;??_);_(@_)"/>
    <numFmt numFmtId="168" formatCode="_(* #,##0.000_);_(* \(#,##0.000\);_(* &quot;-&quot;??_);_(@_)"/>
    <numFmt numFmtId="169" formatCode="0.0000"/>
    <numFmt numFmtId="170" formatCode="0.00000"/>
  </numFmts>
  <fonts count="119">
    <font>
      <sz val="11"/>
      <color theme="1"/>
      <name val="Calibri"/>
      <family val="2"/>
      <scheme val="minor"/>
    </font>
    <font>
      <sz val="10"/>
      <name val="Arial"/>
      <family val="2"/>
    </font>
    <font>
      <sz val="11"/>
      <color rgb="FF000000"/>
      <name val="Calibri"/>
      <family val="2"/>
      <scheme val="minor"/>
    </font>
    <font>
      <sz val="11"/>
      <color rgb="FF000000"/>
      <name val="Calibri"/>
      <family val="2"/>
    </font>
    <font>
      <b/>
      <sz val="11"/>
      <color theme="1"/>
      <name val="Calibri"/>
      <family val="2"/>
      <scheme val="minor"/>
    </font>
    <font>
      <sz val="11"/>
      <color theme="1"/>
      <name val="Times New Roman"/>
      <family val="1"/>
    </font>
    <font>
      <sz val="13"/>
      <color theme="1"/>
      <name val="Times New Roman"/>
      <family val="1"/>
    </font>
    <font>
      <b/>
      <sz val="13"/>
      <color theme="1"/>
      <name val="Times New Roman"/>
      <family val="1"/>
    </font>
    <font>
      <b/>
      <sz val="12"/>
      <color theme="1"/>
      <name val="Calibri"/>
      <family val="2"/>
      <scheme val="minor"/>
    </font>
    <font>
      <b/>
      <sz val="14"/>
      <color theme="1"/>
      <name val="Calibri"/>
      <family val="2"/>
      <scheme val="minor"/>
    </font>
    <font>
      <sz val="10"/>
      <color theme="1"/>
      <name val="Times New Roman"/>
      <family val="1"/>
    </font>
    <font>
      <b/>
      <sz val="10"/>
      <color theme="1"/>
      <name val="Times New Roman"/>
      <family val="1"/>
    </font>
    <font>
      <b/>
      <sz val="10"/>
      <name val="Calibri"/>
      <family val="2"/>
      <scheme val="minor"/>
    </font>
    <font>
      <b/>
      <sz val="11"/>
      <color theme="1"/>
      <name val="Times New Roman"/>
      <family val="1"/>
    </font>
    <font>
      <b/>
      <sz val="11"/>
      <name val="Calibri"/>
      <family val="2"/>
      <scheme val="minor"/>
    </font>
    <font>
      <b/>
      <sz val="11"/>
      <color rgb="FF000000"/>
      <name val="Times New Roman"/>
      <family val="1"/>
    </font>
    <font>
      <sz val="11"/>
      <color rgb="FF000000"/>
      <name val="Times New Roman"/>
      <family val="1"/>
    </font>
    <font>
      <sz val="12"/>
      <color theme="1"/>
      <name val="Calibri"/>
      <family val="2"/>
      <scheme val="minor"/>
    </font>
    <font>
      <b/>
      <sz val="10"/>
      <color theme="1"/>
      <name val="Calibri"/>
      <family val="2"/>
      <scheme val="minor"/>
    </font>
    <font>
      <b/>
      <sz val="12"/>
      <name val="Calibri"/>
      <family val="2"/>
      <scheme val="minor"/>
    </font>
    <font>
      <b/>
      <sz val="14"/>
      <color theme="1"/>
      <name val="Times New Roman"/>
      <family val="1"/>
    </font>
    <font>
      <b/>
      <sz val="18"/>
      <color theme="1"/>
      <name val="Calibri"/>
      <family val="2"/>
      <scheme val="minor"/>
    </font>
    <font>
      <b/>
      <sz val="20"/>
      <color theme="1"/>
      <name val="Calibri"/>
      <family val="2"/>
      <scheme val="minor"/>
    </font>
    <font>
      <b/>
      <sz val="16"/>
      <color theme="1"/>
      <name val="Calibri"/>
      <family val="2"/>
      <scheme val="minor"/>
    </font>
    <font>
      <b/>
      <sz val="10"/>
      <name val="Times New Roman"/>
      <family val="1"/>
    </font>
    <font>
      <sz val="10"/>
      <name val="Times New Roman"/>
      <family val="1"/>
    </font>
    <font>
      <sz val="10"/>
      <color theme="1"/>
      <name val="Calibri"/>
      <family val="2"/>
      <scheme val="minor"/>
    </font>
    <font>
      <sz val="11"/>
      <color theme="1"/>
      <name val="Calibri"/>
      <family val="2"/>
      <scheme val="minor"/>
    </font>
    <font>
      <b/>
      <u/>
      <sz val="18"/>
      <color theme="1"/>
      <name val="Times New Roman"/>
      <family val="1"/>
    </font>
    <font>
      <sz val="11"/>
      <name val="Times New Roman"/>
      <family val="1"/>
    </font>
    <font>
      <b/>
      <sz val="12"/>
      <color theme="1"/>
      <name val="Times New Roman"/>
      <family val="1"/>
    </font>
    <font>
      <b/>
      <sz val="11"/>
      <name val="Times New Roman"/>
      <family val="1"/>
    </font>
    <font>
      <sz val="12"/>
      <name val="Times New Roman"/>
      <family val="1"/>
    </font>
    <font>
      <sz val="12"/>
      <name val="Calibri"/>
      <family val="2"/>
      <scheme val="minor"/>
    </font>
    <font>
      <sz val="12"/>
      <color theme="1"/>
      <name val="Times New Roman"/>
      <family val="1"/>
    </font>
    <font>
      <sz val="12"/>
      <name val="Arial"/>
      <family val="2"/>
    </font>
    <font>
      <sz val="14"/>
      <color theme="1"/>
      <name val="Calibri"/>
      <family val="2"/>
      <scheme val="minor"/>
    </font>
    <font>
      <sz val="11"/>
      <name val="Calibri"/>
      <family val="2"/>
      <scheme val="minor"/>
    </font>
    <font>
      <sz val="12"/>
      <name val="Cambria"/>
      <family val="1"/>
      <scheme val="major"/>
    </font>
    <font>
      <sz val="11"/>
      <name val="Arial"/>
      <family val="2"/>
    </font>
    <font>
      <sz val="11"/>
      <color theme="1"/>
      <name val="Arial"/>
      <family val="2"/>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sz val="14"/>
      <color indexed="8"/>
      <name val="Calibri"/>
      <charset val="134"/>
      <scheme val="minor"/>
    </font>
    <font>
      <sz val="12"/>
      <color indexed="8"/>
      <name val="Calibri"/>
      <charset val="134"/>
      <scheme val="minor"/>
    </font>
    <font>
      <b/>
      <sz val="12"/>
      <color indexed="8"/>
      <name val="Calibri"/>
      <charset val="134"/>
      <scheme val="minor"/>
    </font>
    <font>
      <b/>
      <sz val="12"/>
      <color theme="1"/>
      <name val="Times New Roman"/>
      <charset val="134"/>
    </font>
    <font>
      <b/>
      <sz val="14"/>
      <color theme="1"/>
      <name val="Times New Roman"/>
      <charset val="134"/>
    </font>
    <font>
      <sz val="12"/>
      <color theme="1"/>
      <name val="Calibri"/>
      <charset val="134"/>
      <scheme val="minor"/>
    </font>
    <font>
      <b/>
      <sz val="12"/>
      <color rgb="FF000000"/>
      <name val="Calibri"/>
      <family val="2"/>
    </font>
    <font>
      <sz val="9"/>
      <name val="Arial"/>
      <family val="2"/>
    </font>
    <font>
      <sz val="10"/>
      <color theme="1"/>
      <name val="Arial"/>
      <family val="2"/>
    </font>
    <font>
      <sz val="12"/>
      <name val="Calibri"/>
      <family val="2"/>
      <charset val="1"/>
    </font>
    <font>
      <sz val="9"/>
      <name val="Calibri"/>
      <family val="2"/>
      <scheme val="minor"/>
    </font>
    <font>
      <b/>
      <u/>
      <sz val="18"/>
      <name val="Calibri"/>
      <family val="2"/>
      <scheme val="minor"/>
    </font>
    <font>
      <b/>
      <sz val="12"/>
      <name val="Times New Roman"/>
      <family val="1"/>
    </font>
    <font>
      <sz val="10"/>
      <name val="Calibri"/>
      <family val="2"/>
      <scheme val="minor"/>
    </font>
    <font>
      <sz val="14"/>
      <name val="Calibri"/>
      <family val="2"/>
      <scheme val="minor"/>
    </font>
    <font>
      <sz val="14"/>
      <name val="Times New Roman"/>
      <family val="1"/>
    </font>
    <font>
      <sz val="22"/>
      <name val="Calibri"/>
      <family val="2"/>
      <scheme val="minor"/>
    </font>
    <font>
      <sz val="20"/>
      <name val="Calibri"/>
      <family val="2"/>
      <scheme val="minor"/>
    </font>
    <font>
      <b/>
      <sz val="12"/>
      <color indexed="8"/>
      <name val="Calibri"/>
      <family val="2"/>
    </font>
    <font>
      <sz val="12"/>
      <color indexed="8"/>
      <name val="Calibri"/>
      <family val="2"/>
    </font>
    <font>
      <b/>
      <sz val="12"/>
      <name val="Calibri"/>
      <family val="2"/>
    </font>
    <font>
      <u/>
      <sz val="11"/>
      <color theme="10"/>
      <name val="Calibri"/>
      <family val="2"/>
      <scheme val="minor"/>
    </font>
    <font>
      <b/>
      <sz val="12"/>
      <color theme="1"/>
      <name val="Arial"/>
      <family val="2"/>
    </font>
    <font>
      <b/>
      <u/>
      <sz val="14"/>
      <name val="Arial"/>
      <family val="2"/>
    </font>
    <font>
      <b/>
      <u/>
      <sz val="11"/>
      <name val="Arial"/>
      <family val="2"/>
    </font>
    <font>
      <b/>
      <sz val="11"/>
      <name val="Arial"/>
      <family val="2"/>
    </font>
    <font>
      <sz val="13"/>
      <color indexed="8"/>
      <name val="Times New Roman"/>
      <family val="1"/>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u/>
      <sz val="18"/>
      <color rgb="FFFF0000"/>
      <name val="Times New Roman"/>
      <charset val="134"/>
    </font>
    <font>
      <sz val="11"/>
      <color rgb="FFFF0000"/>
      <name val="Times New Roman"/>
      <charset val="134"/>
    </font>
    <font>
      <b/>
      <sz val="12"/>
      <color rgb="FFFF0000"/>
      <name val="Times New Roman"/>
      <charset val="134"/>
    </font>
    <font>
      <sz val="12"/>
      <color indexed="8"/>
      <name val="Times New Roman"/>
      <charset val="134"/>
    </font>
    <font>
      <sz val="12"/>
      <name val="Times New Roman"/>
      <charset val="134"/>
    </font>
    <font>
      <sz val="12"/>
      <color theme="1"/>
      <name val="Times New Roman"/>
      <charset val="134"/>
    </font>
    <font>
      <sz val="12"/>
      <color rgb="FFC00000"/>
      <name val="Times New Roman"/>
      <charset val="134"/>
    </font>
    <font>
      <sz val="12"/>
      <color rgb="FFFF0000"/>
      <name val="Times New Roman"/>
      <charset val="134"/>
    </font>
    <font>
      <sz val="12"/>
      <color theme="4" tint="-0.249977111117893"/>
      <name val="Times New Roman"/>
      <charset val="134"/>
    </font>
    <font>
      <sz val="12"/>
      <color theme="1"/>
      <name val="Times New Roman Regular"/>
      <charset val="134"/>
    </font>
    <font>
      <sz val="12"/>
      <name val="Times New Roman Regular"/>
      <charset val="134"/>
    </font>
    <font>
      <sz val="11"/>
      <color theme="1"/>
      <name val="Times New Roman Regular"/>
      <charset val="134"/>
    </font>
    <font>
      <sz val="12"/>
      <color rgb="FFFF0000"/>
      <name val="Times New Roman Regular"/>
      <charset val="134"/>
    </font>
    <font>
      <sz val="12"/>
      <color theme="3"/>
      <name val="Times New Roman"/>
      <charset val="134"/>
    </font>
    <font>
      <sz val="11"/>
      <color theme="3"/>
      <name val="Calibri"/>
      <charset val="134"/>
      <scheme val="minor"/>
    </font>
    <font>
      <sz val="11"/>
      <color rgb="FFFF0000"/>
      <name val="Calibri"/>
      <charset val="134"/>
      <scheme val="minor"/>
    </font>
    <font>
      <b/>
      <sz val="12"/>
      <name val="Times New Roman Bold"/>
      <charset val="134"/>
    </font>
    <font>
      <b/>
      <sz val="12"/>
      <color rgb="FFFF0000"/>
      <name val="Times New Roman Bold"/>
      <charset val="134"/>
    </font>
    <font>
      <b/>
      <sz val="12"/>
      <name val="Times New Roman"/>
      <charset val="134"/>
    </font>
    <font>
      <b/>
      <sz val="18"/>
      <color theme="1"/>
      <name val="Times New Roman"/>
      <family val="1"/>
    </font>
    <font>
      <sz val="13"/>
      <name val="Times New Roman"/>
      <family val="1"/>
    </font>
    <font>
      <b/>
      <sz val="11"/>
      <color indexed="8"/>
      <name val="Calibri"/>
      <family val="2"/>
    </font>
    <font>
      <sz val="14"/>
      <color theme="1"/>
      <name val="Times New Roman"/>
      <family val="1"/>
    </font>
    <font>
      <sz val="9"/>
      <color theme="1"/>
      <name val="Calibri"/>
      <family val="2"/>
      <scheme val="minor"/>
    </font>
    <font>
      <b/>
      <sz val="9"/>
      <color indexed="8"/>
      <name val="Calibri"/>
      <family val="2"/>
    </font>
    <font>
      <sz val="9"/>
      <color indexed="8"/>
      <name val="Calibri"/>
      <family val="2"/>
    </font>
    <font>
      <b/>
      <sz val="9"/>
      <color theme="1"/>
      <name val="Calibri"/>
      <family val="2"/>
      <scheme val="minor"/>
    </font>
    <font>
      <b/>
      <u/>
      <sz val="18"/>
      <name val="Times New Roman"/>
      <family val="1"/>
    </font>
    <font>
      <b/>
      <sz val="11"/>
      <name val="Calibri"/>
      <family val="2"/>
    </font>
    <font>
      <b/>
      <sz val="14"/>
      <name val="Calibri"/>
      <family val="2"/>
      <scheme val="minor"/>
    </font>
    <font>
      <b/>
      <sz val="12"/>
      <color rgb="FF000000"/>
      <name val="Times New Roman"/>
      <family val="1"/>
    </font>
    <font>
      <b/>
      <sz val="11"/>
      <color theme="1"/>
      <name val="Arial"/>
      <family val="2"/>
    </font>
    <font>
      <b/>
      <sz val="14"/>
      <color theme="1"/>
      <name val="Arial"/>
      <family val="2"/>
    </font>
    <font>
      <b/>
      <sz val="14"/>
      <name val="Times New Roman"/>
      <family val="1"/>
    </font>
    <font>
      <b/>
      <sz val="16"/>
      <color theme="1"/>
      <name val="Times New Roman"/>
      <family val="1"/>
    </font>
    <font>
      <sz val="16"/>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bgColor rgb="FFC0C0C0"/>
      </patternFill>
    </fill>
    <fill>
      <patternFill patternType="solid">
        <fgColor rgb="FF00B0F0"/>
        <bgColor indexed="64"/>
      </patternFill>
    </fill>
    <fill>
      <patternFill patternType="solid">
        <fgColor theme="0" tint="-0.14996795556505021"/>
        <bgColor indexed="64"/>
      </patternFill>
    </fill>
    <fill>
      <patternFill patternType="solid">
        <fgColor rgb="FF00B050"/>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theme="8" tint="0.79998168889431442"/>
        <bgColor indexed="64"/>
      </patternFill>
    </fill>
    <fill>
      <patternFill patternType="solid">
        <fgColor theme="0" tint="-0.14999847407452621"/>
        <bgColor rgb="FFD8D8D8"/>
      </patternFill>
    </fill>
    <fill>
      <patternFill patternType="solid">
        <fgColor theme="0" tint="-0.14999847407452621"/>
        <bgColor rgb="FFBFBFBF"/>
      </patternFill>
    </fill>
    <fill>
      <patternFill patternType="solid">
        <fgColor rgb="FFD8D8D8"/>
        <bgColor rgb="FFD8D8D8"/>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8">
    <xf numFmtId="0" fontId="0" fillId="0" borderId="0"/>
    <xf numFmtId="0" fontId="1" fillId="0" borderId="0"/>
    <xf numFmtId="0" fontId="1" fillId="0" borderId="0"/>
    <xf numFmtId="0" fontId="2" fillId="0" borderId="0"/>
    <xf numFmtId="0" fontId="3" fillId="0" borderId="0"/>
    <xf numFmtId="0" fontId="72" fillId="0" borderId="0" applyNumberFormat="0" applyFill="0" applyBorder="0" applyAlignment="0" applyProtection="0"/>
    <xf numFmtId="0" fontId="1" fillId="0" borderId="0"/>
    <xf numFmtId="167" fontId="1" fillId="0" borderId="0" applyFont="0" applyFill="0" applyBorder="0" applyAlignment="0" applyProtection="0"/>
  </cellStyleXfs>
  <cellXfs count="1277">
    <xf numFmtId="0" fontId="0" fillId="0" borderId="0" xfId="0"/>
    <xf numFmtId="0" fontId="0" fillId="0" borderId="1" xfId="0" applyBorder="1"/>
    <xf numFmtId="0" fontId="5" fillId="0" borderId="1" xfId="0" applyFont="1" applyBorder="1"/>
    <xf numFmtId="0" fontId="6" fillId="2" borderId="0" xfId="0" applyFont="1" applyFill="1"/>
    <xf numFmtId="0" fontId="6" fillId="2" borderId="1" xfId="0" applyFont="1" applyFill="1" applyBorder="1" applyAlignment="1">
      <alignment horizontal="center" vertical="center"/>
    </xf>
    <xf numFmtId="0" fontId="6" fillId="2" borderId="1" xfId="0" applyFont="1" applyFill="1" applyBorder="1"/>
    <xf numFmtId="0" fontId="7" fillId="2" borderId="1" xfId="0" applyFont="1" applyFill="1" applyBorder="1" applyAlignment="1">
      <alignment vertical="center"/>
    </xf>
    <xf numFmtId="1" fontId="0" fillId="0" borderId="1" xfId="0" applyNumberFormat="1" applyBorder="1" applyAlignment="1"/>
    <xf numFmtId="0" fontId="0" fillId="0" borderId="1" xfId="0" applyBorder="1" applyAlignment="1">
      <alignment horizontal="center" vertical="center"/>
    </xf>
    <xf numFmtId="2" fontId="0" fillId="0" borderId="1" xfId="0" applyNumberFormat="1" applyBorder="1" applyAlignment="1">
      <alignment horizontal="center" vertical="center"/>
    </xf>
    <xf numFmtId="0" fontId="8" fillId="0" borderId="1" xfId="0" applyFont="1" applyBorder="1"/>
    <xf numFmtId="0" fontId="8" fillId="0" borderId="1" xfId="0" applyFont="1" applyBorder="1" applyAlignment="1">
      <alignment horizontal="center" vertical="center"/>
    </xf>
    <xf numFmtId="0" fontId="9" fillId="0" borderId="1" xfId="0" applyFont="1" applyBorder="1" applyAlignment="1">
      <alignment horizontal="center" vertical="center"/>
    </xf>
    <xf numFmtId="2" fontId="9" fillId="0" borderId="1" xfId="0" applyNumberFormat="1" applyFont="1" applyBorder="1" applyAlignment="1">
      <alignment horizontal="center" vertical="center"/>
    </xf>
    <xf numFmtId="0" fontId="10" fillId="2" borderId="1" xfId="0" applyFont="1" applyFill="1" applyBorder="1" applyAlignment="1">
      <alignment horizontal="center" vertical="center"/>
    </xf>
    <xf numFmtId="2" fontId="0" fillId="0" borderId="0" xfId="0" applyNumberFormat="1"/>
    <xf numFmtId="0" fontId="11" fillId="2" borderId="1" xfId="0" applyFont="1" applyFill="1" applyBorder="1" applyAlignment="1">
      <alignment horizontal="center" vertical="center"/>
    </xf>
    <xf numFmtId="2" fontId="6" fillId="2" borderId="0" xfId="0" applyNumberFormat="1" applyFont="1" applyFill="1"/>
    <xf numFmtId="49" fontId="0" fillId="0" borderId="0" xfId="0" applyNumberFormat="1"/>
    <xf numFmtId="1" fontId="0" fillId="0" borderId="1" xfId="0" applyNumberFormat="1" applyBorder="1" applyAlignment="1">
      <alignment horizontal="center"/>
    </xf>
    <xf numFmtId="0" fontId="0" fillId="0" borderId="2" xfId="0" applyBorder="1" applyAlignment="1">
      <alignment horizontal="center"/>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2" fontId="5" fillId="0" borderId="1" xfId="0" applyNumberFormat="1" applyFont="1" applyBorder="1"/>
    <xf numFmtId="0" fontId="5" fillId="0" borderId="0" xfId="0" applyFont="1"/>
    <xf numFmtId="0" fontId="0" fillId="0" borderId="1" xfId="0" applyFont="1" applyFill="1" applyBorder="1" applyAlignment="1">
      <alignment horizontal="center" vertical="center"/>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0" fillId="0" borderId="1" xfId="0" applyBorder="1" applyAlignment="1">
      <alignment horizontal="center" vertical="center" wrapText="1"/>
    </xf>
    <xf numFmtId="0" fontId="0" fillId="0" borderId="3" xfId="0" applyNumberFormat="1" applyFont="1" applyFill="1" applyBorder="1" applyAlignment="1" applyProtection="1">
      <alignment horizontal="left" vertical="top"/>
    </xf>
    <xf numFmtId="0" fontId="12" fillId="0" borderId="4" xfId="0" applyFont="1" applyBorder="1" applyAlignment="1">
      <alignment horizontal="left" vertical="top" wrapText="1"/>
    </xf>
    <xf numFmtId="0" fontId="12" fillId="0" borderId="1" xfId="0" applyFont="1" applyBorder="1" applyAlignment="1">
      <alignment horizontal="left" vertical="top" wrapText="1"/>
    </xf>
    <xf numFmtId="0" fontId="0" fillId="0" borderId="1" xfId="0" applyBorder="1" applyAlignment="1">
      <alignment horizontal="center" vertical="top"/>
    </xf>
    <xf numFmtId="0" fontId="13"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1" xfId="0" applyFont="1" applyBorder="1" applyAlignment="1">
      <alignmen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top"/>
    </xf>
    <xf numFmtId="0" fontId="17" fillId="0" borderId="1" xfId="0" applyFont="1" applyBorder="1" applyAlignment="1">
      <alignment horizontal="center" vertical="top"/>
    </xf>
    <xf numFmtId="0" fontId="0" fillId="0" borderId="3" xfId="0" applyBorder="1" applyAlignment="1">
      <alignment horizontal="center" vertical="top"/>
    </xf>
    <xf numFmtId="0" fontId="0" fillId="0" borderId="5" xfId="0" applyBorder="1" applyAlignment="1">
      <alignment horizontal="center" vertical="top"/>
    </xf>
    <xf numFmtId="0" fontId="17" fillId="0" borderId="5" xfId="0" applyFont="1" applyBorder="1" applyAlignment="1">
      <alignment horizontal="center" vertical="top"/>
    </xf>
    <xf numFmtId="0" fontId="17" fillId="0" borderId="1" xfId="0" applyFont="1" applyBorder="1" applyAlignment="1">
      <alignment vertical="top" wrapText="1"/>
    </xf>
    <xf numFmtId="0" fontId="0" fillId="0" borderId="2" xfId="0" applyBorder="1" applyAlignment="1">
      <alignment horizontal="center" vertical="center"/>
    </xf>
    <xf numFmtId="0" fontId="0" fillId="0" borderId="1" xfId="0" applyBorder="1" applyAlignment="1">
      <alignment horizontal="center"/>
    </xf>
    <xf numFmtId="2" fontId="6" fillId="2" borderId="1" xfId="0" applyNumberFormat="1" applyFont="1" applyFill="1" applyBorder="1" applyAlignment="1">
      <alignment horizontal="center" vertical="center"/>
    </xf>
    <xf numFmtId="2" fontId="0" fillId="0" borderId="1" xfId="0" applyNumberFormat="1" applyBorder="1"/>
    <xf numFmtId="2" fontId="4" fillId="0" borderId="1" xfId="0" applyNumberFormat="1" applyFont="1" applyBorder="1" applyAlignment="1"/>
    <xf numFmtId="2" fontId="0" fillId="0" borderId="2" xfId="0" applyNumberFormat="1" applyBorder="1" applyAlignment="1">
      <alignment horizontal="center" vertical="center"/>
    </xf>
    <xf numFmtId="2" fontId="0" fillId="0" borderId="1" xfId="0" applyNumberFormat="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left" wrapText="1"/>
    </xf>
    <xf numFmtId="0" fontId="18" fillId="2" borderId="2" xfId="0" applyFont="1" applyFill="1" applyBorder="1" applyAlignment="1">
      <alignment horizontal="center" vertical="center"/>
    </xf>
    <xf numFmtId="0" fontId="18" fillId="0" borderId="2" xfId="0" applyFont="1" applyBorder="1" applyAlignment="1">
      <alignment horizontal="center" vertical="center"/>
    </xf>
    <xf numFmtId="0" fontId="19" fillId="0" borderId="4" xfId="0" applyFont="1" applyBorder="1" applyAlignment="1">
      <alignment horizontal="center" vertical="center" wrapText="1"/>
    </xf>
    <xf numFmtId="0" fontId="0" fillId="0" borderId="2" xfId="0" applyNumberFormat="1" applyFont="1" applyFill="1" applyBorder="1" applyAlignment="1" applyProtection="1">
      <alignment horizontal="center"/>
    </xf>
    <xf numFmtId="0" fontId="0" fillId="0" borderId="3" xfId="0" applyNumberFormat="1" applyFill="1" applyBorder="1" applyAlignment="1" applyProtection="1">
      <alignment horizontal="left" vertical="top"/>
    </xf>
    <xf numFmtId="14" fontId="12" fillId="0" borderId="1" xfId="0" applyNumberFormat="1" applyFont="1" applyBorder="1" applyAlignment="1">
      <alignment horizontal="center" vertical="center" wrapText="1"/>
    </xf>
    <xf numFmtId="0" fontId="18" fillId="0" borderId="1" xfId="0" applyFont="1" applyFill="1" applyBorder="1" applyAlignment="1">
      <alignment horizontal="center" vertical="center" wrapText="1"/>
    </xf>
    <xf numFmtId="0" fontId="4" fillId="0" borderId="1" xfId="0" applyFont="1" applyBorder="1" applyAlignment="1">
      <alignment horizontal="center"/>
    </xf>
    <xf numFmtId="2" fontId="5" fillId="0" borderId="0" xfId="0" applyNumberFormat="1" applyFont="1"/>
    <xf numFmtId="1" fontId="0" fillId="3" borderId="1" xfId="0" applyNumberFormat="1" applyFill="1" applyBorder="1" applyAlignment="1"/>
    <xf numFmtId="0" fontId="0" fillId="3" borderId="2" xfId="0" applyFill="1" applyBorder="1" applyAlignment="1">
      <alignment horizontal="center"/>
    </xf>
    <xf numFmtId="0" fontId="13" fillId="3" borderId="1" xfId="0" applyFont="1" applyFill="1" applyBorder="1" applyAlignment="1">
      <alignment horizontal="left" vertical="center" wrapText="1"/>
    </xf>
    <xf numFmtId="0" fontId="5" fillId="3" borderId="1" xfId="0" applyFont="1" applyFill="1" applyBorder="1" applyAlignment="1">
      <alignment horizontal="left" vertical="center"/>
    </xf>
    <xf numFmtId="0" fontId="0" fillId="3" borderId="1" xfId="0" applyFill="1" applyBorder="1"/>
    <xf numFmtId="0" fontId="6" fillId="3" borderId="1" xfId="0" applyFont="1" applyFill="1" applyBorder="1" applyAlignment="1">
      <alignment horizontal="center" vertical="center"/>
    </xf>
    <xf numFmtId="2" fontId="0" fillId="3" borderId="1" xfId="0" applyNumberFormat="1" applyFill="1" applyBorder="1"/>
    <xf numFmtId="2" fontId="6" fillId="3" borderId="1" xfId="0" applyNumberFormat="1" applyFont="1" applyFill="1" applyBorder="1" applyAlignment="1">
      <alignment horizontal="center" vertical="center"/>
    </xf>
    <xf numFmtId="2" fontId="0" fillId="3" borderId="0" xfId="0" applyNumberFormat="1" applyFill="1"/>
    <xf numFmtId="0" fontId="0" fillId="3" borderId="0" xfId="0" applyFill="1"/>
    <xf numFmtId="0" fontId="0" fillId="3" borderId="2" xfId="0" applyNumberFormat="1" applyFont="1" applyFill="1" applyBorder="1" applyAlignment="1" applyProtection="1">
      <alignment horizontal="center"/>
    </xf>
    <xf numFmtId="0" fontId="18" fillId="3" borderId="1" xfId="0" applyFont="1" applyFill="1" applyBorder="1" applyAlignment="1">
      <alignment horizontal="center" vertical="center" wrapText="1"/>
    </xf>
    <xf numFmtId="0" fontId="0" fillId="3" borderId="1" xfId="0" applyFill="1" applyBorder="1" applyAlignment="1">
      <alignment vertical="top"/>
    </xf>
    <xf numFmtId="0" fontId="0" fillId="3" borderId="1" xfId="0" applyFont="1" applyFill="1" applyBorder="1" applyAlignment="1">
      <alignment horizontal="center"/>
    </xf>
    <xf numFmtId="0" fontId="5" fillId="3" borderId="3" xfId="0" applyFont="1" applyFill="1" applyBorder="1"/>
    <xf numFmtId="0" fontId="0" fillId="3" borderId="1" xfId="0" applyFill="1" applyBorder="1" applyAlignment="1">
      <alignment horizontal="center" vertical="center"/>
    </xf>
    <xf numFmtId="0" fontId="5" fillId="3" borderId="0" xfId="0" applyFont="1" applyFill="1"/>
    <xf numFmtId="0" fontId="0" fillId="3" borderId="1" xfId="0" applyNumberFormat="1" applyFont="1" applyFill="1" applyBorder="1" applyAlignment="1" applyProtection="1">
      <alignment horizontal="center"/>
    </xf>
    <xf numFmtId="0" fontId="5" fillId="3" borderId="1" xfId="0" applyFont="1" applyFill="1" applyBorder="1"/>
    <xf numFmtId="164" fontId="0" fillId="3" borderId="1" xfId="0" applyNumberFormat="1" applyFont="1" applyFill="1" applyBorder="1" applyAlignment="1">
      <alignment horizontal="left"/>
    </xf>
    <xf numFmtId="2" fontId="0" fillId="3" borderId="1" xfId="0" applyNumberFormat="1" applyFill="1" applyBorder="1" applyAlignment="1">
      <alignment horizontal="center" vertical="center"/>
    </xf>
    <xf numFmtId="0" fontId="4" fillId="3" borderId="1" xfId="0" applyFont="1" applyFill="1" applyBorder="1" applyAlignment="1">
      <alignment horizontal="left" vertical="top" wrapText="1"/>
    </xf>
    <xf numFmtId="2" fontId="6" fillId="3" borderId="0" xfId="0" applyNumberFormat="1" applyFont="1" applyFill="1"/>
    <xf numFmtId="0" fontId="4" fillId="3" borderId="1" xfId="0" applyFont="1" applyFill="1" applyBorder="1" applyAlignment="1">
      <alignment vertical="center" wrapText="1"/>
    </xf>
    <xf numFmtId="0" fontId="4" fillId="0" borderId="3" xfId="0" applyFont="1" applyFill="1" applyBorder="1" applyAlignment="1">
      <alignment vertical="top"/>
    </xf>
    <xf numFmtId="0" fontId="0" fillId="0" borderId="1" xfId="0" applyBorder="1" applyAlignment="1">
      <alignment horizontal="left" vertical="center" wrapText="1"/>
    </xf>
    <xf numFmtId="0" fontId="0" fillId="0" borderId="4" xfId="0"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0" fillId="0" borderId="1" xfId="0" applyFont="1" applyFill="1" applyBorder="1" applyAlignment="1">
      <alignment horizontal="center"/>
    </xf>
    <xf numFmtId="14" fontId="12" fillId="0" borderId="2" xfId="0" applyNumberFormat="1" applyFont="1" applyBorder="1" applyAlignment="1">
      <alignment horizontal="center" vertical="center"/>
    </xf>
    <xf numFmtId="0" fontId="4" fillId="0" borderId="2" xfId="0" applyFont="1" applyFill="1" applyBorder="1" applyAlignment="1">
      <alignment vertical="top"/>
    </xf>
    <xf numFmtId="0" fontId="14" fillId="3" borderId="1" xfId="0" applyFont="1" applyFill="1" applyBorder="1" applyAlignment="1">
      <alignment vertical="center" wrapText="1"/>
    </xf>
    <xf numFmtId="0" fontId="0" fillId="3" borderId="1" xfId="0" applyFill="1" applyBorder="1" applyAlignment="1">
      <alignment horizontal="center" vertical="top" wrapText="1"/>
    </xf>
    <xf numFmtId="0" fontId="11"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5" fillId="0" borderId="5" xfId="0" applyFont="1" applyFill="1" applyBorder="1" applyAlignment="1">
      <alignment horizontal="center" vertical="top" wrapText="1"/>
    </xf>
    <xf numFmtId="0" fontId="4" fillId="0" borderId="5" xfId="0" applyFont="1" applyFill="1" applyBorder="1" applyAlignment="1">
      <alignment horizontal="center" vertical="center" wrapText="1"/>
    </xf>
    <xf numFmtId="0" fontId="0" fillId="0" borderId="1" xfId="0" applyNumberFormat="1" applyFill="1" applyBorder="1" applyAlignment="1" applyProtection="1">
      <alignment horizontal="center" vertical="top"/>
    </xf>
    <xf numFmtId="0" fontId="0" fillId="3" borderId="1" xfId="0" applyNumberFormat="1" applyFill="1" applyBorder="1" applyAlignment="1" applyProtection="1">
      <alignment horizontal="center" vertical="top"/>
    </xf>
    <xf numFmtId="2" fontId="5" fillId="4" borderId="1" xfId="0" applyNumberFormat="1" applyFont="1" applyFill="1" applyBorder="1"/>
    <xf numFmtId="2" fontId="6" fillId="4" borderId="1" xfId="0" applyNumberFormat="1" applyFont="1" applyFill="1" applyBorder="1" applyAlignment="1">
      <alignment horizontal="center" vertical="center"/>
    </xf>
    <xf numFmtId="2" fontId="0" fillId="4" borderId="1" xfId="0" applyNumberFormat="1" applyFill="1" applyBorder="1"/>
    <xf numFmtId="0" fontId="4" fillId="0" borderId="5" xfId="0" applyFont="1" applyBorder="1" applyAlignment="1">
      <alignment wrapText="1"/>
    </xf>
    <xf numFmtId="2" fontId="26" fillId="0" borderId="1" xfId="0" applyNumberFormat="1" applyFont="1" applyBorder="1" applyAlignment="1">
      <alignment horizontal="center" vertical="center"/>
    </xf>
    <xf numFmtId="0" fontId="0" fillId="3" borderId="1" xfId="0" applyNumberFormat="1" applyFill="1" applyBorder="1" applyAlignment="1" applyProtection="1">
      <alignment horizontal="left" vertical="top"/>
    </xf>
    <xf numFmtId="0" fontId="0" fillId="3" borderId="1" xfId="0" applyFill="1" applyBorder="1" applyAlignment="1">
      <alignment horizontal="left"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2" fontId="5" fillId="3" borderId="1" xfId="0" applyNumberFormat="1" applyFont="1" applyFill="1" applyBorder="1"/>
    <xf numFmtId="0" fontId="6" fillId="3" borderId="0" xfId="0" applyFont="1" applyFill="1"/>
    <xf numFmtId="0" fontId="20" fillId="2" borderId="3" xfId="0" applyFont="1" applyFill="1" applyBorder="1" applyAlignment="1">
      <alignment horizontal="left" vertical="center"/>
    </xf>
    <xf numFmtId="0" fontId="17" fillId="0" borderId="0" xfId="0" applyFont="1" applyAlignment="1">
      <alignment horizontal="left"/>
    </xf>
    <xf numFmtId="0" fontId="17" fillId="0" borderId="0" xfId="0" applyFont="1" applyAlignment="1">
      <alignment horizontal="center"/>
    </xf>
    <xf numFmtId="0" fontId="20" fillId="2" borderId="2" xfId="0" applyFont="1" applyFill="1" applyBorder="1" applyAlignment="1">
      <alignment horizontal="left" vertical="center"/>
    </xf>
    <xf numFmtId="0" fontId="20" fillId="2" borderId="3" xfId="0" applyFont="1" applyFill="1" applyBorder="1" applyAlignment="1">
      <alignment horizontal="left" vertical="center"/>
    </xf>
    <xf numFmtId="0" fontId="20" fillId="2" borderId="5" xfId="0" applyFont="1" applyFill="1" applyBorder="1" applyAlignment="1">
      <alignment horizontal="left"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1" fillId="0" borderId="9" xfId="0" applyFont="1" applyBorder="1" applyAlignment="1">
      <alignment horizontal="center" vertical="center" wrapText="1"/>
    </xf>
    <xf numFmtId="0" fontId="13" fillId="0" borderId="9" xfId="0" applyFont="1" applyBorder="1" applyAlignment="1">
      <alignment horizontal="center" wrapText="1"/>
    </xf>
    <xf numFmtId="0" fontId="9" fillId="0" borderId="2" xfId="0" applyFont="1" applyBorder="1" applyAlignment="1">
      <alignment horizontal="center"/>
    </xf>
    <xf numFmtId="0" fontId="9" fillId="0" borderId="5" xfId="0" applyFont="1" applyBorder="1" applyAlignment="1">
      <alignment horizontal="center"/>
    </xf>
    <xf numFmtId="0" fontId="22" fillId="0" borderId="0" xfId="0" applyFont="1" applyAlignment="1">
      <alignment horizontal="center"/>
    </xf>
    <xf numFmtId="0" fontId="17" fillId="0" borderId="0" xfId="0" applyFont="1" applyAlignment="1">
      <alignment horizontal="left"/>
    </xf>
    <xf numFmtId="0" fontId="23" fillId="3" borderId="2" xfId="0" applyFont="1" applyFill="1" applyBorder="1" applyAlignment="1">
      <alignment horizontal="left"/>
    </xf>
    <xf numFmtId="0" fontId="23" fillId="3" borderId="5" xfId="0" applyFont="1" applyFill="1" applyBorder="1" applyAlignment="1">
      <alignment horizontal="left"/>
    </xf>
    <xf numFmtId="0" fontId="9" fillId="3" borderId="2" xfId="0" applyFont="1" applyFill="1" applyBorder="1" applyAlignment="1">
      <alignment horizontal="left"/>
    </xf>
    <xf numFmtId="0" fontId="9" fillId="3" borderId="5" xfId="0" applyFont="1" applyFill="1" applyBorder="1" applyAlignment="1">
      <alignment horizontal="left"/>
    </xf>
    <xf numFmtId="0" fontId="28" fillId="0" borderId="0" xfId="0" applyFont="1" applyAlignment="1">
      <alignment horizontal="center"/>
    </xf>
    <xf numFmtId="0" fontId="13" fillId="0" borderId="0" xfId="0" applyFont="1"/>
    <xf numFmtId="0" fontId="5" fillId="0" borderId="0" xfId="0" applyFont="1" applyAlignment="1">
      <alignment horizontal="center" vertical="center"/>
    </xf>
    <xf numFmtId="0" fontId="29" fillId="0" borderId="0" xfId="0" applyFont="1"/>
    <xf numFmtId="0" fontId="5" fillId="0" borderId="0" xfId="0" applyFont="1" applyAlignment="1">
      <alignment horizontal="left"/>
    </xf>
    <xf numFmtId="0" fontId="29" fillId="0" borderId="0" xfId="0" applyFont="1" applyAlignment="1">
      <alignment horizontal="left"/>
    </xf>
    <xf numFmtId="0" fontId="5" fillId="0" borderId="0" xfId="0" applyFont="1" applyAlignment="1">
      <alignment horizontal="left"/>
    </xf>
    <xf numFmtId="17" fontId="5" fillId="0" borderId="0" xfId="0" applyNumberFormat="1" applyFont="1" applyAlignment="1">
      <alignment horizontal="center"/>
    </xf>
    <xf numFmtId="0" fontId="5" fillId="0" borderId="9" xfId="0" applyFont="1" applyBorder="1" applyAlignment="1">
      <alignment horizontal="left"/>
    </xf>
    <xf numFmtId="0" fontId="5" fillId="0" borderId="9" xfId="0" applyFont="1" applyBorder="1"/>
    <xf numFmtId="0" fontId="29" fillId="0" borderId="9" xfId="0" applyFont="1" applyBorder="1"/>
    <xf numFmtId="0" fontId="30"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13" fillId="0" borderId="4" xfId="0" applyFont="1" applyBorder="1" applyAlignment="1">
      <alignment horizontal="center" vertical="center" wrapText="1"/>
    </xf>
    <xf numFmtId="0" fontId="31" fillId="0" borderId="6"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32" fillId="2" borderId="1" xfId="0" applyFont="1" applyFill="1" applyBorder="1" applyAlignment="1">
      <alignment horizontal="center" vertical="center"/>
    </xf>
    <xf numFmtId="0" fontId="33" fillId="0" borderId="1" xfId="0" applyFont="1" applyBorder="1" applyAlignment="1">
      <alignment horizontal="left"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2" fontId="33" fillId="0" borderId="2" xfId="0" applyNumberFormat="1" applyFont="1" applyBorder="1" applyAlignment="1">
      <alignment horizontal="right" vertical="center" wrapText="1"/>
    </xf>
    <xf numFmtId="2" fontId="5" fillId="0" borderId="1" xfId="0" applyNumberFormat="1" applyFont="1" applyBorder="1" applyAlignment="1">
      <alignment horizontal="right" vertical="center"/>
    </xf>
    <xf numFmtId="0" fontId="33" fillId="2" borderId="2" xfId="0" applyFont="1" applyFill="1" applyBorder="1" applyAlignment="1">
      <alignment horizontal="center" vertical="center"/>
    </xf>
    <xf numFmtId="165" fontId="33" fillId="0" borderId="1" xfId="0" applyNumberFormat="1" applyFont="1" applyBorder="1" applyAlignment="1">
      <alignment horizontal="center" vertical="center"/>
    </xf>
    <xf numFmtId="49" fontId="32" fillId="2" borderId="1" xfId="0" applyNumberFormat="1" applyFont="1" applyFill="1" applyBorder="1" applyAlignment="1">
      <alignment horizontal="center" vertical="center" wrapText="1"/>
    </xf>
    <xf numFmtId="2" fontId="33" fillId="0" borderId="2" xfId="0" applyNumberFormat="1" applyFont="1" applyBorder="1" applyAlignment="1">
      <alignment horizontal="right" vertical="center"/>
    </xf>
    <xf numFmtId="0" fontId="33" fillId="0" borderId="4" xfId="0" applyFont="1" applyBorder="1" applyAlignment="1">
      <alignment horizontal="left" vertical="center" wrapText="1"/>
    </xf>
    <xf numFmtId="0" fontId="32" fillId="2" borderId="4" xfId="0" applyFont="1" applyFill="1" applyBorder="1" applyAlignment="1">
      <alignment horizontal="center" vertical="center"/>
    </xf>
    <xf numFmtId="2" fontId="33" fillId="0" borderId="1" xfId="0" applyNumberFormat="1" applyFont="1" applyBorder="1" applyAlignment="1">
      <alignment horizontal="center" vertical="center"/>
    </xf>
    <xf numFmtId="49" fontId="32" fillId="2" borderId="4" xfId="0" applyNumberFormat="1" applyFont="1" applyFill="1" applyBorder="1" applyAlignment="1">
      <alignment horizontal="center" vertical="center" wrapText="1"/>
    </xf>
    <xf numFmtId="0" fontId="32" fillId="2" borderId="10" xfId="0" applyFont="1" applyFill="1" applyBorder="1" applyAlignment="1">
      <alignment horizontal="center" vertical="center"/>
    </xf>
    <xf numFmtId="0" fontId="33" fillId="0" borderId="10" xfId="0" applyFont="1" applyBorder="1" applyAlignment="1">
      <alignment horizontal="left" vertical="center" wrapText="1"/>
    </xf>
    <xf numFmtId="0" fontId="34" fillId="2" borderId="2" xfId="0" applyFont="1" applyFill="1" applyBorder="1" applyAlignment="1">
      <alignment horizontal="center" vertical="center"/>
    </xf>
    <xf numFmtId="0" fontId="35" fillId="0" borderId="1" xfId="0" applyFont="1" applyBorder="1" applyAlignment="1">
      <alignment horizontal="center" vertical="center" wrapText="1"/>
    </xf>
    <xf numFmtId="0" fontId="33" fillId="0" borderId="1" xfId="0" applyFont="1" applyBorder="1" applyAlignment="1">
      <alignment wrapText="1"/>
    </xf>
    <xf numFmtId="0" fontId="33" fillId="0" borderId="4" xfId="0" applyFont="1" applyBorder="1" applyAlignment="1">
      <alignment wrapText="1"/>
    </xf>
    <xf numFmtId="0" fontId="33" fillId="0" borderId="4" xfId="0" applyFont="1" applyBorder="1" applyAlignment="1">
      <alignment horizontal="center" vertical="center"/>
    </xf>
    <xf numFmtId="2" fontId="33" fillId="0" borderId="7" xfId="0" applyNumberFormat="1" applyFont="1" applyBorder="1" applyAlignment="1">
      <alignment horizontal="right" vertical="center" wrapText="1"/>
    </xf>
    <xf numFmtId="0" fontId="17" fillId="0" borderId="1" xfId="0" applyFont="1" applyBorder="1" applyAlignment="1">
      <alignment horizontal="center" vertical="center"/>
    </xf>
    <xf numFmtId="0" fontId="17" fillId="0" borderId="1" xfId="0" applyFont="1" applyBorder="1" applyAlignment="1">
      <alignment horizontal="right" vertical="center"/>
    </xf>
    <xf numFmtId="0" fontId="17" fillId="0" borderId="1" xfId="0" applyFont="1" applyBorder="1" applyAlignment="1">
      <alignment horizontal="center" vertical="center" wrapText="1"/>
    </xf>
    <xf numFmtId="2" fontId="17" fillId="0" borderId="1" xfId="0" applyNumberFormat="1" applyFont="1" applyBorder="1" applyAlignment="1">
      <alignment horizontal="right" vertical="center"/>
    </xf>
    <xf numFmtId="2" fontId="17" fillId="0" borderId="1" xfId="0" applyNumberFormat="1" applyFont="1" applyBorder="1" applyAlignment="1">
      <alignment vertical="center"/>
    </xf>
    <xf numFmtId="0" fontId="34" fillId="2" borderId="7" xfId="0" applyFont="1" applyFill="1" applyBorder="1" applyAlignment="1">
      <alignment horizontal="center" vertical="center"/>
    </xf>
    <xf numFmtId="0" fontId="34" fillId="0" borderId="1" xfId="0" applyFont="1" applyBorder="1"/>
    <xf numFmtId="0" fontId="34" fillId="2" borderId="4" xfId="0" applyFont="1" applyFill="1" applyBorder="1" applyAlignment="1">
      <alignment horizontal="center" vertical="center"/>
    </xf>
    <xf numFmtId="2" fontId="17" fillId="0" borderId="1" xfId="0" applyNumberFormat="1" applyFont="1" applyBorder="1" applyAlignment="1">
      <alignment horizontal="right" vertical="center" wrapText="1"/>
    </xf>
    <xf numFmtId="0" fontId="34" fillId="2" borderId="3" xfId="0" applyFont="1" applyFill="1" applyBorder="1" applyAlignment="1">
      <alignment horizontal="center" vertical="center"/>
    </xf>
    <xf numFmtId="0" fontId="17" fillId="0" borderId="4" xfId="0" applyFont="1" applyBorder="1" applyAlignment="1">
      <alignment wrapText="1"/>
    </xf>
    <xf numFmtId="0" fontId="17" fillId="0" borderId="4" xfId="0" applyFont="1" applyBorder="1" applyAlignment="1">
      <alignment horizontal="center" vertical="center"/>
    </xf>
    <xf numFmtId="2" fontId="17" fillId="0" borderId="1" xfId="0" applyNumberFormat="1" applyFont="1" applyBorder="1" applyAlignment="1">
      <alignment horizontal="center" vertical="center" wrapText="1"/>
    </xf>
    <xf numFmtId="0" fontId="34" fillId="2" borderId="11" xfId="0" applyFont="1" applyFill="1" applyBorder="1" applyAlignment="1">
      <alignment horizontal="center" vertical="center"/>
    </xf>
    <xf numFmtId="0" fontId="34" fillId="0" borderId="4" xfId="0" applyFont="1" applyBorder="1"/>
    <xf numFmtId="2" fontId="5" fillId="0" borderId="4" xfId="0" applyNumberFormat="1" applyFont="1" applyBorder="1" applyAlignment="1">
      <alignment horizontal="right" vertical="center"/>
    </xf>
    <xf numFmtId="0" fontId="34" fillId="2" borderId="1" xfId="0" applyFont="1" applyFill="1" applyBorder="1" applyAlignment="1">
      <alignment horizontal="center" vertical="center"/>
    </xf>
    <xf numFmtId="0" fontId="17" fillId="0" borderId="1" xfId="0" applyFont="1" applyBorder="1" applyAlignment="1">
      <alignment wrapText="1"/>
    </xf>
    <xf numFmtId="2" fontId="33" fillId="0" borderId="1" xfId="0" applyNumberFormat="1" applyFont="1" applyBorder="1" applyAlignment="1">
      <alignment horizontal="center"/>
    </xf>
    <xf numFmtId="0" fontId="36" fillId="0" borderId="4" xfId="0" applyFont="1" applyBorder="1" applyAlignment="1">
      <alignment wrapText="1"/>
    </xf>
    <xf numFmtId="0" fontId="0" fillId="0" borderId="1" xfId="0" applyBorder="1" applyAlignment="1">
      <alignment horizontal="center" wrapText="1"/>
    </xf>
    <xf numFmtId="2" fontId="17" fillId="0" borderId="1" xfId="0" applyNumberFormat="1" applyFont="1" applyBorder="1" applyAlignment="1">
      <alignment horizont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17" fillId="0" borderId="1" xfId="0" applyFont="1" applyBorder="1" applyAlignment="1">
      <alignment horizontal="center"/>
    </xf>
    <xf numFmtId="0" fontId="0" fillId="0" borderId="4" xfId="0" applyBorder="1" applyAlignment="1">
      <alignment wrapText="1"/>
    </xf>
    <xf numFmtId="0" fontId="0" fillId="0" borderId="1" xfId="0" applyBorder="1" applyAlignment="1">
      <alignment wrapText="1"/>
    </xf>
    <xf numFmtId="0" fontId="37" fillId="0" borderId="1" xfId="0" applyFont="1" applyBorder="1" applyAlignment="1">
      <alignment wrapText="1"/>
    </xf>
    <xf numFmtId="0" fontId="20" fillId="0" borderId="3" xfId="0" applyFont="1" applyBorder="1" applyAlignment="1">
      <alignment horizontal="right" vertical="center"/>
    </xf>
    <xf numFmtId="0" fontId="20" fillId="0" borderId="5" xfId="0" applyFont="1" applyBorder="1" applyAlignment="1">
      <alignment horizontal="right" vertical="center"/>
    </xf>
    <xf numFmtId="2" fontId="13" fillId="0" borderId="1" xfId="0" applyNumberFormat="1" applyFont="1" applyBorder="1" applyAlignment="1">
      <alignment horizontal="right" vertical="center"/>
    </xf>
    <xf numFmtId="0" fontId="38" fillId="0" borderId="1" xfId="0" applyFont="1" applyBorder="1" applyAlignment="1">
      <alignment horizontal="center" vertical="center"/>
    </xf>
    <xf numFmtId="1" fontId="38" fillId="0" borderId="1" xfId="0" applyNumberFormat="1" applyFont="1" applyBorder="1" applyAlignment="1">
      <alignment horizontal="center" vertical="center"/>
    </xf>
    <xf numFmtId="0" fontId="32" fillId="2" borderId="11" xfId="0" applyFont="1" applyFill="1" applyBorder="1" applyAlignment="1">
      <alignment horizontal="center" vertical="center"/>
    </xf>
    <xf numFmtId="0" fontId="13" fillId="0" borderId="3" xfId="0" applyFont="1" applyBorder="1" applyAlignment="1">
      <alignment horizontal="right" vertical="center"/>
    </xf>
    <xf numFmtId="0" fontId="13" fillId="0" borderId="5" xfId="0" applyFont="1" applyBorder="1" applyAlignment="1">
      <alignment horizontal="right" vertical="center"/>
    </xf>
    <xf numFmtId="2" fontId="13" fillId="0" borderId="1" xfId="0" applyNumberFormat="1" applyFont="1" applyBorder="1" applyAlignment="1">
      <alignment vertical="center"/>
    </xf>
    <xf numFmtId="0" fontId="38" fillId="0" borderId="1" xfId="0" applyFont="1" applyBorder="1" applyAlignment="1">
      <alignment horizontal="justify" vertical="center" wrapText="1"/>
    </xf>
    <xf numFmtId="0" fontId="38" fillId="0" borderId="1" xfId="0" applyFont="1" applyBorder="1" applyAlignment="1">
      <alignment horizontal="center" vertical="center" wrapText="1"/>
    </xf>
    <xf numFmtId="0" fontId="38" fillId="0" borderId="4" xfId="0" applyFont="1" applyBorder="1" applyAlignment="1">
      <alignment horizontal="justify" vertical="center" wrapText="1"/>
    </xf>
    <xf numFmtId="2" fontId="33" fillId="0" borderId="1" xfId="0" applyNumberFormat="1" applyFont="1" applyBorder="1" applyAlignment="1">
      <alignment horizontal="right" vertical="center"/>
    </xf>
    <xf numFmtId="0" fontId="38" fillId="0" borderId="1" xfId="0" applyFont="1" applyBorder="1" applyAlignment="1">
      <alignment horizontal="justify" vertical="center"/>
    </xf>
    <xf numFmtId="0" fontId="38" fillId="2" borderId="1" xfId="0" applyFont="1" applyFill="1" applyBorder="1" applyAlignment="1">
      <alignment horizontal="center" vertical="center"/>
    </xf>
    <xf numFmtId="0" fontId="33" fillId="0" borderId="4" xfId="0" applyFont="1" applyBorder="1" applyAlignment="1">
      <alignment vertical="center" wrapText="1"/>
    </xf>
    <xf numFmtId="0" fontId="33" fillId="0" borderId="1" xfId="0" applyFont="1" applyBorder="1" applyAlignment="1">
      <alignment vertical="center" wrapText="1"/>
    </xf>
    <xf numFmtId="0" fontId="39" fillId="0" borderId="1" xfId="0" applyFont="1" applyBorder="1" applyAlignment="1">
      <alignment horizontal="center" vertical="center" wrapText="1"/>
    </xf>
    <xf numFmtId="0" fontId="33" fillId="0" borderId="4" xfId="0" applyFont="1" applyBorder="1" applyAlignment="1">
      <alignment vertical="top" wrapText="1"/>
    </xf>
    <xf numFmtId="0" fontId="17" fillId="0" borderId="4" xfId="0" applyFont="1" applyBorder="1" applyAlignment="1">
      <alignment vertical="top" wrapText="1"/>
    </xf>
    <xf numFmtId="2" fontId="8" fillId="0" borderId="1" xfId="0" applyNumberFormat="1" applyFont="1" applyBorder="1" applyAlignment="1">
      <alignment horizontal="right" vertical="center"/>
    </xf>
    <xf numFmtId="0" fontId="13" fillId="0" borderId="3" xfId="0" applyFont="1" applyBorder="1" applyAlignment="1">
      <alignment horizontal="right"/>
    </xf>
    <xf numFmtId="0" fontId="13" fillId="0" borderId="5" xfId="0" applyFont="1" applyBorder="1" applyAlignment="1">
      <alignment horizontal="right"/>
    </xf>
    <xf numFmtId="2" fontId="13" fillId="0" borderId="1" xfId="0" applyNumberFormat="1" applyFont="1" applyBorder="1"/>
    <xf numFmtId="0" fontId="20" fillId="0" borderId="3" xfId="0" applyFont="1" applyBorder="1" applyAlignment="1">
      <alignment horizontal="left" vertical="center"/>
    </xf>
    <xf numFmtId="0" fontId="20" fillId="0" borderId="5" xfId="0" applyFont="1" applyBorder="1" applyAlignment="1">
      <alignment horizontal="left" vertical="center"/>
    </xf>
    <xf numFmtId="0" fontId="13" fillId="0" borderId="6" xfId="0" applyFont="1" applyBorder="1" applyAlignment="1">
      <alignment horizontal="center" vertical="center"/>
    </xf>
    <xf numFmtId="0" fontId="34" fillId="2" borderId="6" xfId="0" applyFont="1" applyFill="1" applyBorder="1" applyAlignment="1">
      <alignment horizontal="center" vertical="center"/>
    </xf>
    <xf numFmtId="0" fontId="33" fillId="0" borderId="10" xfId="0" applyFont="1" applyBorder="1" applyAlignment="1">
      <alignment wrapText="1"/>
    </xf>
    <xf numFmtId="0" fontId="17" fillId="0" borderId="6" xfId="0" applyFont="1" applyBorder="1" applyAlignment="1">
      <alignment horizontal="center" vertical="center"/>
    </xf>
    <xf numFmtId="0" fontId="34" fillId="0" borderId="6" xfId="0" applyFont="1" applyBorder="1"/>
    <xf numFmtId="0" fontId="17" fillId="0" borderId="6" xfId="0" applyFont="1" applyBorder="1" applyAlignment="1">
      <alignment horizontal="right" vertical="center"/>
    </xf>
    <xf numFmtId="2" fontId="5" fillId="0" borderId="6" xfId="0" applyNumberFormat="1" applyFont="1" applyBorder="1" applyAlignment="1">
      <alignment horizontal="right" vertical="center"/>
    </xf>
    <xf numFmtId="0" fontId="17" fillId="0" borderId="1" xfId="0" applyFont="1" applyBorder="1" applyAlignment="1">
      <alignment horizontal="right"/>
    </xf>
    <xf numFmtId="0" fontId="30" fillId="0" borderId="2" xfId="0" applyFont="1" applyBorder="1" applyAlignment="1">
      <alignment horizontal="right" vertical="center"/>
    </xf>
    <xf numFmtId="0" fontId="30" fillId="0" borderId="3" xfId="0" applyFont="1" applyBorder="1" applyAlignment="1">
      <alignment horizontal="right" vertical="center"/>
    </xf>
    <xf numFmtId="0" fontId="30" fillId="0" borderId="5" xfId="0" applyFont="1" applyBorder="1" applyAlignment="1">
      <alignment horizontal="right" vertical="center"/>
    </xf>
    <xf numFmtId="2" fontId="30" fillId="0" borderId="1" xfId="0" applyNumberFormat="1" applyFont="1" applyBorder="1" applyAlignment="1">
      <alignmen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5" xfId="0" applyFont="1" applyBorder="1" applyAlignment="1">
      <alignment horizontal="left" vertical="center"/>
    </xf>
    <xf numFmtId="0" fontId="5" fillId="0" borderId="4" xfId="0" applyFont="1" applyBorder="1" applyAlignment="1">
      <alignment horizontal="center" vertical="center"/>
    </xf>
    <xf numFmtId="0" fontId="39" fillId="0" borderId="4" xfId="0" applyFont="1" applyBorder="1" applyAlignment="1">
      <alignment vertical="center" wrapText="1"/>
    </xf>
    <xf numFmtId="0" fontId="40"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right" vertical="center"/>
    </xf>
    <xf numFmtId="0" fontId="13" fillId="0" borderId="1" xfId="0" applyFont="1" applyBorder="1" applyAlignment="1">
      <alignment horizontal="right"/>
    </xf>
    <xf numFmtId="0" fontId="13" fillId="0" borderId="1" xfId="0" applyFont="1" applyBorder="1"/>
    <xf numFmtId="0" fontId="17" fillId="0" borderId="0" xfId="0" applyFont="1"/>
    <xf numFmtId="0" fontId="30" fillId="0" borderId="1" xfId="0" applyFont="1" applyBorder="1" applyAlignment="1">
      <alignment horizontal="left" vertical="center"/>
    </xf>
    <xf numFmtId="0" fontId="30" fillId="0" borderId="1" xfId="0" applyFont="1" applyBorder="1" applyAlignment="1">
      <alignment horizontal="center" vertical="center"/>
    </xf>
    <xf numFmtId="0" fontId="30" fillId="0" borderId="3" xfId="0" applyFont="1" applyBorder="1" applyAlignment="1">
      <alignment horizontal="center" vertical="center"/>
    </xf>
    <xf numFmtId="0" fontId="37" fillId="0" borderId="1" xfId="0" applyFont="1" applyBorder="1" applyAlignment="1">
      <alignment horizontal="center" vertical="center" wrapText="1"/>
    </xf>
    <xf numFmtId="0" fontId="30" fillId="0" borderId="1" xfId="0" applyFont="1" applyBorder="1" applyAlignment="1">
      <alignment horizontal="left" vertical="center"/>
    </xf>
    <xf numFmtId="2" fontId="0" fillId="0" borderId="1" xfId="0" applyNumberFormat="1" applyBorder="1" applyAlignment="1">
      <alignment horizontal="right" vertical="center" wrapText="1"/>
    </xf>
    <xf numFmtId="2" fontId="17" fillId="0" borderId="5" xfId="0" applyNumberFormat="1" applyFont="1" applyBorder="1" applyAlignment="1">
      <alignment horizontal="right" vertical="center"/>
    </xf>
    <xf numFmtId="0" fontId="30" fillId="0" borderId="2" xfId="0" applyFont="1" applyBorder="1" applyAlignment="1">
      <alignment horizontal="center" vertical="center"/>
    </xf>
    <xf numFmtId="0" fontId="37" fillId="0" borderId="1" xfId="0" applyFont="1" applyBorder="1" applyAlignment="1">
      <alignment horizontal="center" vertical="center"/>
    </xf>
    <xf numFmtId="0" fontId="30" fillId="2" borderId="1" xfId="0" applyFont="1" applyFill="1" applyBorder="1" applyAlignment="1">
      <alignment horizontal="center" vertical="center"/>
    </xf>
    <xf numFmtId="0" fontId="30" fillId="2" borderId="4" xfId="0" applyFont="1" applyFill="1" applyBorder="1" applyAlignment="1">
      <alignment horizontal="center" vertical="center"/>
    </xf>
    <xf numFmtId="0" fontId="17" fillId="0" borderId="1" xfId="0" applyFont="1" applyBorder="1"/>
    <xf numFmtId="0" fontId="17" fillId="0" borderId="10" xfId="0" applyFont="1" applyBorder="1" applyAlignment="1">
      <alignment horizontal="center" vertical="center"/>
    </xf>
    <xf numFmtId="0" fontId="30" fillId="0" borderId="2" xfId="0" applyFont="1" applyBorder="1" applyAlignment="1">
      <alignment horizontal="left" vertical="center"/>
    </xf>
    <xf numFmtId="0" fontId="30" fillId="0" borderId="1" xfId="0" applyFont="1" applyBorder="1" applyAlignment="1">
      <alignment horizontal="right" vertical="center"/>
    </xf>
    <xf numFmtId="2" fontId="8" fillId="0" borderId="5" xfId="0" applyNumberFormat="1" applyFont="1" applyBorder="1" applyAlignment="1">
      <alignment horizontal="right" vertical="center"/>
    </xf>
    <xf numFmtId="49" fontId="32" fillId="2" borderId="10" xfId="0" applyNumberFormat="1" applyFont="1" applyFill="1" applyBorder="1" applyAlignment="1">
      <alignment horizontal="center" vertical="center" wrapText="1"/>
    </xf>
    <xf numFmtId="0" fontId="33" fillId="0" borderId="10" xfId="0" applyFont="1" applyBorder="1" applyAlignment="1">
      <alignment vertical="center" wrapText="1"/>
    </xf>
    <xf numFmtId="0" fontId="33" fillId="0" borderId="10" xfId="0" applyFont="1" applyBorder="1" applyAlignment="1">
      <alignment horizontal="center" vertical="center" wrapText="1"/>
    </xf>
    <xf numFmtId="0" fontId="37" fillId="0" borderId="3" xfId="0" applyFont="1" applyBorder="1" applyAlignment="1">
      <alignment horizontal="center" vertical="center"/>
    </xf>
    <xf numFmtId="0" fontId="30" fillId="0" borderId="3" xfId="0" applyFont="1" applyBorder="1" applyAlignment="1">
      <alignment horizontal="left" vertical="center"/>
    </xf>
    <xf numFmtId="0" fontId="33" fillId="0" borderId="6" xfId="0" applyFont="1" applyBorder="1" applyAlignment="1">
      <alignment horizontal="center" vertical="center" wrapText="1"/>
    </xf>
    <xf numFmtId="2" fontId="0" fillId="0" borderId="10" xfId="0" applyNumberFormat="1" applyBorder="1" applyAlignment="1">
      <alignment horizontal="right" vertical="center" wrapText="1"/>
    </xf>
    <xf numFmtId="49" fontId="34" fillId="2" borderId="1" xfId="0" applyNumberFormat="1" applyFont="1" applyFill="1" applyBorder="1" applyAlignment="1">
      <alignment horizontal="center" vertical="center"/>
    </xf>
    <xf numFmtId="0" fontId="33" fillId="0" borderId="4" xfId="0" applyFont="1" applyBorder="1" applyAlignment="1">
      <alignment horizontal="center" vertical="center" wrapText="1"/>
    </xf>
    <xf numFmtId="0" fontId="13" fillId="0" borderId="2" xfId="0" applyFont="1" applyBorder="1" applyAlignment="1">
      <alignment horizontal="right" vertical="center"/>
    </xf>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horizontal="left"/>
    </xf>
    <xf numFmtId="0" fontId="43" fillId="0" borderId="9" xfId="0" applyFont="1" applyBorder="1" applyAlignment="1">
      <alignment horizontal="left"/>
    </xf>
    <xf numFmtId="0" fontId="43" fillId="0" borderId="0" xfId="0" applyFont="1" applyBorder="1" applyAlignment="1">
      <alignment horizontal="left"/>
    </xf>
    <xf numFmtId="0" fontId="43" fillId="0" borderId="9" xfId="0" applyFont="1" applyBorder="1" applyAlignment="1">
      <alignment horizont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42" fillId="0" borderId="1" xfId="0" applyFont="1" applyBorder="1" applyAlignment="1">
      <alignment horizontal="center" vertical="center"/>
    </xf>
    <xf numFmtId="0" fontId="44" fillId="3" borderId="1" xfId="0" applyFont="1" applyFill="1" applyBorder="1" applyAlignment="1">
      <alignment horizontal="center" vertical="center"/>
    </xf>
    <xf numFmtId="0" fontId="45" fillId="0" borderId="1" xfId="0" applyFont="1" applyFill="1" applyBorder="1" applyAlignment="1">
      <alignment horizontal="left" vertical="center" wrapText="1"/>
    </xf>
    <xf numFmtId="0" fontId="46" fillId="0" borderId="1" xfId="0" applyFont="1" applyBorder="1" applyAlignment="1">
      <alignment horizontal="center" vertical="center" wrapText="1"/>
    </xf>
    <xf numFmtId="0" fontId="47" fillId="0" borderId="1" xfId="0" applyFont="1" applyFill="1" applyBorder="1" applyAlignment="1">
      <alignment horizontal="center" vertical="center"/>
    </xf>
    <xf numFmtId="2" fontId="48" fillId="0" borderId="1" xfId="0" applyNumberFormat="1" applyFont="1" applyBorder="1" applyAlignment="1">
      <alignment horizontal="right" vertical="center" wrapText="1"/>
    </xf>
    <xf numFmtId="2" fontId="49" fillId="0" borderId="1" xfId="0" applyNumberFormat="1" applyFont="1" applyBorder="1" applyAlignment="1">
      <alignment horizontal="center" vertical="center" wrapText="1"/>
    </xf>
    <xf numFmtId="2" fontId="48" fillId="0" borderId="1" xfId="0" applyNumberFormat="1" applyFont="1" applyFill="1" applyBorder="1" applyAlignment="1">
      <alignment horizontal="right" vertical="center" wrapText="1"/>
    </xf>
    <xf numFmtId="2" fontId="49" fillId="0" borderId="1" xfId="0" applyNumberFormat="1" applyFont="1" applyFill="1" applyBorder="1" applyAlignment="1">
      <alignment horizontal="center" vertical="center" wrapText="1"/>
    </xf>
    <xf numFmtId="0" fontId="46" fillId="0" borderId="1" xfId="0" applyFont="1" applyBorder="1" applyAlignment="1">
      <alignment horizontal="center" vertical="center"/>
    </xf>
    <xf numFmtId="0" fontId="50" fillId="0" borderId="1" xfId="0" applyFont="1" applyFill="1" applyBorder="1" applyAlignment="1">
      <alignment horizontal="center" vertical="center"/>
    </xf>
    <xf numFmtId="0" fontId="51" fillId="3" borderId="1" xfId="0" applyFont="1" applyFill="1" applyBorder="1" applyAlignment="1">
      <alignment horizontal="center" vertical="center"/>
    </xf>
    <xf numFmtId="0" fontId="45" fillId="2" borderId="1" xfId="0" applyFont="1" applyFill="1" applyBorder="1" applyAlignment="1">
      <alignment horizontal="left" vertical="center" wrapText="1"/>
    </xf>
    <xf numFmtId="0" fontId="52" fillId="3" borderId="1" xfId="0" applyFont="1" applyFill="1" applyBorder="1" applyAlignment="1">
      <alignment horizontal="center" vertical="center"/>
    </xf>
    <xf numFmtId="0" fontId="51" fillId="3" borderId="1" xfId="0" applyFont="1" applyFill="1" applyBorder="1" applyAlignment="1">
      <alignment horizontal="center"/>
    </xf>
    <xf numFmtId="0" fontId="50" fillId="0" borderId="1" xfId="0" applyFont="1" applyBorder="1" applyAlignment="1">
      <alignment horizontal="center" vertical="center"/>
    </xf>
    <xf numFmtId="2" fontId="49" fillId="2" borderId="1" xfId="0" applyNumberFormat="1" applyFont="1" applyFill="1" applyBorder="1" applyAlignment="1">
      <alignment horizontal="center" vertical="center" wrapText="1"/>
    </xf>
    <xf numFmtId="0" fontId="48" fillId="3" borderId="1" xfId="0" applyFont="1" applyFill="1" applyBorder="1" applyAlignment="1">
      <alignment horizontal="center" vertical="center"/>
    </xf>
    <xf numFmtId="0" fontId="53" fillId="3" borderId="1" xfId="0" applyFont="1" applyFill="1" applyBorder="1" applyAlignment="1">
      <alignment horizontal="center" vertical="center"/>
    </xf>
    <xf numFmtId="0" fontId="43" fillId="0" borderId="1" xfId="0" applyFont="1" applyBorder="1" applyAlignment="1">
      <alignment horizontal="center"/>
    </xf>
    <xf numFmtId="0" fontId="43" fillId="0" borderId="1" xfId="0" applyFont="1" applyBorder="1"/>
    <xf numFmtId="0" fontId="54" fillId="0" borderId="2" xfId="0" applyFont="1" applyBorder="1" applyAlignment="1">
      <alignment horizontal="center"/>
    </xf>
    <xf numFmtId="0" fontId="54" fillId="0" borderId="5" xfId="0" applyFont="1" applyBorder="1" applyAlignment="1">
      <alignment horizontal="center"/>
    </xf>
    <xf numFmtId="2" fontId="42" fillId="0" borderId="1" xfId="0" applyNumberFormat="1" applyFont="1" applyBorder="1" applyAlignment="1">
      <alignment horizontal="center"/>
    </xf>
    <xf numFmtId="0" fontId="42" fillId="0" borderId="0" xfId="0" applyFont="1" applyBorder="1" applyAlignment="1">
      <alignment horizontal="center" vertical="center"/>
    </xf>
    <xf numFmtId="0" fontId="55" fillId="0" borderId="3" xfId="0" applyFont="1" applyBorder="1" applyAlignment="1">
      <alignment horizontal="center"/>
    </xf>
    <xf numFmtId="0" fontId="56" fillId="0" borderId="1" xfId="0" applyFont="1" applyFill="1" applyBorder="1" applyAlignment="1">
      <alignment horizontal="left"/>
    </xf>
    <xf numFmtId="0" fontId="56" fillId="0" borderId="1" xfId="0" applyFont="1" applyBorder="1" applyAlignment="1">
      <alignment horizontal="center" vertical="center"/>
    </xf>
    <xf numFmtId="0" fontId="48" fillId="0" borderId="1" xfId="0" applyFont="1" applyFill="1" applyBorder="1" applyAlignment="1">
      <alignment horizontal="center" wrapText="1"/>
    </xf>
    <xf numFmtId="2" fontId="50" fillId="0" borderId="1" xfId="0" applyNumberFormat="1" applyFont="1" applyBorder="1" applyAlignment="1">
      <alignment vertical="center"/>
    </xf>
    <xf numFmtId="0" fontId="42" fillId="0" borderId="1" xfId="0" applyFont="1" applyBorder="1" applyAlignment="1">
      <alignment horizontal="center"/>
    </xf>
    <xf numFmtId="0" fontId="52" fillId="3" borderId="1" xfId="0" applyFont="1" applyFill="1" applyBorder="1" applyAlignment="1">
      <alignment horizontal="center"/>
    </xf>
    <xf numFmtId="0" fontId="56" fillId="0" borderId="1" xfId="0" applyFont="1" applyBorder="1" applyAlignment="1">
      <alignment horizontal="left"/>
    </xf>
    <xf numFmtId="0" fontId="48" fillId="2" borderId="1" xfId="0" applyFont="1" applyFill="1" applyBorder="1" applyAlignment="1">
      <alignment horizontal="center" wrapText="1"/>
    </xf>
    <xf numFmtId="0" fontId="43" fillId="0" borderId="0" xfId="0" applyFont="1" applyBorder="1"/>
    <xf numFmtId="0" fontId="43" fillId="0" borderId="0" xfId="0" applyFont="1" applyBorder="1" applyAlignment="1">
      <alignment horizontal="center"/>
    </xf>
    <xf numFmtId="2" fontId="42" fillId="0" borderId="0" xfId="0" applyNumberFormat="1" applyFont="1" applyBorder="1" applyAlignment="1">
      <alignment horizontal="center"/>
    </xf>
    <xf numFmtId="0" fontId="9" fillId="0" borderId="11"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4"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7" fillId="0" borderId="7" xfId="3" applyFont="1" applyBorder="1" applyAlignment="1">
      <alignment horizontal="left" vertical="top"/>
    </xf>
    <xf numFmtId="0" fontId="57" fillId="0" borderId="12" xfId="3" applyFont="1" applyBorder="1" applyAlignment="1">
      <alignment horizontal="left" vertical="top"/>
    </xf>
    <xf numFmtId="0" fontId="57" fillId="0" borderId="7" xfId="3" applyFont="1" applyBorder="1" applyAlignment="1">
      <alignment horizontal="left" vertical="top" wrapText="1"/>
    </xf>
    <xf numFmtId="0" fontId="57" fillId="0" borderId="12" xfId="3" applyFont="1" applyBorder="1" applyAlignment="1">
      <alignment horizontal="left" vertical="top" wrapText="1"/>
    </xf>
    <xf numFmtId="0" fontId="8" fillId="0" borderId="4" xfId="0" applyFont="1" applyBorder="1" applyAlignment="1">
      <alignment horizontal="left" vertical="center" wrapText="1"/>
    </xf>
    <xf numFmtId="0" fontId="4" fillId="0" borderId="10" xfId="0" applyFont="1" applyBorder="1" applyAlignment="1">
      <alignment horizontal="center" vertical="top" wrapText="1"/>
    </xf>
    <xf numFmtId="0" fontId="57" fillId="0" borderId="14" xfId="3" applyFont="1" applyBorder="1" applyAlignment="1">
      <alignment horizontal="left" vertical="top"/>
    </xf>
    <xf numFmtId="0" fontId="57" fillId="0" borderId="15" xfId="3" applyFont="1" applyBorder="1" applyAlignment="1">
      <alignment horizontal="left" vertical="top"/>
    </xf>
    <xf numFmtId="0" fontId="57" fillId="0" borderId="14" xfId="3" applyFont="1" applyBorder="1" applyAlignment="1">
      <alignment horizontal="left" vertical="top" wrapText="1"/>
    </xf>
    <xf numFmtId="0" fontId="57" fillId="0" borderId="15" xfId="3" applyFont="1" applyBorder="1" applyAlignment="1">
      <alignment horizontal="left" vertical="top" wrapText="1"/>
    </xf>
    <xf numFmtId="0" fontId="8" fillId="0" borderId="10" xfId="0" applyFont="1" applyBorder="1" applyAlignment="1">
      <alignment horizontal="left" vertical="center" wrapText="1"/>
    </xf>
    <xf numFmtId="0" fontId="4" fillId="0" borderId="6" xfId="0" applyFont="1" applyBorder="1" applyAlignment="1">
      <alignment horizontal="center" vertical="top" wrapText="1"/>
    </xf>
    <xf numFmtId="0" fontId="57" fillId="0" borderId="8" xfId="3" applyFont="1" applyBorder="1" applyAlignment="1">
      <alignment horizontal="left" vertical="top"/>
    </xf>
    <xf numFmtId="0" fontId="57" fillId="0" borderId="13" xfId="3" applyFont="1" applyBorder="1" applyAlignment="1">
      <alignment horizontal="left" vertical="top"/>
    </xf>
    <xf numFmtId="0" fontId="57" fillId="0" borderId="8" xfId="3" applyFont="1" applyBorder="1" applyAlignment="1">
      <alignment horizontal="left" vertical="top" wrapText="1"/>
    </xf>
    <xf numFmtId="0" fontId="57" fillId="0" borderId="13" xfId="3" applyFont="1" applyBorder="1" applyAlignment="1">
      <alignment horizontal="left" vertical="top" wrapText="1"/>
    </xf>
    <xf numFmtId="0" fontId="8"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7" fillId="0" borderId="1" xfId="3" applyFont="1" applyBorder="1" applyAlignment="1">
      <alignment horizontal="left" vertical="top"/>
    </xf>
    <xf numFmtId="0" fontId="57" fillId="0" borderId="1" xfId="3" applyFont="1" applyBorder="1" applyAlignment="1">
      <alignment horizontal="left" vertical="top" wrapText="1"/>
    </xf>
    <xf numFmtId="0" fontId="8" fillId="0" borderId="1" xfId="0" applyFont="1" applyBorder="1" applyAlignment="1">
      <alignment horizontal="left" vertical="center"/>
    </xf>
    <xf numFmtId="0" fontId="0" fillId="2" borderId="1" xfId="0" applyNumberFormat="1" applyFont="1" applyFill="1" applyBorder="1" applyAlignment="1" applyProtection="1">
      <alignment horizontal="left" vertical="top"/>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left"/>
    </xf>
    <xf numFmtId="0" fontId="0" fillId="2" borderId="1" xfId="0" applyFont="1" applyFill="1" applyBorder="1" applyAlignment="1">
      <alignment horizontal="left" wrapText="1"/>
    </xf>
    <xf numFmtId="0" fontId="17" fillId="2" borderId="1" xfId="0" applyFont="1" applyFill="1" applyBorder="1" applyAlignment="1">
      <alignment horizontal="left"/>
    </xf>
    <xf numFmtId="0" fontId="17" fillId="2" borderId="1" xfId="0" applyFont="1" applyFill="1" applyBorder="1" applyAlignment="1">
      <alignment horizontal="left" wrapText="1"/>
    </xf>
    <xf numFmtId="0" fontId="17" fillId="2" borderId="6" xfId="0" applyFont="1" applyFill="1" applyBorder="1" applyAlignment="1">
      <alignment horizontal="left"/>
    </xf>
    <xf numFmtId="0" fontId="26" fillId="2" borderId="1" xfId="0" applyFont="1" applyFill="1" applyBorder="1" applyAlignment="1">
      <alignment horizontal="center" vertical="center"/>
    </xf>
    <xf numFmtId="2" fontId="0" fillId="2" borderId="1" xfId="0" applyNumberFormat="1" applyFill="1" applyBorder="1" applyAlignment="1">
      <alignment horizontal="left" vertical="center"/>
    </xf>
    <xf numFmtId="0" fontId="0" fillId="2" borderId="1" xfId="0" applyFill="1" applyBorder="1" applyAlignment="1"/>
    <xf numFmtId="0" fontId="0" fillId="2" borderId="6" xfId="0" applyFill="1" applyBorder="1" applyAlignment="1"/>
    <xf numFmtId="0" fontId="0" fillId="0" borderId="1" xfId="0" applyBorder="1" applyAlignment="1">
      <alignment horizontal="left"/>
    </xf>
    <xf numFmtId="0" fontId="0" fillId="0" borderId="5" xfId="0" applyBorder="1" applyAlignment="1"/>
    <xf numFmtId="2" fontId="17" fillId="2" borderId="1" xfId="0" applyNumberFormat="1" applyFont="1" applyFill="1" applyBorder="1" applyAlignment="1">
      <alignment horizontal="left"/>
    </xf>
    <xf numFmtId="0" fontId="0" fillId="0" borderId="6" xfId="0" applyBorder="1" applyAlignment="1"/>
    <xf numFmtId="0" fontId="37" fillId="2" borderId="1" xfId="0" applyFont="1" applyFill="1" applyBorder="1" applyAlignment="1">
      <alignment horizontal="left" vertical="top" wrapText="1"/>
    </xf>
    <xf numFmtId="0" fontId="26" fillId="0" borderId="1" xfId="0" applyFont="1" applyBorder="1" applyAlignment="1">
      <alignment horizontal="center" vertical="center"/>
    </xf>
    <xf numFmtId="2" fontId="0" fillId="0" borderId="1" xfId="0" applyNumberFormat="1" applyBorder="1" applyAlignment="1">
      <alignment horizontal="left" vertical="center"/>
    </xf>
    <xf numFmtId="2" fontId="17" fillId="0" borderId="1" xfId="0" applyNumberFormat="1" applyFont="1" applyBorder="1" applyAlignment="1">
      <alignment horizontal="left" vertical="center"/>
    </xf>
    <xf numFmtId="0" fontId="17" fillId="0" borderId="1" xfId="0" applyFont="1" applyBorder="1" applyAlignment="1">
      <alignment horizontal="left"/>
    </xf>
    <xf numFmtId="0" fontId="0" fillId="0" borderId="1" xfId="0" applyBorder="1" applyAlignment="1">
      <alignment horizontal="left" vertical="center"/>
    </xf>
    <xf numFmtId="0" fontId="26" fillId="0" borderId="1" xfId="0" applyFont="1" applyBorder="1" applyAlignment="1">
      <alignment horizontal="center" vertical="top" wrapText="1"/>
    </xf>
    <xf numFmtId="0" fontId="0" fillId="0" borderId="1" xfId="0" applyFont="1" applyBorder="1" applyAlignment="1">
      <alignment horizontal="left"/>
    </xf>
    <xf numFmtId="0" fontId="0" fillId="2" borderId="5" xfId="0" applyFill="1" applyBorder="1" applyAlignment="1"/>
    <xf numFmtId="0" fontId="0" fillId="0" borderId="1" xfId="0" applyFont="1" applyBorder="1" applyAlignment="1">
      <alignment horizontal="left" vertical="top"/>
    </xf>
    <xf numFmtId="0" fontId="0" fillId="2" borderId="1" xfId="0" applyFill="1" applyBorder="1" applyAlignment="1">
      <alignment horizontal="center" vertical="center" wrapText="1"/>
    </xf>
    <xf numFmtId="0" fontId="0" fillId="2" borderId="1" xfId="0" applyFill="1" applyBorder="1" applyAlignment="1">
      <alignment horizontal="center"/>
    </xf>
    <xf numFmtId="0" fontId="0" fillId="0" borderId="1" xfId="0" applyNumberFormat="1" applyBorder="1" applyAlignment="1" applyProtection="1">
      <alignment horizontal="left" vertical="top" wrapText="1"/>
    </xf>
    <xf numFmtId="0" fontId="0" fillId="0" borderId="1" xfId="0" applyFont="1" applyFill="1" applyBorder="1" applyAlignment="1">
      <alignment horizontal="left"/>
    </xf>
    <xf numFmtId="1" fontId="0" fillId="0" borderId="1" xfId="0" applyNumberFormat="1" applyFont="1" applyBorder="1" applyAlignment="1">
      <alignment horizontal="left"/>
    </xf>
    <xf numFmtId="164" fontId="0" fillId="2" borderId="1" xfId="0" applyNumberFormat="1" applyFill="1" applyBorder="1" applyAlignment="1">
      <alignment horizontal="left" vertical="center"/>
    </xf>
    <xf numFmtId="0" fontId="0" fillId="2" borderId="1" xfId="0" applyFill="1" applyBorder="1" applyAlignment="1">
      <alignment horizontal="center" vertical="top"/>
    </xf>
    <xf numFmtId="0" fontId="0" fillId="2" borderId="1" xfId="0" applyFill="1" applyBorder="1" applyAlignment="1">
      <alignment horizontal="center" vertical="center"/>
    </xf>
    <xf numFmtId="164" fontId="17" fillId="2" borderId="1" xfId="0" applyNumberFormat="1" applyFont="1" applyFill="1" applyBorder="1" applyAlignment="1">
      <alignment horizontal="left" vertical="center"/>
    </xf>
    <xf numFmtId="2" fontId="0" fillId="0" borderId="1" xfId="0" applyNumberFormat="1" applyFont="1" applyBorder="1" applyAlignment="1">
      <alignment horizontal="left"/>
    </xf>
    <xf numFmtId="2" fontId="17" fillId="0" borderId="1" xfId="0" applyNumberFormat="1" applyFont="1" applyBorder="1" applyAlignment="1">
      <alignment horizontal="left"/>
    </xf>
    <xf numFmtId="0" fontId="0" fillId="3" borderId="1" xfId="0" applyFill="1" applyBorder="1" applyAlignment="1">
      <alignment horizontal="left"/>
    </xf>
    <xf numFmtId="0" fontId="0" fillId="2" borderId="1" xfId="0" applyFont="1" applyFill="1" applyBorder="1" applyAlignment="1">
      <alignment horizontal="left"/>
    </xf>
    <xf numFmtId="1" fontId="0" fillId="0" borderId="1" xfId="0" applyNumberFormat="1" applyBorder="1" applyAlignment="1">
      <alignment horizontal="left" vertical="center"/>
    </xf>
    <xf numFmtId="1" fontId="17" fillId="0" borderId="1" xfId="0" applyNumberFormat="1" applyFont="1" applyBorder="1" applyAlignment="1">
      <alignment horizontal="left" vertical="center"/>
    </xf>
    <xf numFmtId="1" fontId="26" fillId="0" borderId="1" xfId="0" applyNumberFormat="1" applyFont="1" applyBorder="1" applyAlignment="1">
      <alignment horizontal="left" vertical="center"/>
    </xf>
    <xf numFmtId="0" fontId="0" fillId="2" borderId="1" xfId="0" applyNumberFormat="1" applyFill="1" applyBorder="1" applyAlignment="1" applyProtection="1">
      <alignment horizontal="left" wrapText="1"/>
    </xf>
    <xf numFmtId="164" fontId="0" fillId="2" borderId="1" xfId="0" applyNumberFormat="1" applyFont="1" applyFill="1" applyBorder="1" applyAlignment="1">
      <alignment horizontal="left" vertical="center"/>
    </xf>
    <xf numFmtId="2" fontId="0" fillId="0" borderId="1" xfId="0" applyNumberFormat="1" applyBorder="1" applyAlignment="1">
      <alignment horizontal="left"/>
    </xf>
    <xf numFmtId="2" fontId="26" fillId="2" borderId="1" xfId="0" applyNumberFormat="1" applyFont="1" applyFill="1" applyBorder="1" applyAlignment="1">
      <alignment horizontal="left"/>
    </xf>
    <xf numFmtId="0" fontId="26" fillId="0" borderId="1" xfId="0" applyFont="1" applyBorder="1" applyAlignment="1">
      <alignment horizontal="left"/>
    </xf>
    <xf numFmtId="1" fontId="0" fillId="0" borderId="1" xfId="0" applyNumberFormat="1" applyBorder="1" applyAlignment="1">
      <alignment horizontal="left"/>
    </xf>
    <xf numFmtId="1" fontId="17" fillId="0" borderId="1" xfId="0" applyNumberFormat="1" applyFont="1" applyBorder="1" applyAlignment="1">
      <alignment horizontal="left"/>
    </xf>
    <xf numFmtId="2" fontId="17" fillId="2" borderId="1" xfId="0" applyNumberFormat="1" applyFont="1" applyFill="1" applyBorder="1" applyAlignment="1">
      <alignment horizontal="left" vertical="center"/>
    </xf>
    <xf numFmtId="0" fontId="4" fillId="0" borderId="0" xfId="0" applyFont="1" applyBorder="1" applyAlignment="1">
      <alignment horizontal="left"/>
    </xf>
    <xf numFmtId="0" fontId="4" fillId="0" borderId="0" xfId="0" applyFont="1" applyBorder="1" applyAlignment="1">
      <alignment wrapText="1"/>
    </xf>
    <xf numFmtId="0" fontId="4" fillId="0" borderId="0" xfId="0" applyFont="1" applyBorder="1" applyAlignment="1"/>
    <xf numFmtId="0" fontId="4" fillId="0" borderId="0" xfId="0" applyFont="1" applyAlignment="1"/>
    <xf numFmtId="0" fontId="18" fillId="0" borderId="6" xfId="0" applyFont="1" applyBorder="1" applyAlignment="1">
      <alignment horizontal="left"/>
    </xf>
    <xf numFmtId="0" fontId="4" fillId="0" borderId="0" xfId="0" applyFont="1" applyBorder="1" applyAlignment="1">
      <alignment horizontal="center"/>
    </xf>
    <xf numFmtId="2" fontId="18" fillId="0" borderId="11" xfId="0" applyNumberFormat="1" applyFont="1" applyBorder="1" applyAlignment="1">
      <alignment horizontal="center"/>
    </xf>
    <xf numFmtId="0" fontId="18" fillId="0" borderId="0" xfId="0" applyFont="1" applyBorder="1" applyAlignment="1">
      <alignment horizontal="left"/>
    </xf>
    <xf numFmtId="0" fontId="58" fillId="2" borderId="1" xfId="0" applyFont="1" applyFill="1" applyBorder="1" applyAlignment="1">
      <alignment horizontal="left" vertical="top" wrapText="1"/>
    </xf>
    <xf numFmtId="0" fontId="17" fillId="0" borderId="1" xfId="0" applyFont="1" applyBorder="1" applyAlignment="1">
      <alignment horizontal="left" vertical="center" wrapText="1"/>
    </xf>
    <xf numFmtId="0" fontId="59" fillId="0" borderId="1" xfId="0" applyFont="1" applyBorder="1" applyAlignment="1">
      <alignment horizontal="left" vertical="center"/>
    </xf>
    <xf numFmtId="0" fontId="0" fillId="2" borderId="6" xfId="0" applyFill="1" applyBorder="1" applyAlignment="1">
      <alignment wrapText="1"/>
    </xf>
    <xf numFmtId="0" fontId="0" fillId="0" borderId="0" xfId="0" applyBorder="1" applyAlignment="1">
      <alignment horizontal="center" vertical="center"/>
    </xf>
    <xf numFmtId="49" fontId="60" fillId="5" borderId="1" xfId="3" applyNumberFormat="1" applyFont="1" applyFill="1" applyBorder="1" applyAlignment="1">
      <alignment horizontal="left" vertical="top" wrapText="1"/>
    </xf>
    <xf numFmtId="0" fontId="0" fillId="2" borderId="1" xfId="0" applyFill="1" applyBorder="1" applyAlignment="1">
      <alignment horizontal="left" wrapText="1"/>
    </xf>
    <xf numFmtId="0" fontId="61" fillId="2" borderId="1" xfId="0" applyFont="1" applyFill="1" applyBorder="1" applyAlignment="1">
      <alignment horizontal="left" vertical="top" wrapText="1"/>
    </xf>
    <xf numFmtId="0" fontId="58" fillId="2" borderId="1" xfId="0" applyFont="1" applyFill="1" applyBorder="1" applyAlignment="1">
      <alignment horizontal="center" vertical="center" wrapText="1"/>
    </xf>
    <xf numFmtId="0" fontId="0" fillId="2" borderId="1" xfId="0" applyFill="1" applyBorder="1" applyAlignment="1">
      <alignment wrapText="1"/>
    </xf>
    <xf numFmtId="2" fontId="0" fillId="2" borderId="1" xfId="0" applyNumberFormat="1" applyFill="1" applyBorder="1" applyAlignment="1">
      <alignment horizontal="left" vertical="top" wrapText="1"/>
    </xf>
    <xf numFmtId="0" fontId="1" fillId="0" borderId="1" xfId="0" applyFont="1" applyBorder="1" applyAlignment="1"/>
    <xf numFmtId="164" fontId="0" fillId="2" borderId="1" xfId="0" applyNumberFormat="1" applyFill="1" applyBorder="1" applyAlignment="1">
      <alignment horizontal="left" vertical="top" wrapText="1"/>
    </xf>
    <xf numFmtId="164" fontId="0" fillId="0" borderId="1" xfId="0" applyNumberFormat="1" applyFont="1" applyBorder="1" applyAlignment="1">
      <alignment horizontal="left"/>
    </xf>
    <xf numFmtId="164" fontId="17" fillId="0" borderId="1" xfId="0" applyNumberFormat="1" applyFont="1" applyBorder="1" applyAlignment="1">
      <alignment horizontal="left"/>
    </xf>
    <xf numFmtId="0" fontId="0" fillId="0" borderId="1" xfId="0" applyFont="1" applyBorder="1" applyAlignment="1"/>
    <xf numFmtId="0" fontId="0" fillId="2" borderId="0" xfId="0" applyNumberFormat="1" applyFont="1" applyFill="1" applyBorder="1" applyAlignment="1" applyProtection="1">
      <alignment horizontal="left" vertical="top"/>
    </xf>
    <xf numFmtId="0" fontId="34" fillId="2" borderId="0" xfId="0" applyFont="1" applyFill="1" applyBorder="1" applyAlignment="1"/>
    <xf numFmtId="0" fontId="61" fillId="2" borderId="0" xfId="0" applyFont="1" applyFill="1" applyBorder="1" applyAlignment="1">
      <alignment horizontal="left" vertical="top" wrapText="1"/>
    </xf>
    <xf numFmtId="0" fontId="0" fillId="2" borderId="0" xfId="0" applyFill="1" applyBorder="1" applyAlignment="1">
      <alignment horizontal="left" vertical="top" wrapText="1"/>
    </xf>
    <xf numFmtId="0" fontId="0" fillId="0" borderId="0" xfId="0" applyBorder="1" applyAlignment="1">
      <alignment horizontal="left"/>
    </xf>
    <xf numFmtId="0" fontId="17" fillId="2" borderId="0" xfId="0" applyFont="1" applyFill="1" applyBorder="1" applyAlignment="1">
      <alignment horizontal="left"/>
    </xf>
    <xf numFmtId="0" fontId="17" fillId="2" borderId="15" xfId="0" applyFont="1" applyFill="1" applyBorder="1" applyAlignment="1">
      <alignment horizontal="left" wrapText="1"/>
    </xf>
    <xf numFmtId="0" fontId="17" fillId="2" borderId="0" xfId="0" applyFont="1" applyFill="1" applyBorder="1" applyAlignment="1">
      <alignment horizontal="center"/>
    </xf>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17"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0" fillId="2" borderId="1" xfId="0" applyNumberFormat="1" applyFont="1" applyFill="1" applyBorder="1" applyAlignment="1" applyProtection="1">
      <alignment horizontal="left" vertical="center"/>
    </xf>
    <xf numFmtId="0" fontId="0" fillId="2" borderId="1" xfId="0" applyFont="1" applyFill="1" applyBorder="1" applyAlignment="1">
      <alignment horizontal="left" vertical="center"/>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xf>
    <xf numFmtId="0" fontId="4" fillId="2" borderId="5" xfId="0" applyFont="1" applyFill="1" applyBorder="1" applyAlignment="1">
      <alignment horizontal="left"/>
    </xf>
    <xf numFmtId="0" fontId="8" fillId="2" borderId="1" xfId="0" applyFont="1" applyFill="1" applyBorder="1" applyAlignment="1">
      <alignment horizontal="left"/>
    </xf>
    <xf numFmtId="0" fontId="8" fillId="0" borderId="1" xfId="0" applyFont="1" applyBorder="1" applyAlignment="1">
      <alignment horizontal="left"/>
    </xf>
    <xf numFmtId="0" fontId="9" fillId="2" borderId="11" xfId="0" applyFont="1" applyFill="1" applyBorder="1" applyAlignment="1">
      <alignment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0" borderId="1" xfId="0" applyFont="1" applyBorder="1" applyAlignment="1">
      <alignment horizontal="center" vertical="center" wrapText="1"/>
    </xf>
    <xf numFmtId="0" fontId="9" fillId="2" borderId="0" xfId="0" applyFont="1" applyFill="1" applyBorder="1" applyAlignment="1">
      <alignment vertical="center"/>
    </xf>
    <xf numFmtId="0" fontId="9" fillId="2" borderId="9" xfId="0" applyFont="1" applyFill="1" applyBorder="1" applyAlignment="1">
      <alignment horizontal="center" vertical="center"/>
    </xf>
    <xf numFmtId="0" fontId="9" fillId="2" borderId="13" xfId="0" applyFont="1" applyFill="1" applyBorder="1" applyAlignment="1">
      <alignment horizontal="center" vertical="center"/>
    </xf>
    <xf numFmtId="0" fontId="9" fillId="0" borderId="4"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7" fillId="2" borderId="1" xfId="3" applyFont="1" applyFill="1" applyBorder="1" applyAlignment="1">
      <alignment horizontal="left" vertical="top"/>
    </xf>
    <xf numFmtId="0" fontId="57" fillId="2" borderId="1" xfId="3" applyFont="1" applyFill="1" applyBorder="1" applyAlignment="1">
      <alignment horizontal="left" vertical="top" wrapText="1"/>
    </xf>
    <xf numFmtId="0" fontId="8" fillId="0" borderId="1" xfId="0" applyFont="1" applyBorder="1" applyAlignment="1">
      <alignment horizontal="left" vertical="center" wrapText="1"/>
    </xf>
    <xf numFmtId="0" fontId="4" fillId="2" borderId="6" xfId="0" applyFont="1" applyFill="1" applyBorder="1" applyAlignment="1">
      <alignment horizontal="center" vertical="top" wrapText="1"/>
    </xf>
    <xf numFmtId="0" fontId="0" fillId="2" borderId="1" xfId="0" applyFill="1" applyBorder="1" applyAlignment="1">
      <alignment horizontal="center" wrapText="1"/>
    </xf>
    <xf numFmtId="1" fontId="17" fillId="2" borderId="1" xfId="0" applyNumberFormat="1"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xf numFmtId="0" fontId="4" fillId="2" borderId="1" xfId="0" applyFont="1" applyFill="1" applyBorder="1" applyAlignment="1">
      <alignment horizontal="center" wrapText="1"/>
    </xf>
    <xf numFmtId="2" fontId="8" fillId="2" borderId="1" xfId="0" applyNumberFormat="1" applyFont="1" applyFill="1" applyBorder="1" applyAlignment="1">
      <alignment horizontal="left"/>
    </xf>
    <xf numFmtId="0" fontId="0" fillId="2" borderId="0" xfId="0" applyFill="1" applyBorder="1" applyAlignment="1">
      <alignment horizontal="left"/>
    </xf>
    <xf numFmtId="0" fontId="0" fillId="2" borderId="0" xfId="0" applyFill="1" applyAlignment="1">
      <alignment wrapText="1"/>
    </xf>
    <xf numFmtId="0" fontId="0" fillId="2" borderId="0" xfId="0" applyFill="1" applyAlignment="1">
      <alignment horizontal="left" vertical="top" wrapText="1"/>
    </xf>
    <xf numFmtId="0" fontId="0" fillId="2" borderId="0" xfId="0" applyFill="1" applyAlignment="1"/>
    <xf numFmtId="0" fontId="0" fillId="2" borderId="0" xfId="0" applyFill="1" applyAlignment="1">
      <alignment horizontal="left"/>
    </xf>
    <xf numFmtId="0" fontId="17" fillId="2" borderId="0" xfId="0" applyFont="1" applyFill="1" applyAlignment="1">
      <alignment horizontal="left"/>
    </xf>
    <xf numFmtId="2" fontId="17" fillId="2" borderId="0" xfId="0" applyNumberFormat="1" applyFont="1" applyFill="1" applyBorder="1" applyAlignment="1">
      <alignment horizontal="center"/>
    </xf>
    <xf numFmtId="0" fontId="0" fillId="0" borderId="0" xfId="0" applyAlignment="1">
      <alignment wrapText="1"/>
    </xf>
    <xf numFmtId="0" fontId="0" fillId="0" borderId="0" xfId="0" applyAlignment="1">
      <alignment horizontal="left" vertical="top" wrapText="1"/>
    </xf>
    <xf numFmtId="0" fontId="0" fillId="0" borderId="0" xfId="0" applyAlignment="1"/>
    <xf numFmtId="0" fontId="0" fillId="0" borderId="0" xfId="0" applyAlignment="1">
      <alignment horizontal="left"/>
    </xf>
    <xf numFmtId="0" fontId="8" fillId="0" borderId="2" xfId="0" applyFont="1" applyBorder="1" applyAlignment="1">
      <alignment horizontal="center"/>
    </xf>
    <xf numFmtId="0" fontId="8" fillId="0" borderId="5" xfId="0" applyFont="1" applyBorder="1" applyAlignment="1">
      <alignment horizont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57" fillId="0" borderId="11" xfId="3" applyFont="1" applyBorder="1" applyAlignment="1">
      <alignment horizontal="center" vertical="top"/>
    </xf>
    <xf numFmtId="0" fontId="57" fillId="0" borderId="11" xfId="3" applyFont="1" applyBorder="1" applyAlignment="1">
      <alignment horizontal="center" vertical="top" wrapText="1"/>
    </xf>
    <xf numFmtId="0" fontId="57" fillId="0" borderId="12" xfId="3" applyFont="1" applyBorder="1" applyAlignment="1">
      <alignment vertical="top"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7" fillId="0" borderId="0" xfId="3" applyFont="1" applyBorder="1" applyAlignment="1">
      <alignment horizontal="center" vertical="top"/>
    </xf>
    <xf numFmtId="0" fontId="57" fillId="0" borderId="0" xfId="3" applyFont="1" applyBorder="1" applyAlignment="1">
      <alignment horizontal="center" vertical="top" wrapText="1"/>
    </xf>
    <xf numFmtId="0" fontId="57" fillId="0" borderId="15" xfId="3" applyFont="1" applyBorder="1" applyAlignment="1">
      <alignment vertical="top" wrapText="1"/>
    </xf>
    <xf numFmtId="0" fontId="4" fillId="0" borderId="4" xfId="0" applyFont="1" applyBorder="1" applyAlignment="1"/>
    <xf numFmtId="0" fontId="57" fillId="0" borderId="8" xfId="3" applyFont="1" applyBorder="1" applyAlignment="1">
      <alignment vertical="top"/>
    </xf>
    <xf numFmtId="0" fontId="57" fillId="0" borderId="13" xfId="3" applyFont="1" applyBorder="1" applyAlignment="1">
      <alignment vertical="top"/>
    </xf>
    <xf numFmtId="0" fontId="57" fillId="0" borderId="8" xfId="3" applyFont="1" applyBorder="1" applyAlignment="1">
      <alignment vertical="top" wrapText="1"/>
    </xf>
    <xf numFmtId="0" fontId="57" fillId="0" borderId="13" xfId="3" applyFont="1" applyBorder="1" applyAlignment="1">
      <alignment vertical="top" wrapText="1"/>
    </xf>
    <xf numFmtId="0" fontId="4" fillId="0" borderId="6" xfId="0" applyFont="1" applyBorder="1" applyAlignment="1"/>
    <xf numFmtId="0" fontId="0" fillId="0" borderId="1" xfId="0" applyBorder="1" applyAlignment="1">
      <alignment horizontal="left" vertical="top"/>
    </xf>
    <xf numFmtId="0" fontId="37" fillId="2" borderId="1" xfId="0" applyFont="1" applyFill="1" applyBorder="1" applyAlignment="1">
      <alignment wrapText="1"/>
    </xf>
    <xf numFmtId="0" fontId="0" fillId="0" borderId="1" xfId="0" applyFont="1" applyBorder="1" applyAlignment="1">
      <alignment wrapText="1"/>
    </xf>
    <xf numFmtId="0" fontId="37" fillId="0" borderId="1" xfId="0" applyFont="1" applyBorder="1" applyAlignment="1"/>
    <xf numFmtId="0" fontId="0" fillId="2" borderId="1" xfId="0" applyFill="1" applyBorder="1" applyAlignment="1">
      <alignment vertical="top" wrapText="1"/>
    </xf>
    <xf numFmtId="0" fontId="0" fillId="0" borderId="1" xfId="0" applyBorder="1" applyAlignment="1">
      <alignment vertical="center"/>
    </xf>
    <xf numFmtId="0" fontId="37" fillId="2" borderId="1" xfId="0" applyFont="1" applyFill="1" applyBorder="1" applyAlignment="1">
      <alignment vertical="top" wrapText="1"/>
    </xf>
    <xf numFmtId="0" fontId="0" fillId="0" borderId="1" xfId="0" applyFill="1" applyBorder="1" applyAlignment="1">
      <alignment vertical="center"/>
    </xf>
    <xf numFmtId="0" fontId="0" fillId="0" borderId="6" xfId="0" applyBorder="1" applyAlignment="1">
      <alignment horizontal="left" vertical="top"/>
    </xf>
    <xf numFmtId="0" fontId="0" fillId="2" borderId="6" xfId="0" applyFill="1" applyBorder="1" applyAlignment="1">
      <alignment horizontal="left" vertical="top" wrapText="1"/>
    </xf>
    <xf numFmtId="0" fontId="26" fillId="2" borderId="6" xfId="0" applyFont="1" applyFill="1" applyBorder="1" applyAlignment="1">
      <alignment horizontal="center" vertical="center"/>
    </xf>
    <xf numFmtId="2" fontId="0" fillId="2" borderId="8" xfId="0" applyNumberFormat="1" applyFill="1" applyBorder="1" applyAlignment="1">
      <alignment horizontal="left" vertical="center"/>
    </xf>
    <xf numFmtId="0" fontId="0" fillId="0" borderId="13" xfId="0" applyFill="1" applyBorder="1" applyAlignment="1">
      <alignment vertical="center"/>
    </xf>
    <xf numFmtId="0" fontId="0" fillId="0" borderId="6" xfId="0" applyBorder="1" applyAlignment="1">
      <alignment horizontal="left"/>
    </xf>
    <xf numFmtId="0" fontId="0" fillId="0" borderId="5" xfId="0" applyFill="1" applyBorder="1" applyAlignment="1">
      <alignment vertical="center"/>
    </xf>
    <xf numFmtId="0" fontId="61" fillId="2" borderId="1" xfId="0" applyFont="1" applyFill="1" applyBorder="1" applyAlignment="1">
      <alignment horizontal="left" vertical="center" wrapText="1"/>
    </xf>
    <xf numFmtId="0" fontId="0" fillId="0" borderId="1" xfId="0" applyBorder="1" applyAlignment="1">
      <alignment vertical="top" wrapText="1"/>
    </xf>
    <xf numFmtId="0" fontId="0" fillId="0" borderId="2" xfId="0" applyBorder="1" applyAlignment="1">
      <alignment horizontal="left"/>
    </xf>
    <xf numFmtId="0" fontId="0" fillId="0" borderId="2"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0" xfId="0" applyNumberFormat="1" applyFont="1" applyBorder="1" applyAlignment="1" applyProtection="1">
      <alignment horizontal="left" vertical="top"/>
    </xf>
    <xf numFmtId="0" fontId="0" fillId="0" borderId="0" xfId="0" applyFont="1" applyAlignment="1">
      <alignment vertical="top"/>
    </xf>
    <xf numFmtId="0" fontId="0" fillId="0" borderId="0" xfId="0" applyFont="1" applyBorder="1" applyAlignment="1">
      <alignment vertical="top"/>
    </xf>
    <xf numFmtId="0" fontId="0" fillId="0" borderId="0" xfId="0" applyFont="1" applyBorder="1" applyAlignment="1">
      <alignment horizontal="left"/>
    </xf>
    <xf numFmtId="0" fontId="4" fillId="0" borderId="12" xfId="0" applyFont="1" applyBorder="1" applyAlignment="1">
      <alignment horizontal="center" vertical="center" wrapText="1"/>
    </xf>
    <xf numFmtId="0" fontId="57" fillId="0" borderId="2" xfId="3" applyFont="1" applyBorder="1" applyAlignment="1">
      <alignment horizontal="center" vertical="top" wrapText="1"/>
    </xf>
    <xf numFmtId="0" fontId="57" fillId="0" borderId="3" xfId="3" applyFont="1" applyBorder="1" applyAlignment="1">
      <alignment horizontal="center" vertical="top" wrapText="1"/>
    </xf>
    <xf numFmtId="0" fontId="57" fillId="0" borderId="5" xfId="3" applyFont="1" applyBorder="1" applyAlignment="1">
      <alignment horizontal="center" vertical="top" wrapText="1"/>
    </xf>
    <xf numFmtId="0" fontId="4" fillId="0" borderId="13" xfId="0" applyFont="1" applyBorder="1" applyAlignment="1">
      <alignment horizontal="center" vertical="center" wrapText="1"/>
    </xf>
    <xf numFmtId="0" fontId="4" fillId="0" borderId="4" xfId="0" applyFont="1" applyBorder="1" applyAlignment="1">
      <alignment horizontal="left"/>
    </xf>
    <xf numFmtId="0" fontId="4" fillId="0" borderId="10" xfId="0" applyFont="1" applyBorder="1" applyAlignment="1">
      <alignment horizontal="left"/>
    </xf>
    <xf numFmtId="0" fontId="4" fillId="0" borderId="6" xfId="0" applyFont="1" applyBorder="1" applyAlignment="1">
      <alignment horizontal="left"/>
    </xf>
    <xf numFmtId="0" fontId="0" fillId="0" borderId="1" xfId="0" applyNumberFormat="1" applyFont="1" applyBorder="1" applyAlignment="1" applyProtection="1">
      <alignment horizontal="left" vertical="top"/>
    </xf>
    <xf numFmtId="0" fontId="0" fillId="0" borderId="1" xfId="0" applyNumberFormat="1" applyBorder="1" applyAlignment="1" applyProtection="1">
      <alignment horizontal="left" vertical="top"/>
    </xf>
    <xf numFmtId="0" fontId="62" fillId="0" borderId="14" xfId="0" applyFont="1" applyFill="1" applyBorder="1" applyAlignment="1">
      <alignment horizontal="center" vertical="top"/>
    </xf>
    <xf numFmtId="0" fontId="62" fillId="0" borderId="0" xfId="0" applyFont="1" applyFill="1" applyBorder="1" applyAlignment="1">
      <alignment horizontal="center" vertical="top"/>
    </xf>
    <xf numFmtId="0" fontId="32" fillId="0" borderId="0" xfId="0" applyFont="1" applyFill="1" applyAlignment="1">
      <alignment horizontal="center" vertical="center"/>
    </xf>
    <xf numFmtId="0" fontId="32" fillId="0" borderId="0" xfId="0" applyFont="1" applyFill="1" applyAlignment="1">
      <alignment vertical="top"/>
    </xf>
    <xf numFmtId="0" fontId="19" fillId="0" borderId="0" xfId="0" applyFont="1" applyFill="1" applyBorder="1" applyAlignment="1"/>
    <xf numFmtId="0" fontId="19" fillId="0" borderId="0" xfId="0" applyFont="1" applyFill="1" applyBorder="1" applyAlignment="1">
      <alignment horizontal="left" vertical="center"/>
    </xf>
    <xf numFmtId="0" fontId="63" fillId="0" borderId="0" xfId="0" applyFont="1" applyFill="1" applyBorder="1" applyAlignment="1">
      <alignment horizontal="center" vertical="center"/>
    </xf>
    <xf numFmtId="0" fontId="63" fillId="0" borderId="0" xfId="0" applyFont="1" applyFill="1" applyBorder="1" applyAlignment="1"/>
    <xf numFmtId="0" fontId="19" fillId="0" borderId="0" xfId="0" applyFont="1" applyFill="1" applyBorder="1" applyAlignment="1">
      <alignment horizontal="left"/>
    </xf>
    <xf numFmtId="0" fontId="19" fillId="0" borderId="9" xfId="0" applyFont="1" applyFill="1" applyBorder="1" applyAlignment="1">
      <alignment horizontal="left"/>
    </xf>
    <xf numFmtId="0" fontId="19" fillId="0" borderId="9" xfId="0" applyFont="1" applyFill="1" applyBorder="1" applyAlignment="1">
      <alignment horizontal="center" vertical="center"/>
    </xf>
    <xf numFmtId="0" fontId="19" fillId="0" borderId="9" xfId="0" applyFont="1" applyFill="1" applyBorder="1" applyAlignment="1">
      <alignment horizontal="left" vertical="center"/>
    </xf>
    <xf numFmtId="0" fontId="63" fillId="0" borderId="0" xfId="0" applyFont="1" applyFill="1" applyBorder="1" applyAlignment="1">
      <alignment horizontal="left"/>
    </xf>
    <xf numFmtId="0" fontId="33" fillId="0" borderId="5" xfId="0" applyFont="1" applyFill="1" applyBorder="1" applyAlignment="1">
      <alignment horizontal="center" vertical="center"/>
    </xf>
    <xf numFmtId="0" fontId="33" fillId="0" borderId="1" xfId="0" applyFont="1" applyFill="1" applyBorder="1" applyAlignment="1">
      <alignment horizontal="center" vertical="center"/>
    </xf>
    <xf numFmtId="0" fontId="64"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65" fillId="0" borderId="5" xfId="0" applyFont="1" applyFill="1" applyBorder="1" applyAlignment="1">
      <alignment horizontal="center" vertical="center"/>
    </xf>
    <xf numFmtId="0" fontId="65" fillId="0" borderId="1" xfId="0" applyFont="1" applyFill="1" applyBorder="1" applyAlignment="1">
      <alignment horizontal="center" vertical="center"/>
    </xf>
    <xf numFmtId="0" fontId="65" fillId="0" borderId="1" xfId="0" applyFont="1" applyFill="1" applyBorder="1" applyAlignment="1">
      <alignment horizontal="left" vertical="center"/>
    </xf>
    <xf numFmtId="0" fontId="65" fillId="0" borderId="1" xfId="0" applyFont="1" applyFill="1" applyBorder="1" applyAlignment="1">
      <alignment horizontal="center"/>
    </xf>
    <xf numFmtId="0" fontId="66" fillId="0" borderId="1" xfId="0" applyFont="1" applyFill="1" applyBorder="1" applyAlignment="1">
      <alignment vertical="center"/>
    </xf>
    <xf numFmtId="49" fontId="65" fillId="0" borderId="1" xfId="0" applyNumberFormat="1" applyFont="1" applyFill="1" applyBorder="1" applyAlignment="1">
      <alignment horizontal="center" vertical="center" wrapText="1"/>
    </xf>
    <xf numFmtId="0" fontId="65" fillId="0" borderId="1" xfId="0" applyFont="1" applyFill="1" applyBorder="1" applyAlignment="1">
      <alignment horizontal="left" vertical="center" wrapText="1"/>
    </xf>
    <xf numFmtId="0" fontId="65" fillId="0" borderId="1" xfId="0" applyFont="1" applyFill="1" applyBorder="1" applyAlignment="1">
      <alignment vertical="top"/>
    </xf>
    <xf numFmtId="0" fontId="65" fillId="0" borderId="1" xfId="0" applyFont="1" applyFill="1" applyBorder="1" applyAlignment="1">
      <alignment horizontal="center" vertical="center" wrapText="1"/>
    </xf>
    <xf numFmtId="0" fontId="65" fillId="0" borderId="5" xfId="0" applyFont="1" applyFill="1" applyBorder="1" applyAlignment="1">
      <alignment horizontal="center" vertical="top"/>
    </xf>
    <xf numFmtId="0" fontId="65" fillId="0" borderId="1" xfId="0" applyFont="1" applyFill="1" applyBorder="1"/>
    <xf numFmtId="0" fontId="66" fillId="0" borderId="1" xfId="0" applyFont="1" applyFill="1" applyBorder="1" applyAlignment="1">
      <alignment horizontal="center" vertical="center"/>
    </xf>
    <xf numFmtId="0" fontId="66" fillId="0" borderId="1" xfId="0" applyFont="1" applyFill="1" applyBorder="1" applyAlignment="1">
      <alignment horizontal="left" vertical="center" wrapText="1"/>
    </xf>
    <xf numFmtId="0" fontId="66" fillId="0" borderId="1" xfId="0" applyFont="1" applyFill="1" applyBorder="1" applyAlignment="1">
      <alignment horizontal="center" vertical="center" wrapText="1"/>
    </xf>
    <xf numFmtId="0" fontId="65" fillId="0" borderId="0" xfId="0" applyFont="1" applyFill="1" applyAlignment="1">
      <alignment horizontal="center" vertical="center"/>
    </xf>
    <xf numFmtId="0" fontId="33" fillId="0" borderId="1" xfId="0" applyFont="1" applyFill="1" applyBorder="1" applyAlignment="1">
      <alignment vertical="top"/>
    </xf>
    <xf numFmtId="0" fontId="65" fillId="0" borderId="1" xfId="0" applyFont="1" applyFill="1" applyBorder="1" applyAlignment="1">
      <alignment vertical="top" wrapText="1"/>
    </xf>
    <xf numFmtId="0" fontId="37" fillId="0" borderId="1" xfId="0" applyFont="1" applyFill="1" applyBorder="1" applyAlignment="1">
      <alignment horizontal="center" vertical="center"/>
    </xf>
    <xf numFmtId="0" fontId="32" fillId="0" borderId="1" xfId="0" applyFont="1" applyFill="1" applyBorder="1" applyAlignment="1">
      <alignment vertical="top"/>
    </xf>
    <xf numFmtId="49" fontId="32" fillId="0" borderId="1" xfId="0" applyNumberFormat="1" applyFont="1" applyFill="1" applyBorder="1" applyAlignment="1">
      <alignment horizontal="center" vertical="center" wrapText="1"/>
    </xf>
    <xf numFmtId="0" fontId="65" fillId="0" borderId="4" xfId="0" applyFont="1" applyFill="1" applyBorder="1" applyAlignment="1">
      <alignment vertical="center" wrapText="1"/>
    </xf>
    <xf numFmtId="0" fontId="65" fillId="0" borderId="2" xfId="0" applyFont="1" applyFill="1" applyBorder="1" applyAlignment="1">
      <alignment horizontal="center" vertical="center"/>
    </xf>
    <xf numFmtId="0" fontId="67" fillId="0" borderId="1" xfId="0" applyFont="1" applyFill="1" applyBorder="1" applyAlignment="1">
      <alignment horizontal="center" vertical="center"/>
    </xf>
    <xf numFmtId="2" fontId="33" fillId="0" borderId="1" xfId="0" applyNumberFormat="1" applyFont="1" applyFill="1" applyBorder="1" applyAlignment="1">
      <alignment horizontal="center" vertical="center"/>
    </xf>
    <xf numFmtId="0" fontId="66" fillId="0" borderId="1" xfId="0" applyFont="1" applyFill="1" applyBorder="1" applyAlignment="1">
      <alignment horizontal="right" vertical="center"/>
    </xf>
    <xf numFmtId="0" fontId="65" fillId="0" borderId="1" xfId="0" applyFont="1" applyFill="1" applyBorder="1" applyAlignment="1">
      <alignment vertical="center"/>
    </xf>
    <xf numFmtId="0" fontId="65" fillId="0" borderId="5" xfId="0" applyFont="1" applyFill="1" applyBorder="1" applyAlignment="1">
      <alignment horizontal="left" vertical="center" wrapText="1"/>
    </xf>
    <xf numFmtId="0" fontId="65" fillId="0" borderId="5" xfId="0" applyFont="1" applyFill="1" applyBorder="1" applyAlignment="1">
      <alignment horizontal="center" vertical="center" wrapText="1"/>
    </xf>
    <xf numFmtId="0" fontId="65" fillId="0" borderId="4" xfId="0" applyFont="1" applyFill="1" applyBorder="1" applyAlignment="1">
      <alignment horizontal="center" vertical="center"/>
    </xf>
    <xf numFmtId="0" fontId="37" fillId="0" borderId="1" xfId="0" applyFont="1" applyFill="1" applyBorder="1"/>
    <xf numFmtId="0" fontId="68" fillId="0" borderId="1" xfId="0" applyFont="1" applyFill="1" applyBorder="1" applyAlignment="1">
      <alignment vertical="top"/>
    </xf>
    <xf numFmtId="0" fontId="33" fillId="0" borderId="1" xfId="0" applyFont="1" applyFill="1" applyBorder="1" applyAlignment="1">
      <alignment horizontal="left" vertical="center" wrapText="1"/>
    </xf>
    <xf numFmtId="0" fontId="33" fillId="0" borderId="4" xfId="0" applyFont="1" applyFill="1" applyBorder="1" applyAlignment="1">
      <alignment wrapText="1"/>
    </xf>
    <xf numFmtId="0" fontId="33" fillId="0" borderId="4" xfId="0" applyFont="1" applyFill="1" applyBorder="1" applyAlignment="1">
      <alignment horizontal="left" vertical="center"/>
    </xf>
    <xf numFmtId="0" fontId="33" fillId="0" borderId="4" xfId="0" applyFont="1" applyFill="1" applyBorder="1" applyAlignment="1">
      <alignment horizontal="left" vertical="center" wrapText="1"/>
    </xf>
    <xf numFmtId="0" fontId="33" fillId="0" borderId="4" xfId="0" applyFont="1" applyFill="1" applyBorder="1" applyAlignment="1">
      <alignment vertical="center" wrapText="1"/>
    </xf>
    <xf numFmtId="0" fontId="33" fillId="0" borderId="1" xfId="0" applyFont="1" applyFill="1" applyBorder="1" applyAlignment="1">
      <alignment wrapText="1"/>
    </xf>
    <xf numFmtId="0" fontId="33" fillId="0" borderId="1" xfId="0" applyFont="1" applyFill="1" applyBorder="1" applyAlignment="1">
      <alignment vertical="center" wrapText="1"/>
    </xf>
    <xf numFmtId="0" fontId="33" fillId="0" borderId="2" xfId="0" applyFont="1" applyFill="1" applyBorder="1" applyAlignment="1">
      <alignment horizontal="center" vertical="center"/>
    </xf>
    <xf numFmtId="0" fontId="17" fillId="0" borderId="4" xfId="0" applyFont="1" applyFill="1" applyBorder="1" applyAlignment="1">
      <alignment horizontal="left" vertical="center" wrapText="1"/>
    </xf>
    <xf numFmtId="0" fontId="17" fillId="0" borderId="4" xfId="0" applyFont="1" applyFill="1" applyBorder="1" applyAlignment="1">
      <alignment wrapText="1"/>
    </xf>
    <xf numFmtId="1" fontId="33" fillId="0" borderId="1" xfId="0" applyNumberFormat="1" applyFont="1" applyFill="1" applyBorder="1" applyAlignment="1">
      <alignment horizontal="center" vertical="center"/>
    </xf>
    <xf numFmtId="0" fontId="36" fillId="0" borderId="1" xfId="0" applyFont="1" applyBorder="1" applyAlignment="1">
      <alignment horizontal="center" vertical="center"/>
    </xf>
    <xf numFmtId="0" fontId="17" fillId="0" borderId="4" xfId="0" applyFont="1" applyFill="1" applyBorder="1" applyAlignment="1">
      <alignment vertical="center" wrapText="1"/>
    </xf>
    <xf numFmtId="0" fontId="32" fillId="0" borderId="2" xfId="0" applyFont="1" applyFill="1" applyBorder="1" applyAlignment="1">
      <alignment horizontal="center" vertical="center"/>
    </xf>
    <xf numFmtId="0" fontId="17" fillId="0" borderId="1" xfId="0" applyFont="1" applyFill="1" applyBorder="1" applyAlignment="1">
      <alignment wrapText="1"/>
    </xf>
    <xf numFmtId="0" fontId="17" fillId="0" borderId="1" xfId="0" applyFont="1" applyFill="1" applyBorder="1" applyAlignment="1">
      <alignment vertical="center" wrapText="1"/>
    </xf>
    <xf numFmtId="49" fontId="65" fillId="0" borderId="1" xfId="5" applyNumberFormat="1" applyFont="1" applyFill="1" applyBorder="1" applyAlignment="1">
      <alignment horizontal="center" vertical="center"/>
    </xf>
    <xf numFmtId="1" fontId="66" fillId="0" borderId="1" xfId="0" applyNumberFormat="1" applyFont="1" applyFill="1" applyBorder="1" applyAlignment="1">
      <alignment horizontal="center" vertical="center"/>
    </xf>
    <xf numFmtId="2" fontId="66" fillId="0" borderId="1" xfId="0" applyNumberFormat="1" applyFont="1" applyFill="1" applyBorder="1" applyAlignment="1">
      <alignment horizontal="right" vertical="center"/>
    </xf>
    <xf numFmtId="0" fontId="65" fillId="0" borderId="0" xfId="0" applyFont="1" applyFill="1" applyBorder="1" applyAlignment="1">
      <alignment horizontal="center" vertical="center"/>
    </xf>
    <xf numFmtId="0" fontId="32" fillId="0" borderId="0" xfId="0" applyFont="1" applyFill="1" applyBorder="1" applyAlignment="1"/>
    <xf numFmtId="0" fontId="67" fillId="0" borderId="0" xfId="0" applyFont="1" applyFill="1" applyBorder="1" applyAlignment="1">
      <alignment horizontal="left" vertical="center" wrapText="1"/>
    </xf>
    <xf numFmtId="1"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32" fillId="0" borderId="0" xfId="0" applyFont="1" applyFill="1" applyBorder="1" applyAlignment="1">
      <alignment horizontal="center" vertical="center"/>
    </xf>
    <xf numFmtId="2" fontId="66" fillId="0" borderId="0" xfId="0" applyNumberFormat="1" applyFont="1" applyFill="1" applyBorder="1" applyAlignment="1">
      <alignment horizontal="right" vertical="center"/>
    </xf>
    <xf numFmtId="0" fontId="32" fillId="0" borderId="0" xfId="0" applyFont="1" applyFill="1" applyAlignment="1">
      <alignment horizontal="center"/>
    </xf>
    <xf numFmtId="0" fontId="33" fillId="0" borderId="0" xfId="0" applyFont="1" applyFill="1" applyAlignment="1">
      <alignment horizontal="center" vertical="center"/>
    </xf>
    <xf numFmtId="0" fontId="33" fillId="0" borderId="0" xfId="0" applyFont="1" applyFill="1" applyAlignment="1">
      <alignment horizontal="center"/>
    </xf>
    <xf numFmtId="0" fontId="9" fillId="0" borderId="0" xfId="0" applyFont="1" applyAlignment="1">
      <alignment horizontal="center" vertical="center"/>
    </xf>
    <xf numFmtId="0" fontId="73" fillId="0" borderId="0" xfId="0" applyFont="1"/>
    <xf numFmtId="0" fontId="74" fillId="0" borderId="0" xfId="0" applyFont="1" applyAlignment="1">
      <alignment horizontal="center"/>
    </xf>
    <xf numFmtId="0" fontId="39" fillId="0" borderId="1" xfId="0" applyFont="1" applyBorder="1"/>
    <xf numFmtId="0" fontId="75" fillId="0" borderId="4" xfId="0" applyFont="1" applyBorder="1" applyAlignment="1">
      <alignment horizontal="center" wrapText="1"/>
    </xf>
    <xf numFmtId="0" fontId="76" fillId="0" borderId="2" xfId="0" applyFont="1" applyBorder="1" applyAlignment="1">
      <alignment horizontal="center"/>
    </xf>
    <xf numFmtId="0" fontId="76" fillId="0" borderId="5" xfId="0" applyFont="1" applyBorder="1" applyAlignment="1">
      <alignment horizontal="center"/>
    </xf>
    <xf numFmtId="0" fontId="76" fillId="0" borderId="1" xfId="0" applyFont="1" applyBorder="1" applyAlignment="1">
      <alignment horizontal="center"/>
    </xf>
    <xf numFmtId="0" fontId="75" fillId="0" borderId="1" xfId="0" applyFont="1" applyBorder="1" applyAlignment="1">
      <alignment horizontal="center"/>
    </xf>
    <xf numFmtId="0" fontId="75" fillId="0" borderId="6" xfId="0" applyFont="1" applyBorder="1" applyAlignment="1">
      <alignment horizontal="center" wrapText="1"/>
    </xf>
    <xf numFmtId="0" fontId="75" fillId="0" borderId="1" xfId="0" applyFont="1" applyBorder="1" applyAlignment="1">
      <alignment horizontal="center" wrapText="1"/>
    </xf>
    <xf numFmtId="0" fontId="39" fillId="0" borderId="1" xfId="0" applyFont="1" applyBorder="1" applyAlignment="1">
      <alignment horizontal="center" vertical="justify"/>
    </xf>
    <xf numFmtId="0" fontId="39" fillId="2" borderId="1" xfId="0" applyFont="1" applyFill="1" applyBorder="1" applyAlignment="1">
      <alignment horizontal="center" vertical="justify"/>
    </xf>
    <xf numFmtId="0" fontId="39" fillId="2" borderId="1" xfId="0" applyFont="1" applyFill="1" applyBorder="1" applyAlignment="1">
      <alignment horizontal="justify" vertical="justify"/>
    </xf>
    <xf numFmtId="2" fontId="39" fillId="0" borderId="1" xfId="0" applyNumberFormat="1" applyFont="1" applyBorder="1" applyAlignment="1">
      <alignment horizontal="center" vertical="justify"/>
    </xf>
    <xf numFmtId="2" fontId="39" fillId="0" borderId="1" xfId="0" applyNumberFormat="1" applyFont="1" applyBorder="1" applyAlignment="1">
      <alignment horizontal="right" vertical="justify"/>
    </xf>
    <xf numFmtId="2" fontId="39" fillId="2" borderId="1" xfId="0" applyNumberFormat="1" applyFont="1" applyFill="1" applyBorder="1" applyAlignment="1">
      <alignment horizontal="center" vertical="justify"/>
    </xf>
    <xf numFmtId="2" fontId="39" fillId="2" borderId="1" xfId="0" applyNumberFormat="1" applyFont="1" applyFill="1" applyBorder="1" applyAlignment="1">
      <alignment horizontal="right" vertical="justify"/>
    </xf>
    <xf numFmtId="0" fontId="39" fillId="2" borderId="1" xfId="0" applyFont="1" applyFill="1" applyBorder="1" applyAlignment="1">
      <alignment horizontal="justify" vertical="justify" wrapText="1"/>
    </xf>
    <xf numFmtId="0" fontId="39" fillId="2" borderId="6" xfId="0" applyFont="1" applyFill="1" applyBorder="1" applyAlignment="1">
      <alignment horizontal="justify" vertical="justify" wrapText="1"/>
    </xf>
    <xf numFmtId="0" fontId="39" fillId="0" borderId="6" xfId="0" applyFont="1" applyBorder="1" applyAlignment="1">
      <alignment horizontal="center" vertical="justify"/>
    </xf>
    <xf numFmtId="2" fontId="39" fillId="0" borderId="6" xfId="0" applyNumberFormat="1" applyFont="1" applyBorder="1" applyAlignment="1">
      <alignment horizontal="center" vertical="justify"/>
    </xf>
    <xf numFmtId="0" fontId="39" fillId="2" borderId="1" xfId="0" applyFont="1" applyFill="1" applyBorder="1" applyAlignment="1">
      <alignment horizontal="justify" vertical="top" wrapText="1"/>
    </xf>
    <xf numFmtId="0" fontId="39" fillId="0" borderId="1" xfId="0" applyFont="1" applyBorder="1" applyAlignment="1">
      <alignment horizontal="center" vertical="center"/>
    </xf>
    <xf numFmtId="0" fontId="39" fillId="2" borderId="1" xfId="0" applyFont="1" applyFill="1" applyBorder="1" applyAlignment="1">
      <alignment vertical="center"/>
    </xf>
    <xf numFmtId="2" fontId="39" fillId="0" borderId="1" xfId="0" applyNumberFormat="1" applyFont="1" applyBorder="1" applyAlignment="1">
      <alignment horizontal="center" vertical="center"/>
    </xf>
    <xf numFmtId="2" fontId="39" fillId="0" borderId="5" xfId="0" applyNumberFormat="1" applyFont="1" applyBorder="1" applyAlignment="1">
      <alignment horizontal="center" vertical="center"/>
    </xf>
    <xf numFmtId="165" fontId="39" fillId="0" borderId="1" xfId="0" applyNumberFormat="1" applyFont="1" applyBorder="1" applyAlignment="1">
      <alignment horizontal="center" vertical="center"/>
    </xf>
    <xf numFmtId="165" fontId="39" fillId="2" borderId="1" xfId="0" applyNumberFormat="1" applyFont="1" applyFill="1" applyBorder="1" applyAlignment="1">
      <alignment horizontal="center" vertical="center"/>
    </xf>
    <xf numFmtId="2" fontId="39" fillId="2" borderId="1" xfId="0" applyNumberFormat="1" applyFont="1" applyFill="1" applyBorder="1" applyAlignment="1">
      <alignment horizontal="center" vertical="center"/>
    </xf>
    <xf numFmtId="0" fontId="39" fillId="2" borderId="1" xfId="0" applyFont="1" applyFill="1" applyBorder="1" applyAlignment="1">
      <alignment horizontal="center" vertical="center"/>
    </xf>
    <xf numFmtId="2" fontId="39" fillId="0" borderId="1" xfId="0" applyNumberFormat="1" applyFont="1" applyBorder="1" applyAlignment="1">
      <alignment horizontal="right" vertical="center"/>
    </xf>
    <xf numFmtId="2" fontId="39" fillId="2" borderId="1" xfId="0" applyNumberFormat="1" applyFont="1" applyFill="1" applyBorder="1" applyAlignment="1">
      <alignment horizontal="right" vertical="center"/>
    </xf>
    <xf numFmtId="0" fontId="40" fillId="2" borderId="1" xfId="0" applyFont="1" applyFill="1" applyBorder="1" applyAlignment="1">
      <alignment horizontal="center" vertical="center"/>
    </xf>
    <xf numFmtId="0" fontId="40" fillId="0" borderId="1" xfId="0" applyFont="1" applyBorder="1" applyAlignment="1">
      <alignment horizontal="center" vertical="justify"/>
    </xf>
    <xf numFmtId="0" fontId="39" fillId="3" borderId="1" xfId="0" applyFont="1" applyFill="1" applyBorder="1" applyAlignment="1">
      <alignment horizontal="center" vertical="justify"/>
    </xf>
    <xf numFmtId="0" fontId="39" fillId="3" borderId="1" xfId="0" applyFont="1" applyFill="1" applyBorder="1" applyAlignment="1">
      <alignment horizontal="justify" vertical="justify" wrapText="1"/>
    </xf>
    <xf numFmtId="165" fontId="39" fillId="3" borderId="1" xfId="0" applyNumberFormat="1" applyFont="1" applyFill="1" applyBorder="1" applyAlignment="1">
      <alignment horizontal="center" vertical="center"/>
    </xf>
    <xf numFmtId="2" fontId="39" fillId="3" borderId="1" xfId="0" applyNumberFormat="1" applyFont="1" applyFill="1" applyBorder="1" applyAlignment="1">
      <alignment horizontal="center" vertical="center"/>
    </xf>
    <xf numFmtId="0" fontId="40" fillId="3" borderId="1" xfId="0" applyFont="1" applyFill="1" applyBorder="1" applyAlignment="1">
      <alignment horizontal="center" vertical="center"/>
    </xf>
    <xf numFmtId="2" fontId="39" fillId="3" borderId="1" xfId="0" applyNumberFormat="1" applyFont="1" applyFill="1" applyBorder="1" applyAlignment="1">
      <alignment horizontal="right" vertical="center"/>
    </xf>
    <xf numFmtId="0" fontId="39" fillId="0" borderId="1" xfId="0" applyFont="1" applyBorder="1" applyAlignment="1">
      <alignment horizontal="justify" vertical="justify" wrapText="1"/>
    </xf>
    <xf numFmtId="0" fontId="9" fillId="0" borderId="1" xfId="0" applyFont="1" applyBorder="1" applyAlignment="1">
      <alignment horizontal="center"/>
    </xf>
    <xf numFmtId="2" fontId="76" fillId="0" borderId="1" xfId="0" applyNumberFormat="1" applyFont="1" applyBorder="1" applyAlignment="1">
      <alignment horizontal="center" vertical="center"/>
    </xf>
    <xf numFmtId="0" fontId="4" fillId="0" borderId="0" xfId="0" applyFont="1"/>
    <xf numFmtId="17" fontId="4" fillId="0" borderId="0" xfId="0" applyNumberFormat="1" applyFont="1"/>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6" xfId="0" applyBorder="1" applyAlignment="1">
      <alignment horizontal="center" vertical="center" wrapText="1"/>
    </xf>
    <xf numFmtId="0" fontId="77" fillId="2" borderId="1" xfId="0" applyFont="1" applyFill="1" applyBorder="1" applyAlignment="1">
      <alignment vertical="center"/>
    </xf>
    <xf numFmtId="0" fontId="77" fillId="2" borderId="2" xfId="0" applyFont="1" applyFill="1" applyBorder="1" applyAlignment="1">
      <alignment horizontal="center" vertical="center"/>
    </xf>
    <xf numFmtId="0" fontId="77" fillId="2" borderId="1" xfId="0" applyFont="1" applyFill="1" applyBorder="1" applyAlignment="1">
      <alignment horizontal="center" vertical="center"/>
    </xf>
    <xf numFmtId="0" fontId="0" fillId="2" borderId="1" xfId="0" applyFill="1" applyBorder="1"/>
    <xf numFmtId="0" fontId="77" fillId="2" borderId="10" xfId="0" applyFont="1" applyFill="1" applyBorder="1" applyAlignment="1">
      <alignment horizontal="center" vertical="center"/>
    </xf>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5" fillId="2" borderId="1" xfId="0" applyFont="1" applyFill="1" applyBorder="1" applyAlignment="1">
      <alignment horizontal="center"/>
    </xf>
    <xf numFmtId="0" fontId="6" fillId="2" borderId="1" xfId="0" applyFont="1" applyFill="1" applyBorder="1" applyAlignment="1">
      <alignment vertical="center"/>
    </xf>
    <xf numFmtId="0" fontId="5" fillId="0" borderId="1" xfId="0" applyFont="1" applyBorder="1" applyAlignment="1">
      <alignment horizontal="center"/>
    </xf>
    <xf numFmtId="0" fontId="6" fillId="2" borderId="2" xfId="0" applyFont="1" applyFill="1" applyBorder="1" applyAlignment="1">
      <alignment horizontal="center" vertical="center" wrapText="1"/>
    </xf>
    <xf numFmtId="0" fontId="6" fillId="2" borderId="1" xfId="0" applyFont="1" applyFill="1" applyBorder="1" applyAlignment="1">
      <alignment vertical="top" wrapText="1"/>
    </xf>
    <xf numFmtId="0" fontId="6" fillId="2" borderId="2" xfId="0" applyFont="1" applyFill="1" applyBorder="1" applyAlignment="1">
      <alignment horizontal="center" vertical="top"/>
    </xf>
    <xf numFmtId="0" fontId="6" fillId="2" borderId="1" xfId="0" applyFont="1" applyFill="1" applyBorder="1" applyAlignment="1">
      <alignment horizontal="center" vertical="top"/>
    </xf>
    <xf numFmtId="0" fontId="6" fillId="2" borderId="1" xfId="0" applyFont="1" applyFill="1" applyBorder="1" applyAlignment="1">
      <alignment wrapText="1"/>
    </xf>
    <xf numFmtId="0" fontId="6" fillId="2" borderId="2" xfId="0" applyFont="1" applyFill="1" applyBorder="1" applyAlignment="1">
      <alignment horizontal="center"/>
    </xf>
    <xf numFmtId="0" fontId="36" fillId="0" borderId="1" xfId="0" applyFont="1" applyFill="1" applyBorder="1" applyAlignment="1">
      <alignment vertical="top" wrapText="1"/>
    </xf>
    <xf numFmtId="0" fontId="4" fillId="0" borderId="2" xfId="0" applyFont="1" applyFill="1" applyBorder="1" applyAlignment="1">
      <alignment horizontal="center" vertical="center"/>
    </xf>
    <xf numFmtId="2" fontId="5" fillId="0" borderId="1" xfId="0" applyNumberFormat="1" applyFont="1" applyFill="1" applyBorder="1" applyAlignment="1">
      <alignment horizontal="center" vertical="center"/>
    </xf>
    <xf numFmtId="0" fontId="36" fillId="0" borderId="1" xfId="0" applyFont="1" applyFill="1" applyBorder="1" applyAlignment="1">
      <alignment horizontal="left" vertical="top" wrapText="1"/>
    </xf>
    <xf numFmtId="0" fontId="65" fillId="0" borderId="1" xfId="0" applyFont="1" applyFill="1" applyBorder="1" applyAlignment="1">
      <alignment horizontal="left" vertical="top" wrapText="1"/>
    </xf>
    <xf numFmtId="0" fontId="30" fillId="0" borderId="2" xfId="0" applyFont="1" applyFill="1" applyBorder="1" applyAlignment="1">
      <alignment horizontal="center" vertical="center"/>
    </xf>
    <xf numFmtId="2" fontId="5" fillId="2" borderId="1" xfId="0" applyNumberFormat="1" applyFont="1" applyFill="1" applyBorder="1" applyAlignment="1">
      <alignment horizontal="center" vertical="center"/>
    </xf>
    <xf numFmtId="0" fontId="30" fillId="0" borderId="2" xfId="0" applyFont="1" applyFill="1" applyBorder="1" applyAlignment="1">
      <alignment horizontal="center" vertical="center" wrapText="1"/>
    </xf>
    <xf numFmtId="0" fontId="36" fillId="0" borderId="1" xfId="0" applyFont="1" applyFill="1" applyBorder="1" applyAlignment="1">
      <alignment wrapText="1"/>
    </xf>
    <xf numFmtId="0" fontId="1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29" fillId="2" borderId="1" xfId="0" applyNumberFormat="1"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0" fillId="0" borderId="2" xfId="0" applyFill="1" applyBorder="1" applyAlignment="1">
      <alignment horizontal="center" vertical="center"/>
    </xf>
    <xf numFmtId="0" fontId="5"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78" fillId="0" borderId="4" xfId="0" applyFont="1" applyBorder="1" applyAlignment="1">
      <alignment wrapText="1"/>
    </xf>
    <xf numFmtId="0" fontId="79" fillId="0" borderId="2" xfId="0" applyFont="1" applyFill="1" applyBorder="1" applyAlignment="1">
      <alignment horizontal="center" vertical="center"/>
    </xf>
    <xf numFmtId="0" fontId="29" fillId="0" borderId="2" xfId="0" applyFont="1" applyBorder="1" applyAlignment="1">
      <alignment horizontal="justify" vertical="center" wrapText="1"/>
    </xf>
    <xf numFmtId="0" fontId="0" fillId="0" borderId="1" xfId="0" applyFont="1" applyFill="1" applyBorder="1" applyAlignment="1">
      <alignment horizontal="center" vertical="center" wrapText="1"/>
    </xf>
    <xf numFmtId="0" fontId="17" fillId="0" borderId="4" xfId="0" applyFont="1" applyBorder="1" applyAlignment="1">
      <alignment horizontal="left" wrapText="1"/>
    </xf>
    <xf numFmtId="0" fontId="0" fillId="2" borderId="1" xfId="0" applyFont="1" applyFill="1" applyBorder="1" applyAlignment="1">
      <alignment horizontal="center" vertical="center" wrapText="1"/>
    </xf>
    <xf numFmtId="0" fontId="0" fillId="0" borderId="1" xfId="0" applyFill="1" applyBorder="1" applyAlignment="1">
      <alignment vertical="top" wrapText="1"/>
    </xf>
    <xf numFmtId="0" fontId="80" fillId="0" borderId="2" xfId="0" applyFont="1" applyFill="1" applyBorder="1" applyAlignment="1">
      <alignment horizontal="center" vertical="center"/>
    </xf>
    <xf numFmtId="0" fontId="0" fillId="0" borderId="10" xfId="0" applyFill="1" applyBorder="1" applyAlignment="1">
      <alignment wrapText="1"/>
    </xf>
    <xf numFmtId="0" fontId="80"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9" fillId="0" borderId="1" xfId="0" applyFont="1" applyBorder="1" applyAlignment="1">
      <alignment horizontal="center" vertical="center" wrapText="1"/>
    </xf>
    <xf numFmtId="0" fontId="0" fillId="2" borderId="6" xfId="0" applyFill="1" applyBorder="1"/>
    <xf numFmtId="0" fontId="0" fillId="0" borderId="4" xfId="0" applyBorder="1" applyAlignment="1">
      <alignment horizontal="left" wrapText="1"/>
    </xf>
    <xf numFmtId="0" fontId="0" fillId="0" borderId="6" xfId="0" applyBorder="1" applyAlignment="1">
      <alignment horizontal="center" vertical="center"/>
    </xf>
    <xf numFmtId="0" fontId="0" fillId="0" borderId="6" xfId="0" applyBorder="1"/>
    <xf numFmtId="0" fontId="0" fillId="2" borderId="10" xfId="0" applyFill="1" applyBorder="1" applyAlignment="1">
      <alignment wrapText="1"/>
    </xf>
    <xf numFmtId="0" fontId="0" fillId="2" borderId="1" xfId="0" applyFill="1" applyBorder="1" applyAlignment="1">
      <alignment vertical="center" wrapText="1"/>
    </xf>
    <xf numFmtId="0" fontId="80" fillId="0" borderId="14" xfId="0" applyFont="1" applyFill="1" applyBorder="1" applyAlignment="1">
      <alignment horizontal="center" vertical="center"/>
    </xf>
    <xf numFmtId="2" fontId="81" fillId="0" borderId="1" xfId="0" applyNumberFormat="1" applyFont="1" applyBorder="1" applyAlignment="1">
      <alignment horizontal="center" vertical="center" wrapText="1"/>
    </xf>
    <xf numFmtId="0" fontId="0" fillId="0" borderId="4" xfId="0" applyFont="1" applyBorder="1" applyAlignment="1">
      <alignment horizontal="center" wrapText="1"/>
    </xf>
    <xf numFmtId="2" fontId="81" fillId="0" borderId="2" xfId="0" applyNumberFormat="1" applyFont="1" applyBorder="1" applyAlignment="1">
      <alignment horizontal="center" vertical="center" wrapText="1"/>
    </xf>
    <xf numFmtId="0" fontId="81" fillId="0" borderId="1" xfId="0" applyFont="1" applyBorder="1" applyAlignment="1">
      <alignment horizontal="center" vertical="center" wrapText="1"/>
    </xf>
    <xf numFmtId="0" fontId="82" fillId="0" borderId="1" xfId="0" applyFont="1" applyBorder="1" applyAlignment="1">
      <alignment horizontal="center" vertical="center" wrapText="1"/>
    </xf>
    <xf numFmtId="0" fontId="17" fillId="0" borderId="4" xfId="0" applyFont="1" applyBorder="1" applyAlignment="1">
      <alignment horizontal="center" wrapText="1"/>
    </xf>
    <xf numFmtId="0" fontId="0" fillId="0" borderId="4" xfId="0" applyFont="1" applyBorder="1" applyAlignment="1">
      <alignment horizontal="center"/>
    </xf>
    <xf numFmtId="0" fontId="81" fillId="0" borderId="4" xfId="0" applyFont="1" applyBorder="1" applyAlignment="1">
      <alignment horizontal="center" wrapText="1"/>
    </xf>
    <xf numFmtId="0" fontId="29"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0" xfId="0" applyFill="1" applyBorder="1" applyAlignment="1">
      <alignment horizontal="center" vertical="center"/>
    </xf>
    <xf numFmtId="0" fontId="81" fillId="0" borderId="4" xfId="0" applyFont="1" applyBorder="1" applyAlignment="1">
      <alignment horizontal="left" wrapText="1"/>
    </xf>
    <xf numFmtId="0" fontId="0" fillId="2" borderId="0" xfId="0" applyFill="1" applyBorder="1"/>
    <xf numFmtId="0" fontId="0" fillId="0" borderId="0" xfId="0" applyBorder="1"/>
    <xf numFmtId="0" fontId="5" fillId="2" borderId="4" xfId="0" applyFont="1" applyFill="1" applyBorder="1" applyAlignment="1">
      <alignment horizontal="center" wrapText="1"/>
    </xf>
    <xf numFmtId="0" fontId="81" fillId="0" borderId="4" xfId="5" applyFont="1" applyBorder="1" applyAlignment="1" applyProtection="1">
      <alignment horizontal="center" wrapText="1"/>
    </xf>
    <xf numFmtId="0" fontId="81" fillId="0" borderId="1" xfId="0" applyFont="1" applyBorder="1" applyAlignment="1">
      <alignment horizontal="center" wrapText="1"/>
    </xf>
    <xf numFmtId="0" fontId="0" fillId="6" borderId="6" xfId="0" applyFill="1" applyBorder="1"/>
    <xf numFmtId="0" fontId="0" fillId="0" borderId="1" xfId="0" applyFont="1" applyFill="1" applyBorder="1" applyAlignment="1">
      <alignment vertical="center" wrapText="1"/>
    </xf>
    <xf numFmtId="164"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4"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4"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2" borderId="4" xfId="0" applyFill="1" applyBorder="1" applyAlignment="1">
      <alignment wrapText="1"/>
    </xf>
    <xf numFmtId="0" fontId="80" fillId="0" borderId="4" xfId="0" applyFont="1" applyFill="1" applyBorder="1" applyAlignment="1">
      <alignment horizontal="center" vertical="center"/>
    </xf>
    <xf numFmtId="0" fontId="0" fillId="0" borderId="4" xfId="0" applyBorder="1" applyAlignment="1">
      <alignment horizontal="center" vertical="center"/>
    </xf>
    <xf numFmtId="164" fontId="0" fillId="0" borderId="6" xfId="0" applyNumberFormat="1" applyFont="1" applyFill="1" applyBorder="1" applyAlignment="1">
      <alignment horizontal="center" vertical="center"/>
    </xf>
    <xf numFmtId="0" fontId="0" fillId="0" borderId="1" xfId="0" applyFill="1" applyBorder="1"/>
    <xf numFmtId="0" fontId="81" fillId="0" borderId="10" xfId="0" applyFont="1" applyBorder="1" applyAlignment="1">
      <alignment horizontal="center" wrapText="1"/>
    </xf>
    <xf numFmtId="164" fontId="0" fillId="0" borderId="6" xfId="0" applyNumberFormat="1" applyBorder="1"/>
    <xf numFmtId="0" fontId="80" fillId="0" borderId="0" xfId="0" applyFont="1" applyFill="1" applyBorder="1" applyAlignment="1">
      <alignment horizontal="center" vertical="center"/>
    </xf>
    <xf numFmtId="164" fontId="4" fillId="0" borderId="1" xfId="0" applyNumberFormat="1" applyFont="1" applyBorder="1"/>
    <xf numFmtId="164" fontId="4" fillId="0" borderId="0" xfId="0" applyNumberFormat="1" applyFont="1" applyBorder="1"/>
    <xf numFmtId="0" fontId="0" fillId="2" borderId="0" xfId="0" applyFill="1" applyBorder="1" applyAlignment="1">
      <alignment wrapText="1"/>
    </xf>
    <xf numFmtId="0" fontId="23" fillId="0" borderId="0" xfId="0" applyFont="1"/>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1" fontId="30"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4" fillId="0" borderId="1" xfId="0" applyFont="1" applyFill="1" applyBorder="1" applyAlignment="1">
      <alignment horizontal="center"/>
    </xf>
    <xf numFmtId="0" fontId="13" fillId="0" borderId="1" xfId="0" applyFont="1" applyFill="1" applyBorder="1" applyAlignment="1">
      <alignment horizontal="center"/>
    </xf>
    <xf numFmtId="0" fontId="13"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41" fillId="2" borderId="0" xfId="0" applyFont="1" applyFill="1" applyAlignment="1">
      <alignment horizontal="center" vertical="center"/>
    </xf>
    <xf numFmtId="0" fontId="83" fillId="2" borderId="0" xfId="0" applyFont="1" applyFill="1" applyAlignment="1">
      <alignment horizontal="center" vertical="center"/>
    </xf>
    <xf numFmtId="0" fontId="42" fillId="2" borderId="0" xfId="0" applyFont="1" applyFill="1" applyAlignment="1"/>
    <xf numFmtId="0" fontId="84" fillId="2" borderId="0" xfId="0" applyFont="1" applyFill="1" applyAlignment="1"/>
    <xf numFmtId="0" fontId="43" fillId="2" borderId="0" xfId="0" applyFont="1" applyFill="1" applyAlignment="1"/>
    <xf numFmtId="0" fontId="54" fillId="2" borderId="0" xfId="0" applyFont="1" applyFill="1" applyAlignment="1">
      <alignment horizontal="left"/>
    </xf>
    <xf numFmtId="0" fontId="85" fillId="2" borderId="0" xfId="0" applyFont="1" applyFill="1" applyAlignment="1">
      <alignment horizontal="left"/>
    </xf>
    <xf numFmtId="0" fontId="42" fillId="2" borderId="0" xfId="0" applyFont="1" applyFill="1" applyAlignment="1">
      <alignment horizontal="left"/>
    </xf>
    <xf numFmtId="0" fontId="54" fillId="2" borderId="0" xfId="0" applyFont="1" applyFill="1" applyBorder="1" applyAlignment="1">
      <alignment horizontal="left"/>
    </xf>
    <xf numFmtId="0" fontId="85" fillId="2" borderId="0" xfId="0" applyFont="1" applyFill="1" applyBorder="1" applyAlignment="1">
      <alignment horizontal="left"/>
    </xf>
    <xf numFmtId="0" fontId="42" fillId="2" borderId="0" xfId="0" applyFont="1" applyFill="1" applyBorder="1" applyAlignment="1">
      <alignment horizontal="left"/>
    </xf>
    <xf numFmtId="0" fontId="42" fillId="2" borderId="0" xfId="0" applyFont="1" applyFill="1" applyAlignment="1">
      <alignment horizontal="center"/>
    </xf>
    <xf numFmtId="0" fontId="54" fillId="2" borderId="0" xfId="0" applyFont="1" applyFill="1" applyAlignment="1"/>
    <xf numFmtId="0" fontId="54" fillId="2" borderId="9" xfId="0" applyFont="1" applyFill="1" applyBorder="1" applyAlignment="1">
      <alignment horizontal="left"/>
    </xf>
    <xf numFmtId="0" fontId="85" fillId="2" borderId="9" xfId="0" applyFont="1" applyFill="1" applyBorder="1" applyAlignment="1">
      <alignment horizontal="left"/>
    </xf>
    <xf numFmtId="0" fontId="54" fillId="2" borderId="0" xfId="0" applyFont="1" applyFill="1" applyBorder="1" applyAlignment="1">
      <alignment horizontal="left"/>
    </xf>
    <xf numFmtId="0" fontId="86" fillId="7" borderId="4" xfId="0" applyFont="1" applyFill="1" applyBorder="1" applyAlignment="1">
      <alignment horizontal="center" vertical="center"/>
    </xf>
    <xf numFmtId="0" fontId="87" fillId="7" borderId="4" xfId="0" applyFont="1" applyFill="1" applyBorder="1" applyAlignment="1">
      <alignment horizontal="center" vertical="center"/>
    </xf>
    <xf numFmtId="0" fontId="86" fillId="7" borderId="4" xfId="0" applyFont="1" applyFill="1" applyBorder="1" applyAlignment="1">
      <alignment horizontal="center" vertical="center" wrapText="1"/>
    </xf>
    <xf numFmtId="0" fontId="88" fillId="7" borderId="2" xfId="0" applyFont="1" applyFill="1" applyBorder="1" applyAlignment="1">
      <alignment horizontal="center" vertical="center"/>
    </xf>
    <xf numFmtId="0" fontId="88" fillId="7" borderId="5" xfId="0" applyFont="1" applyFill="1" applyBorder="1" applyAlignment="1">
      <alignment horizontal="center" vertical="center"/>
    </xf>
    <xf numFmtId="0" fontId="88" fillId="7" borderId="2" xfId="0" applyFont="1" applyFill="1" applyBorder="1" applyAlignment="1">
      <alignment horizontal="center" vertical="center" wrapText="1"/>
    </xf>
    <xf numFmtId="0" fontId="88" fillId="7" borderId="5" xfId="0" applyFont="1" applyFill="1" applyBorder="1" applyAlignment="1">
      <alignment horizontal="center" vertical="center" wrapText="1"/>
    </xf>
    <xf numFmtId="0" fontId="88" fillId="7" borderId="3" xfId="0" applyFont="1" applyFill="1" applyBorder="1" applyAlignment="1">
      <alignment horizontal="center" vertical="center"/>
    </xf>
    <xf numFmtId="0" fontId="86" fillId="7" borderId="2" xfId="0" applyFont="1" applyFill="1" applyBorder="1" applyAlignment="1">
      <alignment horizontal="center" vertical="center"/>
    </xf>
    <xf numFmtId="0" fontId="86" fillId="7" borderId="3" xfId="0" applyFont="1" applyFill="1" applyBorder="1" applyAlignment="1">
      <alignment horizontal="center" vertical="center"/>
    </xf>
    <xf numFmtId="0" fontId="86" fillId="7" borderId="1" xfId="0" applyFont="1" applyFill="1" applyBorder="1" applyAlignment="1">
      <alignment horizontal="center" vertical="center"/>
    </xf>
    <xf numFmtId="0" fontId="86" fillId="7" borderId="6" xfId="0" applyFont="1" applyFill="1" applyBorder="1" applyAlignment="1">
      <alignment horizontal="center" vertical="center"/>
    </xf>
    <xf numFmtId="0" fontId="87" fillId="7" borderId="6" xfId="0" applyFont="1" applyFill="1" applyBorder="1" applyAlignment="1">
      <alignment horizontal="center" vertical="center"/>
    </xf>
    <xf numFmtId="0" fontId="86" fillId="7" borderId="6" xfId="0" applyFont="1" applyFill="1" applyBorder="1" applyAlignment="1">
      <alignment horizontal="center" vertical="center" wrapText="1"/>
    </xf>
    <xf numFmtId="0" fontId="86" fillId="7" borderId="1" xfId="0" applyFont="1" applyFill="1" applyBorder="1" applyAlignment="1">
      <alignment horizontal="center" vertical="center"/>
    </xf>
    <xf numFmtId="0" fontId="86" fillId="7" borderId="1" xfId="0" applyFont="1" applyFill="1" applyBorder="1" applyAlignment="1">
      <alignment horizontal="center" vertical="center" wrapText="1"/>
    </xf>
    <xf numFmtId="0" fontId="86" fillId="0" borderId="1" xfId="0" applyFont="1" applyFill="1" applyBorder="1" applyAlignment="1">
      <alignment horizontal="center" vertical="center"/>
    </xf>
    <xf numFmtId="0" fontId="87" fillId="8" borderId="1" xfId="0" applyFont="1" applyFill="1" applyBorder="1" applyAlignment="1">
      <alignment vertical="center"/>
    </xf>
    <xf numFmtId="0" fontId="86" fillId="0" borderId="1" xfId="0" applyFont="1" applyFill="1" applyBorder="1" applyAlignment="1">
      <alignment vertical="center"/>
    </xf>
    <xf numFmtId="0" fontId="87" fillId="0" borderId="1" xfId="0" applyFont="1" applyFill="1" applyBorder="1" applyAlignment="1">
      <alignment horizontal="center" vertical="center"/>
    </xf>
    <xf numFmtId="2" fontId="86" fillId="0" borderId="1" xfId="0" applyNumberFormat="1" applyFont="1" applyFill="1" applyBorder="1" applyAlignment="1">
      <alignment horizontal="center" vertical="center"/>
    </xf>
    <xf numFmtId="0" fontId="87" fillId="0" borderId="2" xfId="0" applyFont="1" applyFill="1" applyBorder="1" applyAlignment="1">
      <alignment horizontal="center" vertical="center"/>
    </xf>
    <xf numFmtId="0" fontId="86" fillId="0" borderId="4" xfId="0" applyFont="1" applyFill="1" applyBorder="1" applyAlignment="1">
      <alignment vertical="center"/>
    </xf>
    <xf numFmtId="2" fontId="88" fillId="0" borderId="1" xfId="0" applyNumberFormat="1" applyFont="1" applyFill="1" applyBorder="1" applyAlignment="1">
      <alignment horizontal="center" vertical="center"/>
    </xf>
    <xf numFmtId="0" fontId="86" fillId="0" borderId="1" xfId="0" applyFont="1" applyFill="1" applyBorder="1" applyAlignment="1">
      <alignment horizontal="left" vertical="center"/>
    </xf>
    <xf numFmtId="0" fontId="89" fillId="0" borderId="2" xfId="0" applyFont="1" applyFill="1" applyBorder="1" applyAlignment="1">
      <alignment horizontal="center" vertical="center"/>
    </xf>
    <xf numFmtId="0" fontId="87" fillId="0" borderId="4" xfId="0" applyFont="1" applyFill="1" applyBorder="1" applyAlignment="1">
      <alignment horizontal="center" vertical="center"/>
    </xf>
    <xf numFmtId="0" fontId="87" fillId="0" borderId="7" xfId="0" applyFont="1" applyFill="1" applyBorder="1" applyAlignment="1">
      <alignment horizontal="center" vertical="center"/>
    </xf>
    <xf numFmtId="0" fontId="89" fillId="0" borderId="7" xfId="0" applyFont="1" applyFill="1" applyBorder="1" applyAlignment="1">
      <alignment horizontal="center" vertical="center"/>
    </xf>
    <xf numFmtId="0" fontId="90" fillId="8" borderId="1" xfId="0" applyFont="1" applyFill="1" applyBorder="1" applyAlignment="1">
      <alignment vertical="center"/>
    </xf>
    <xf numFmtId="0" fontId="86" fillId="0" borderId="4" xfId="0" applyFont="1" applyFill="1" applyBorder="1" applyAlignment="1">
      <alignment horizontal="center" vertical="center"/>
    </xf>
    <xf numFmtId="0" fontId="86" fillId="0" borderId="2" xfId="0" applyFont="1" applyFill="1" applyBorder="1" applyAlignment="1">
      <alignment horizontal="center" vertical="center"/>
    </xf>
    <xf numFmtId="166" fontId="86" fillId="0" borderId="1" xfId="0" applyNumberFormat="1" applyFont="1" applyFill="1" applyBorder="1" applyAlignment="1">
      <alignment horizontal="center" vertical="center"/>
    </xf>
    <xf numFmtId="0" fontId="90" fillId="0" borderId="1" xfId="0" applyFont="1" applyFill="1" applyBorder="1" applyAlignment="1">
      <alignment vertical="center"/>
    </xf>
    <xf numFmtId="0" fontId="86" fillId="0" borderId="2" xfId="0" applyFont="1" applyFill="1" applyBorder="1" applyAlignment="1">
      <alignment vertical="center"/>
    </xf>
    <xf numFmtId="0" fontId="87" fillId="3" borderId="1" xfId="0" applyFont="1" applyFill="1" applyBorder="1" applyAlignment="1">
      <alignment horizontal="left" vertical="center"/>
    </xf>
    <xf numFmtId="0" fontId="86" fillId="0" borderId="1" xfId="0" applyFont="1" applyFill="1" applyBorder="1" applyAlignment="1">
      <alignment vertical="center" wrapText="1"/>
    </xf>
    <xf numFmtId="2" fontId="88" fillId="2" borderId="1" xfId="0" applyNumberFormat="1" applyFont="1" applyFill="1" applyBorder="1" applyAlignment="1">
      <alignment horizontal="center" vertical="center"/>
    </xf>
    <xf numFmtId="0" fontId="90" fillId="0" borderId="1" xfId="0" applyFont="1" applyFill="1" applyBorder="1" applyAlignment="1">
      <alignment horizontal="left" vertical="center"/>
    </xf>
    <xf numFmtId="0" fontId="88" fillId="0" borderId="1" xfId="0" applyFont="1" applyFill="1" applyBorder="1" applyAlignment="1">
      <alignment horizontal="center" vertical="center"/>
    </xf>
    <xf numFmtId="49" fontId="87" fillId="6" borderId="4" xfId="0" applyNumberFormat="1" applyFont="1" applyFill="1" applyBorder="1" applyAlignment="1">
      <alignment horizontal="left" vertical="center" wrapText="1"/>
    </xf>
    <xf numFmtId="0" fontId="88" fillId="0" borderId="4" xfId="0" applyFont="1" applyFill="1" applyBorder="1" applyAlignment="1">
      <alignment horizontal="left" vertical="center" wrapText="1"/>
    </xf>
    <xf numFmtId="166" fontId="87" fillId="0" borderId="1" xfId="0" applyNumberFormat="1" applyFont="1" applyFill="1" applyBorder="1" applyAlignment="1">
      <alignment horizontal="center" vertical="center"/>
    </xf>
    <xf numFmtId="0" fontId="88" fillId="0" borderId="2" xfId="0" applyFont="1" applyFill="1" applyBorder="1" applyAlignment="1">
      <alignment horizontal="center" vertical="center"/>
    </xf>
    <xf numFmtId="49" fontId="87" fillId="6" borderId="1" xfId="0" applyNumberFormat="1" applyFont="1" applyFill="1" applyBorder="1" applyAlignment="1">
      <alignment horizontal="left" vertical="center" wrapText="1"/>
    </xf>
    <xf numFmtId="0" fontId="88" fillId="0" borderId="1" xfId="0" applyFont="1" applyFill="1" applyBorder="1" applyAlignment="1">
      <alignment vertical="center" wrapText="1"/>
    </xf>
    <xf numFmtId="49" fontId="87" fillId="6" borderId="4" xfId="0" applyNumberFormat="1" applyFont="1" applyFill="1" applyBorder="1" applyAlignment="1">
      <alignment horizontal="left" vertical="center" wrapText="1"/>
    </xf>
    <xf numFmtId="0" fontId="88" fillId="0" borderId="4" xfId="0" applyFont="1" applyFill="1" applyBorder="1" applyAlignment="1">
      <alignment horizontal="left" vertical="center" wrapText="1"/>
    </xf>
    <xf numFmtId="49" fontId="87" fillId="6" borderId="10" xfId="0" applyNumberFormat="1" applyFont="1" applyFill="1" applyBorder="1" applyAlignment="1">
      <alignment horizontal="left" vertical="center" wrapText="1"/>
    </xf>
    <xf numFmtId="0" fontId="88" fillId="0" borderId="10" xfId="0" applyFont="1" applyFill="1" applyBorder="1" applyAlignment="1">
      <alignment horizontal="left" vertical="center" wrapText="1"/>
    </xf>
    <xf numFmtId="49" fontId="87" fillId="6" borderId="6" xfId="0" applyNumberFormat="1" applyFont="1" applyFill="1" applyBorder="1" applyAlignment="1">
      <alignment horizontal="left" vertical="center" wrapText="1"/>
    </xf>
    <xf numFmtId="0" fontId="88" fillId="0" borderId="6" xfId="0" applyFont="1" applyFill="1" applyBorder="1" applyAlignment="1">
      <alignment horizontal="left" vertical="center" wrapText="1"/>
    </xf>
    <xf numFmtId="0" fontId="87" fillId="6" borderId="1" xfId="0" applyFont="1" applyFill="1" applyBorder="1" applyAlignment="1">
      <alignment horizontal="left" vertical="center"/>
    </xf>
    <xf numFmtId="0" fontId="87" fillId="9" borderId="1" xfId="0" applyFont="1" applyFill="1" applyBorder="1" applyAlignment="1">
      <alignment vertical="center"/>
    </xf>
    <xf numFmtId="0" fontId="88" fillId="0" borderId="1" xfId="0" applyFont="1" applyFill="1" applyBorder="1" applyAlignment="1">
      <alignment vertical="center"/>
    </xf>
    <xf numFmtId="0" fontId="88" fillId="0" borderId="2" xfId="0" applyFont="1" applyFill="1" applyBorder="1" applyAlignment="1">
      <alignment vertical="center"/>
    </xf>
    <xf numFmtId="0" fontId="88" fillId="0" borderId="4" xfId="0" applyFont="1" applyFill="1" applyBorder="1" applyAlignment="1">
      <alignment horizontal="center" vertical="center"/>
    </xf>
    <xf numFmtId="0" fontId="87" fillId="9" borderId="4" xfId="0" applyFont="1" applyFill="1" applyBorder="1" applyAlignment="1">
      <alignment vertical="center"/>
    </xf>
    <xf numFmtId="0" fontId="88" fillId="0" borderId="4" xfId="0" applyFont="1" applyFill="1" applyBorder="1" applyAlignment="1">
      <alignment horizontal="left" vertical="center"/>
    </xf>
    <xf numFmtId="0" fontId="88" fillId="0" borderId="0" xfId="0" applyFont="1" applyFill="1" applyBorder="1" applyAlignment="1">
      <alignment horizontal="center" vertical="center"/>
    </xf>
    <xf numFmtId="0" fontId="88" fillId="0" borderId="6" xfId="0" applyFont="1" applyFill="1" applyBorder="1" applyAlignment="1">
      <alignment horizontal="center" vertical="center"/>
    </xf>
    <xf numFmtId="0" fontId="88" fillId="0" borderId="6" xfId="0" applyFont="1" applyFill="1" applyBorder="1" applyAlignment="1">
      <alignment horizontal="left" vertical="center"/>
    </xf>
    <xf numFmtId="166" fontId="87" fillId="0" borderId="2" xfId="0" applyNumberFormat="1" applyFont="1" applyFill="1" applyBorder="1" applyAlignment="1">
      <alignment horizontal="center" vertical="center"/>
    </xf>
    <xf numFmtId="0" fontId="88" fillId="0" borderId="1" xfId="0" applyFont="1" applyFill="1" applyBorder="1" applyAlignment="1">
      <alignment horizontal="left" vertical="center"/>
    </xf>
    <xf numFmtId="0" fontId="87" fillId="9" borderId="1" xfId="0" applyFont="1" applyFill="1" applyBorder="1" applyAlignment="1">
      <alignment horizontal="left" vertical="center"/>
    </xf>
    <xf numFmtId="0" fontId="88" fillId="0" borderId="1" xfId="0" applyFont="1" applyFill="1" applyBorder="1" applyAlignment="1">
      <alignment horizontal="left" vertical="center"/>
    </xf>
    <xf numFmtId="0" fontId="91" fillId="9" borderId="1" xfId="0" applyFont="1" applyFill="1" applyBorder="1" applyAlignment="1">
      <alignment vertical="center"/>
    </xf>
    <xf numFmtId="0" fontId="88" fillId="0" borderId="1" xfId="0" applyFont="1" applyFill="1" applyBorder="1" applyAlignment="1">
      <alignment horizontal="center"/>
    </xf>
    <xf numFmtId="0" fontId="91" fillId="9" borderId="1" xfId="0" applyFont="1" applyFill="1" applyBorder="1" applyAlignment="1"/>
    <xf numFmtId="0" fontId="88" fillId="0" borderId="1" xfId="0" applyFont="1" applyFill="1" applyBorder="1" applyAlignment="1"/>
    <xf numFmtId="0" fontId="88" fillId="0" borderId="6" xfId="0" applyFont="1" applyFill="1" applyBorder="1" applyAlignment="1">
      <alignment horizontal="left" vertical="center"/>
    </xf>
    <xf numFmtId="0" fontId="92" fillId="0" borderId="1" xfId="0" applyFont="1" applyFill="1" applyBorder="1" applyAlignment="1">
      <alignment horizontal="center" vertical="center"/>
    </xf>
    <xf numFmtId="49" fontId="93" fillId="10" borderId="1" xfId="0" applyNumberFormat="1" applyFont="1" applyFill="1" applyBorder="1" applyAlignment="1">
      <alignment horizontal="left" vertical="center" wrapText="1"/>
    </xf>
    <xf numFmtId="0" fontId="92" fillId="0" borderId="1" xfId="0" applyFont="1" applyFill="1" applyBorder="1" applyAlignment="1">
      <alignment vertical="center" wrapText="1"/>
    </xf>
    <xf numFmtId="0" fontId="92" fillId="0" borderId="1" xfId="0" applyFont="1" applyFill="1" applyBorder="1" applyAlignment="1">
      <alignment horizontal="center" vertical="center" wrapText="1"/>
    </xf>
    <xf numFmtId="0" fontId="93" fillId="0" borderId="1" xfId="0" applyFont="1" applyFill="1" applyBorder="1" applyAlignment="1">
      <alignment horizontal="center" vertical="center"/>
    </xf>
    <xf numFmtId="0" fontId="94" fillId="0" borderId="1" xfId="0" applyFont="1" applyFill="1" applyBorder="1" applyAlignment="1">
      <alignment horizontal="center" vertical="center"/>
    </xf>
    <xf numFmtId="49" fontId="95" fillId="10" borderId="1" xfId="0" applyNumberFormat="1" applyFont="1" applyFill="1" applyBorder="1" applyAlignment="1">
      <alignment horizontal="left" vertical="center" wrapText="1"/>
    </xf>
    <xf numFmtId="49" fontId="90" fillId="0" borderId="1" xfId="0" applyNumberFormat="1" applyFont="1" applyFill="1" applyBorder="1" applyAlignment="1">
      <alignment horizontal="left" vertical="center" wrapText="1"/>
    </xf>
    <xf numFmtId="0" fontId="88" fillId="0" borderId="1" xfId="0" applyFont="1" applyFill="1" applyBorder="1" applyAlignment="1">
      <alignment horizontal="center" vertical="center" wrapText="1"/>
    </xf>
    <xf numFmtId="0" fontId="96" fillId="11" borderId="1" xfId="0" applyFont="1" applyFill="1" applyBorder="1" applyAlignment="1">
      <alignment vertical="center"/>
    </xf>
    <xf numFmtId="0" fontId="87" fillId="0" borderId="1" xfId="0" applyFont="1" applyFill="1" applyBorder="1" applyAlignment="1">
      <alignment vertical="center" wrapText="1"/>
    </xf>
    <xf numFmtId="0" fontId="87" fillId="11" borderId="1" xfId="0" applyFont="1" applyFill="1" applyBorder="1" applyAlignment="1">
      <alignment vertical="center"/>
    </xf>
    <xf numFmtId="0" fontId="87" fillId="11" borderId="4" xfId="0" applyFont="1" applyFill="1" applyBorder="1" applyAlignment="1">
      <alignment horizontal="left" vertical="center"/>
    </xf>
    <xf numFmtId="0" fontId="87" fillId="0" borderId="4" xfId="0" applyFont="1" applyFill="1" applyBorder="1" applyAlignment="1">
      <alignment horizontal="left" vertical="center" wrapText="1"/>
    </xf>
    <xf numFmtId="0" fontId="87" fillId="0" borderId="1" xfId="0" applyFont="1" applyFill="1" applyBorder="1" applyAlignment="1">
      <alignment horizontal="left" vertical="center" wrapText="1"/>
    </xf>
    <xf numFmtId="0" fontId="87" fillId="0" borderId="4" xfId="0" applyFont="1" applyFill="1" applyBorder="1" applyAlignment="1">
      <alignment vertical="center"/>
    </xf>
    <xf numFmtId="0" fontId="87" fillId="11" borderId="4" xfId="0" applyFont="1" applyFill="1" applyBorder="1" applyAlignment="1">
      <alignment vertical="center"/>
    </xf>
    <xf numFmtId="0" fontId="87" fillId="0" borderId="4" xfId="0" applyFont="1" applyFill="1" applyBorder="1" applyAlignment="1">
      <alignment vertical="center" wrapText="1"/>
    </xf>
    <xf numFmtId="0" fontId="45" fillId="0" borderId="1" xfId="0" applyFont="1" applyFill="1" applyBorder="1" applyAlignment="1">
      <alignment vertical="center"/>
    </xf>
    <xf numFmtId="0" fontId="97" fillId="11" borderId="1" xfId="0" applyFont="1" applyFill="1" applyBorder="1" applyAlignment="1">
      <alignment horizontal="center" vertical="center"/>
    </xf>
    <xf numFmtId="2" fontId="0" fillId="2" borderId="1" xfId="0" applyNumberFormat="1" applyFont="1" applyFill="1" applyBorder="1" applyAlignment="1">
      <alignment horizontal="center" vertical="center"/>
    </xf>
    <xf numFmtId="0" fontId="45" fillId="0" borderId="1" xfId="0" applyFont="1" applyFill="1" applyBorder="1" applyAlignment="1">
      <alignment horizontal="center" vertical="center"/>
    </xf>
    <xf numFmtId="0" fontId="45" fillId="0" borderId="2" xfId="0" applyFont="1" applyFill="1" applyBorder="1" applyAlignment="1">
      <alignment horizontal="center" vertical="center"/>
    </xf>
    <xf numFmtId="0" fontId="98" fillId="0" borderId="1" xfId="0" applyFont="1" applyFill="1" applyBorder="1" applyAlignment="1">
      <alignment horizontal="center" vertical="center"/>
    </xf>
    <xf numFmtId="49" fontId="87" fillId="12" borderId="1" xfId="0" applyNumberFormat="1" applyFont="1" applyFill="1" applyBorder="1" applyAlignment="1">
      <alignment horizontal="left" vertical="center" wrapText="1"/>
    </xf>
    <xf numFmtId="0" fontId="87" fillId="0" borderId="1" xfId="0" applyFont="1" applyFill="1" applyBorder="1" applyAlignment="1">
      <alignment horizontal="left" vertical="center" wrapText="1"/>
    </xf>
    <xf numFmtId="49" fontId="90" fillId="12" borderId="1" xfId="0" applyNumberFormat="1" applyFont="1" applyFill="1" applyBorder="1" applyAlignment="1">
      <alignment horizontal="left" vertical="center" wrapText="1"/>
    </xf>
    <xf numFmtId="0" fontId="87" fillId="12" borderId="1" xfId="0" applyFont="1" applyFill="1" applyBorder="1" applyAlignment="1">
      <alignment horizontal="left" vertical="center"/>
    </xf>
    <xf numFmtId="0" fontId="87" fillId="0" borderId="4" xfId="0" applyFont="1" applyFill="1" applyBorder="1" applyAlignment="1">
      <alignment horizontal="center" vertical="center"/>
    </xf>
    <xf numFmtId="0" fontId="87" fillId="12" borderId="4" xfId="0" applyFont="1" applyFill="1" applyBorder="1" applyAlignment="1">
      <alignment horizontal="left" vertical="center"/>
    </xf>
    <xf numFmtId="0" fontId="87" fillId="0" borderId="4" xfId="0" applyFont="1" applyFill="1" applyBorder="1" applyAlignment="1">
      <alignment horizontal="left" vertical="center" wrapText="1"/>
    </xf>
    <xf numFmtId="0" fontId="87" fillId="0" borderId="6" xfId="0" applyFont="1" applyFill="1" applyBorder="1" applyAlignment="1">
      <alignment horizontal="center" vertical="center"/>
    </xf>
    <xf numFmtId="0" fontId="87" fillId="12" borderId="6" xfId="0" applyFont="1" applyFill="1" applyBorder="1" applyAlignment="1">
      <alignment horizontal="left" vertical="center"/>
    </xf>
    <xf numFmtId="0" fontId="87" fillId="0" borderId="6" xfId="0" applyFont="1" applyFill="1" applyBorder="1" applyAlignment="1">
      <alignment horizontal="left" vertical="center" wrapText="1"/>
    </xf>
    <xf numFmtId="0" fontId="87" fillId="12" borderId="10" xfId="0" applyFont="1" applyFill="1" applyBorder="1" applyAlignment="1">
      <alignment horizontal="left" vertical="center"/>
    </xf>
    <xf numFmtId="0" fontId="43" fillId="0" borderId="1" xfId="0" applyFont="1" applyFill="1" applyBorder="1" applyAlignment="1">
      <alignment horizontal="center" vertical="center"/>
    </xf>
    <xf numFmtId="0" fontId="90" fillId="12" borderId="1" xfId="0" applyFont="1" applyFill="1" applyBorder="1" applyAlignment="1">
      <alignment horizontal="left" vertical="center"/>
    </xf>
    <xf numFmtId="0" fontId="88" fillId="0" borderId="1" xfId="0" applyFont="1" applyFill="1" applyBorder="1" applyAlignment="1">
      <alignment horizontal="center" vertical="top"/>
    </xf>
    <xf numFmtId="0" fontId="88" fillId="0" borderId="1" xfId="0" applyFont="1" applyFill="1" applyBorder="1" applyAlignment="1">
      <alignment vertical="top" wrapText="1"/>
    </xf>
    <xf numFmtId="49" fontId="87" fillId="13" borderId="1" xfId="0" applyNumberFormat="1" applyFont="1" applyFill="1" applyBorder="1" applyAlignment="1">
      <alignment horizontal="left" vertical="center" wrapText="1"/>
    </xf>
    <xf numFmtId="0" fontId="87" fillId="2" borderId="1" xfId="0" applyFont="1" applyFill="1" applyBorder="1" applyAlignment="1">
      <alignment horizontal="center" vertical="center"/>
    </xf>
    <xf numFmtId="0" fontId="87" fillId="2" borderId="1" xfId="0" applyFont="1" applyFill="1" applyBorder="1" applyAlignment="1">
      <alignment vertical="center" wrapText="1"/>
    </xf>
    <xf numFmtId="0" fontId="87" fillId="0" borderId="1" xfId="0" applyFont="1" applyFill="1" applyBorder="1" applyAlignment="1">
      <alignment horizontal="center" vertical="center" wrapText="1"/>
    </xf>
    <xf numFmtId="0" fontId="88" fillId="0" borderId="4" xfId="0" applyFont="1" applyFill="1" applyBorder="1" applyAlignment="1">
      <alignment horizontal="center" vertical="center"/>
    </xf>
    <xf numFmtId="49" fontId="90" fillId="13" borderId="1" xfId="0" applyNumberFormat="1" applyFont="1" applyFill="1" applyBorder="1" applyAlignment="1">
      <alignment horizontal="left" vertical="center" wrapText="1"/>
    </xf>
    <xf numFmtId="49" fontId="90" fillId="13" borderId="4" xfId="0" applyNumberFormat="1" applyFont="1" applyFill="1" applyBorder="1" applyAlignment="1">
      <alignment vertical="center" wrapText="1"/>
    </xf>
    <xf numFmtId="49" fontId="90" fillId="13" borderId="4" xfId="0" applyNumberFormat="1" applyFont="1" applyFill="1" applyBorder="1" applyAlignment="1">
      <alignment horizontal="left" vertical="center" wrapText="1"/>
    </xf>
    <xf numFmtId="49" fontId="87" fillId="4" borderId="1" xfId="0" applyNumberFormat="1" applyFont="1" applyFill="1" applyBorder="1" applyAlignment="1">
      <alignment horizontal="left" vertical="center" wrapText="1"/>
    </xf>
    <xf numFmtId="0" fontId="45" fillId="0" borderId="1"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87" fillId="14" borderId="1" xfId="0" applyFont="1" applyFill="1" applyBorder="1" applyAlignment="1">
      <alignment vertical="center"/>
    </xf>
    <xf numFmtId="166" fontId="88" fillId="0" borderId="1" xfId="0" applyNumberFormat="1" applyFont="1" applyFill="1" applyBorder="1" applyAlignment="1">
      <alignment horizontal="center" vertical="center"/>
    </xf>
    <xf numFmtId="0" fontId="90" fillId="15" borderId="4" xfId="0" applyFont="1" applyFill="1" applyBorder="1" applyAlignment="1">
      <alignment horizontal="left" vertical="center"/>
    </xf>
    <xf numFmtId="0" fontId="87" fillId="15" borderId="1" xfId="0" applyFont="1" applyFill="1" applyBorder="1" applyAlignment="1">
      <alignment vertical="center"/>
    </xf>
    <xf numFmtId="0" fontId="90" fillId="15" borderId="1" xfId="0" applyFont="1" applyFill="1" applyBorder="1" applyAlignment="1">
      <alignment vertical="center"/>
    </xf>
    <xf numFmtId="0" fontId="88" fillId="0" borderId="1" xfId="0" applyFont="1" applyFill="1" applyBorder="1" applyAlignment="1">
      <alignment horizontal="left" vertical="center" wrapText="1"/>
    </xf>
    <xf numFmtId="0" fontId="88" fillId="0" borderId="6" xfId="0" applyFont="1" applyFill="1" applyBorder="1" applyAlignment="1">
      <alignment horizontal="center" vertical="center"/>
    </xf>
    <xf numFmtId="0" fontId="88" fillId="0" borderId="6" xfId="0" applyFont="1" applyFill="1" applyBorder="1" applyAlignment="1">
      <alignment horizontal="left" vertical="center" wrapText="1"/>
    </xf>
    <xf numFmtId="49" fontId="87" fillId="16" borderId="1" xfId="0" applyNumberFormat="1" applyFont="1" applyFill="1" applyBorder="1" applyAlignment="1">
      <alignment horizontal="left" vertical="center" wrapText="1"/>
    </xf>
    <xf numFmtId="49" fontId="90" fillId="16" borderId="1" xfId="0" applyNumberFormat="1" applyFont="1" applyFill="1" applyBorder="1" applyAlignment="1">
      <alignment horizontal="left" vertical="center" wrapText="1"/>
    </xf>
    <xf numFmtId="0" fontId="90" fillId="16" borderId="1" xfId="0" applyFont="1" applyFill="1" applyBorder="1" applyAlignment="1">
      <alignment vertical="top"/>
    </xf>
    <xf numFmtId="0" fontId="88" fillId="0" borderId="2" xfId="0" applyFont="1" applyFill="1" applyBorder="1" applyAlignment="1">
      <alignment horizontal="center" vertical="top"/>
    </xf>
    <xf numFmtId="0" fontId="87" fillId="17" borderId="1" xfId="0" applyFont="1" applyFill="1" applyBorder="1" applyAlignment="1">
      <alignment horizontal="left" vertical="center"/>
    </xf>
    <xf numFmtId="0" fontId="88" fillId="0" borderId="1" xfId="0" applyFont="1" applyFill="1" applyBorder="1" applyAlignment="1">
      <alignment wrapText="1"/>
    </xf>
    <xf numFmtId="0" fontId="90" fillId="17" borderId="1" xfId="0" applyFont="1" applyFill="1" applyBorder="1" applyAlignment="1">
      <alignment vertical="center"/>
    </xf>
    <xf numFmtId="0" fontId="87" fillId="17" borderId="4" xfId="0" applyFont="1" applyFill="1" applyBorder="1" applyAlignment="1">
      <alignment horizontal="left" vertical="center"/>
    </xf>
    <xf numFmtId="0" fontId="87" fillId="17" borderId="4" xfId="0" applyFont="1" applyFill="1" applyBorder="1" applyAlignment="1">
      <alignment horizontal="left" vertical="center"/>
    </xf>
    <xf numFmtId="0" fontId="87" fillId="17" borderId="6" xfId="0" applyFont="1" applyFill="1" applyBorder="1" applyAlignment="1">
      <alignment horizontal="left" vertical="center"/>
    </xf>
    <xf numFmtId="0" fontId="87" fillId="0" borderId="10" xfId="0" applyFont="1" applyFill="1" applyBorder="1" applyAlignment="1">
      <alignment horizontal="center" vertical="center"/>
    </xf>
    <xf numFmtId="0" fontId="87" fillId="0" borderId="10" xfId="0" applyFont="1" applyFill="1" applyBorder="1" applyAlignment="1">
      <alignment horizontal="left" vertical="center" wrapText="1"/>
    </xf>
    <xf numFmtId="0" fontId="87" fillId="17" borderId="4" xfId="0" applyFont="1" applyFill="1" applyBorder="1" applyAlignment="1">
      <alignment vertical="center"/>
    </xf>
    <xf numFmtId="0" fontId="87" fillId="0" borderId="4" xfId="0" applyFont="1" applyFill="1" applyBorder="1" applyAlignment="1">
      <alignment horizontal="center" vertical="center" wrapText="1"/>
    </xf>
    <xf numFmtId="2" fontId="88" fillId="0" borderId="4" xfId="0" applyNumberFormat="1" applyFont="1" applyFill="1" applyBorder="1" applyAlignment="1">
      <alignment horizontal="center" vertical="center"/>
    </xf>
    <xf numFmtId="0" fontId="45" fillId="0" borderId="4" xfId="0" applyFont="1" applyFill="1" applyBorder="1" applyAlignment="1">
      <alignment horizontal="center" vertical="center"/>
    </xf>
    <xf numFmtId="0" fontId="45" fillId="0" borderId="7" xfId="0" applyFont="1" applyFill="1" applyBorder="1" applyAlignment="1">
      <alignment horizontal="center" vertical="center"/>
    </xf>
    <xf numFmtId="49" fontId="87" fillId="18" borderId="1" xfId="0" applyNumberFormat="1" applyFont="1" applyFill="1" applyBorder="1" applyAlignment="1">
      <alignment horizontal="left" vertical="center" wrapText="1"/>
    </xf>
    <xf numFmtId="0" fontId="87" fillId="0" borderId="6" xfId="0" applyFont="1" applyFill="1" applyBorder="1" applyAlignment="1">
      <alignment horizontal="center" vertical="center"/>
    </xf>
    <xf numFmtId="49" fontId="87" fillId="0" borderId="1" xfId="0" applyNumberFormat="1" applyFont="1" applyFill="1" applyBorder="1" applyAlignment="1">
      <alignment horizontal="left" vertical="center" wrapText="1"/>
    </xf>
    <xf numFmtId="0" fontId="99" fillId="0" borderId="2" xfId="0" applyFont="1" applyFill="1" applyBorder="1" applyAlignment="1">
      <alignment horizontal="center" vertical="center"/>
    </xf>
    <xf numFmtId="0" fontId="100" fillId="0" borderId="3" xfId="0" applyFont="1" applyFill="1" applyBorder="1" applyAlignment="1">
      <alignment horizontal="center" vertical="center"/>
    </xf>
    <xf numFmtId="0" fontId="99" fillId="0" borderId="3" xfId="0" applyFont="1" applyFill="1" applyBorder="1" applyAlignment="1">
      <alignment horizontal="center" vertical="center"/>
    </xf>
    <xf numFmtId="0" fontId="99" fillId="0" borderId="5" xfId="0" applyFont="1" applyFill="1" applyBorder="1" applyAlignment="1">
      <alignment horizontal="center" vertical="center"/>
    </xf>
    <xf numFmtId="0" fontId="99" fillId="0" borderId="1" xfId="0" applyFont="1" applyFill="1" applyBorder="1" applyAlignment="1">
      <alignment horizontal="center" vertical="center"/>
    </xf>
    <xf numFmtId="166" fontId="99" fillId="0" borderId="1" xfId="0" applyNumberFormat="1" applyFont="1" applyFill="1" applyBorder="1" applyAlignment="1">
      <alignment horizontal="center" vertical="center"/>
    </xf>
    <xf numFmtId="0" fontId="87" fillId="0" borderId="0" xfId="0" applyFont="1" applyFill="1" applyBorder="1" applyAlignment="1">
      <alignment horizontal="center" vertical="center"/>
    </xf>
    <xf numFmtId="49" fontId="90" fillId="0" borderId="0" xfId="0" applyNumberFormat="1" applyFont="1" applyFill="1" applyBorder="1" applyAlignment="1">
      <alignment horizontal="left" vertical="center" wrapText="1"/>
    </xf>
    <xf numFmtId="0" fontId="87" fillId="0" borderId="0" xfId="0" applyFont="1" applyFill="1" applyBorder="1" applyAlignment="1">
      <alignment vertical="center" wrapText="1"/>
    </xf>
    <xf numFmtId="2" fontId="88" fillId="2" borderId="0" xfId="0" applyNumberFormat="1" applyFont="1" applyFill="1" applyBorder="1" applyAlignment="1">
      <alignment horizontal="center" vertical="center"/>
    </xf>
    <xf numFmtId="2" fontId="88" fillId="2" borderId="0" xfId="0" applyNumberFormat="1" applyFont="1" applyFill="1" applyAlignment="1">
      <alignment horizontal="center" vertical="center"/>
    </xf>
    <xf numFmtId="2" fontId="87" fillId="0" borderId="0" xfId="0" applyNumberFormat="1" applyFont="1" applyFill="1" applyBorder="1" applyAlignment="1">
      <alignment horizontal="center" vertical="center"/>
    </xf>
    <xf numFmtId="0" fontId="87" fillId="7" borderId="1" xfId="0" applyFont="1" applyFill="1" applyBorder="1" applyAlignment="1">
      <alignment horizontal="center" vertical="center"/>
    </xf>
    <xf numFmtId="0" fontId="101" fillId="2" borderId="1" xfId="0" applyFont="1" applyFill="1" applyBorder="1" applyAlignment="1">
      <alignment vertical="center"/>
    </xf>
    <xf numFmtId="0" fontId="85" fillId="2" borderId="1" xfId="0" applyFont="1" applyFill="1" applyBorder="1" applyAlignment="1">
      <alignment vertical="center"/>
    </xf>
    <xf numFmtId="0" fontId="101" fillId="2" borderId="2" xfId="0" applyFont="1" applyFill="1" applyBorder="1" applyAlignment="1">
      <alignment vertical="center"/>
    </xf>
    <xf numFmtId="0" fontId="101" fillId="2" borderId="2" xfId="0" applyFont="1" applyFill="1" applyBorder="1" applyAlignment="1">
      <alignment horizontal="center" vertical="center"/>
    </xf>
    <xf numFmtId="0" fontId="101" fillId="2" borderId="1" xfId="0" applyFont="1" applyFill="1" applyBorder="1" applyAlignment="1">
      <alignment horizontal="center" vertical="center"/>
    </xf>
    <xf numFmtId="49" fontId="93" fillId="19" borderId="1" xfId="0" applyNumberFormat="1" applyFont="1" applyFill="1" applyBorder="1" applyAlignment="1">
      <alignment horizontal="left" vertical="center" wrapText="1"/>
    </xf>
    <xf numFmtId="2" fontId="0" fillId="0" borderId="1" xfId="0" applyNumberFormat="1" applyFont="1" applyFill="1" applyBorder="1" applyAlignment="1">
      <alignment horizontal="center" vertical="center"/>
    </xf>
    <xf numFmtId="0" fontId="101" fillId="0" borderId="1" xfId="0" applyFont="1" applyFill="1" applyBorder="1" applyAlignment="1">
      <alignment horizontal="center" vertical="center" wrapText="1"/>
    </xf>
    <xf numFmtId="0" fontId="93" fillId="19" borderId="1"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98" fillId="0" borderId="0"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0" xfId="0" applyFont="1" applyFill="1" applyAlignment="1">
      <alignment horizontal="center" vertical="center"/>
    </xf>
    <xf numFmtId="0" fontId="0" fillId="0" borderId="0" xfId="0" applyFont="1" applyFill="1" applyAlignment="1">
      <alignment horizontal="center" vertical="center"/>
    </xf>
    <xf numFmtId="0" fontId="20" fillId="0" borderId="0" xfId="0" applyFont="1" applyAlignment="1">
      <alignment horizontal="left" vertical="center"/>
    </xf>
    <xf numFmtId="0" fontId="20" fillId="0" borderId="0" xfId="0" applyFont="1" applyAlignment="1">
      <alignment horizontal="left"/>
    </xf>
    <xf numFmtId="0" fontId="102" fillId="0" borderId="9" xfId="0" applyFont="1" applyBorder="1" applyAlignment="1">
      <alignment horizontal="center" vertical="center" wrapText="1"/>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13" fillId="2" borderId="6" xfId="0" applyFont="1" applyFill="1" applyBorder="1" applyAlignment="1">
      <alignment horizontal="center" vertical="center" wrapText="1"/>
    </xf>
    <xf numFmtId="2" fontId="26" fillId="0" borderId="1" xfId="0" applyNumberFormat="1" applyFont="1" applyBorder="1" applyAlignment="1">
      <alignment horizontal="right" vertical="center" wrapText="1"/>
    </xf>
    <xf numFmtId="0" fontId="77" fillId="2" borderId="1" xfId="0" applyFont="1" applyFill="1" applyBorder="1" applyAlignment="1">
      <alignment vertical="center" wrapText="1"/>
    </xf>
    <xf numFmtId="0" fontId="6" fillId="0" borderId="1" xfId="0" applyFont="1" applyFill="1" applyBorder="1" applyAlignment="1">
      <alignment vertical="center" wrapText="1"/>
    </xf>
    <xf numFmtId="2" fontId="26" fillId="0" borderId="1" xfId="0" applyNumberFormat="1" applyFont="1" applyBorder="1" applyAlignment="1">
      <alignment horizontal="right" vertical="center"/>
    </xf>
    <xf numFmtId="2" fontId="26" fillId="0" borderId="1" xfId="0" applyNumberFormat="1" applyFont="1" applyBorder="1" applyAlignment="1">
      <alignment horizontal="right" vertical="top"/>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37" fillId="0" borderId="1" xfId="0" applyFont="1" applyFill="1" applyBorder="1" applyAlignment="1">
      <alignment horizontal="left" wrapText="1"/>
    </xf>
    <xf numFmtId="0" fontId="37" fillId="0" borderId="1" xfId="0" applyFont="1" applyFill="1" applyBorder="1" applyAlignment="1">
      <alignment horizontal="left" vertical="top" wrapText="1"/>
    </xf>
    <xf numFmtId="0" fontId="104" fillId="0" borderId="2" xfId="0" applyFont="1" applyBorder="1" applyAlignment="1">
      <alignment horizontal="left" vertical="center" wrapText="1"/>
    </xf>
    <xf numFmtId="0" fontId="29" fillId="0" borderId="1" xfId="0" applyFont="1" applyBorder="1" applyAlignment="1">
      <alignment horizontal="left" vertical="center" wrapText="1"/>
    </xf>
    <xf numFmtId="0" fontId="10" fillId="0" borderId="1" xfId="0" applyFont="1" applyBorder="1" applyAlignment="1">
      <alignment horizontal="center"/>
    </xf>
    <xf numFmtId="0" fontId="37" fillId="0" borderId="1" xfId="0" applyFont="1" applyBorder="1" applyAlignment="1">
      <alignment horizontal="left" wrapText="1"/>
    </xf>
    <xf numFmtId="1" fontId="0" fillId="0" borderId="1" xfId="0" applyNumberFormat="1" applyBorder="1" applyAlignment="1">
      <alignment horizontal="center" vertical="center" wrapText="1"/>
    </xf>
    <xf numFmtId="0" fontId="26" fillId="0" borderId="1" xfId="0" applyFont="1" applyBorder="1" applyAlignment="1">
      <alignment horizontal="center" vertical="center" wrapText="1"/>
    </xf>
    <xf numFmtId="0" fontId="6" fillId="2" borderId="1" xfId="0" applyFont="1" applyFill="1" applyBorder="1" applyAlignment="1">
      <alignment vertical="top"/>
    </xf>
    <xf numFmtId="165" fontId="0" fillId="0" borderId="1" xfId="0" applyNumberFormat="1" applyBorder="1" applyAlignment="1">
      <alignment horizontal="center" vertical="center" wrapText="1"/>
    </xf>
    <xf numFmtId="0" fontId="105" fillId="0" borderId="2" xfId="0" applyFont="1" applyFill="1" applyBorder="1" applyAlignment="1">
      <alignment horizontal="left" vertical="center"/>
    </xf>
    <xf numFmtId="0" fontId="29" fillId="0" borderId="2" xfId="0" applyFont="1" applyBorder="1" applyAlignment="1">
      <alignment horizontal="left" vertical="center" wrapText="1"/>
    </xf>
    <xf numFmtId="0" fontId="105" fillId="0" borderId="1" xfId="0" applyFont="1" applyFill="1" applyBorder="1" applyAlignment="1">
      <alignment horizontal="left" vertical="center" wrapText="1"/>
    </xf>
    <xf numFmtId="0" fontId="6" fillId="2" borderId="1" xfId="0" applyFont="1" applyFill="1" applyBorder="1" applyAlignment="1">
      <alignment horizontal="left" wrapText="1"/>
    </xf>
    <xf numFmtId="0" fontId="37" fillId="0" borderId="1" xfId="0" applyFont="1" applyFill="1" applyBorder="1" applyAlignment="1">
      <alignment vertical="center" wrapText="1"/>
    </xf>
    <xf numFmtId="0" fontId="26" fillId="0" borderId="1" xfId="0" applyFont="1" applyBorder="1" applyAlignment="1">
      <alignment horizontal="center"/>
    </xf>
    <xf numFmtId="1" fontId="0" fillId="0" borderId="1" xfId="0" applyNumberFormat="1" applyBorder="1" applyAlignment="1">
      <alignment horizontal="center" wrapText="1"/>
    </xf>
    <xf numFmtId="0" fontId="5" fillId="2" borderId="2" xfId="0" applyFont="1" applyFill="1" applyBorder="1" applyAlignment="1">
      <alignment wrapText="1"/>
    </xf>
    <xf numFmtId="0" fontId="37" fillId="0" borderId="2" xfId="0" applyFont="1" applyFill="1" applyBorder="1" applyAlignment="1">
      <alignment horizontal="center" wrapText="1"/>
    </xf>
    <xf numFmtId="0" fontId="27" fillId="0" borderId="1" xfId="6" applyFont="1" applyFill="1" applyBorder="1" applyAlignment="1">
      <alignment horizontal="justify" vertical="center" wrapText="1"/>
    </xf>
    <xf numFmtId="0" fontId="27" fillId="0" borderId="1" xfId="6" applyFont="1" applyFill="1" applyBorder="1" applyAlignment="1">
      <alignment horizontal="center" vertical="center"/>
    </xf>
    <xf numFmtId="168" fontId="27" fillId="0" borderId="1" xfId="7" applyNumberFormat="1" applyFont="1" applyBorder="1" applyAlignment="1">
      <alignment horizontal="center" vertical="center" wrapText="1"/>
    </xf>
    <xf numFmtId="0" fontId="5"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5" fillId="0" borderId="1" xfId="0" applyFont="1" applyFill="1" applyBorder="1" applyAlignment="1">
      <alignment horizontal="left" vertical="center"/>
    </xf>
    <xf numFmtId="0" fontId="6" fillId="2" borderId="5" xfId="0" applyFont="1" applyFill="1" applyBorder="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6" fillId="2" borderId="1" xfId="0" applyFont="1" applyFill="1" applyBorder="1" applyAlignment="1">
      <alignment horizontal="center"/>
    </xf>
    <xf numFmtId="0" fontId="26" fillId="0" borderId="1" xfId="0" applyFont="1" applyBorder="1"/>
    <xf numFmtId="0" fontId="33" fillId="2"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34" fillId="0" borderId="1" xfId="0" applyFont="1" applyBorder="1" applyAlignment="1">
      <alignment horizontal="center" vertical="center"/>
    </xf>
    <xf numFmtId="0" fontId="17" fillId="0" borderId="1" xfId="0" applyFont="1" applyFill="1" applyBorder="1" applyAlignment="1">
      <alignment horizontal="center"/>
    </xf>
    <xf numFmtId="0" fontId="34" fillId="0" borderId="2" xfId="0" applyFont="1" applyFill="1" applyBorder="1" applyAlignment="1">
      <alignment horizontal="left" vertical="center"/>
    </xf>
    <xf numFmtId="0" fontId="34" fillId="0" borderId="1" xfId="0" applyFont="1" applyFill="1" applyBorder="1" applyAlignment="1">
      <alignment horizontal="left" vertical="center" wrapText="1"/>
    </xf>
    <xf numFmtId="0" fontId="34" fillId="0" borderId="1" xfId="0" applyFont="1" applyBorder="1" applyAlignment="1">
      <alignment horizontal="left" vertical="center" wrapText="1"/>
    </xf>
    <xf numFmtId="0" fontId="0" fillId="0" borderId="1" xfId="0" applyFill="1" applyBorder="1" applyAlignment="1">
      <alignment wrapText="1"/>
    </xf>
    <xf numFmtId="0" fontId="5"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29" fillId="0" borderId="1" xfId="0" applyFont="1" applyBorder="1" applyAlignment="1">
      <alignment horizontal="left" wrapText="1"/>
    </xf>
    <xf numFmtId="0" fontId="77" fillId="0" borderId="3" xfId="0" applyFont="1" applyFill="1" applyBorder="1" applyAlignment="1">
      <alignment horizontal="center" vertical="center"/>
    </xf>
    <xf numFmtId="0" fontId="29" fillId="0" borderId="3" xfId="0" applyFont="1" applyBorder="1" applyAlignment="1">
      <alignment horizontal="left" wrapText="1"/>
    </xf>
    <xf numFmtId="0" fontId="34" fillId="0" borderId="3" xfId="0" applyFont="1" applyBorder="1" applyAlignment="1">
      <alignment horizontal="center" vertical="center"/>
    </xf>
    <xf numFmtId="0" fontId="17" fillId="0" borderId="3" xfId="0" applyFont="1" applyBorder="1" applyAlignment="1">
      <alignment horizontal="center"/>
    </xf>
    <xf numFmtId="0" fontId="17" fillId="0" borderId="3" xfId="0" applyFont="1" applyBorder="1" applyAlignment="1">
      <alignment horizontal="center" vertical="center"/>
    </xf>
    <xf numFmtId="0" fontId="17" fillId="0" borderId="3" xfId="0" applyFont="1" applyFill="1" applyBorder="1" applyAlignment="1">
      <alignment horizontal="center"/>
    </xf>
    <xf numFmtId="0" fontId="6" fillId="0" borderId="3" xfId="0" applyFont="1" applyFill="1" applyBorder="1" applyAlignment="1">
      <alignment horizontal="center" vertical="center"/>
    </xf>
    <xf numFmtId="2" fontId="5" fillId="2" borderId="5" xfId="0" applyNumberFormat="1" applyFont="1" applyFill="1" applyBorder="1" applyAlignment="1">
      <alignment horizontal="center" vertical="center"/>
    </xf>
    <xf numFmtId="0" fontId="20" fillId="2" borderId="7"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12" xfId="0" applyFont="1" applyFill="1" applyBorder="1" applyAlignment="1">
      <alignment horizontal="left" vertical="center"/>
    </xf>
    <xf numFmtId="0" fontId="106" fillId="0" borderId="1" xfId="0" applyFont="1" applyBorder="1" applyAlignment="1">
      <alignment horizontal="left" vertical="center" wrapText="1"/>
    </xf>
    <xf numFmtId="0" fontId="106" fillId="0" borderId="1" xfId="0" applyFont="1" applyFill="1" applyBorder="1" applyAlignment="1">
      <alignment horizontal="left" vertical="center"/>
    </xf>
    <xf numFmtId="1" fontId="106" fillId="0" borderId="1" xfId="0" applyNumberFormat="1" applyFont="1" applyBorder="1" applyAlignment="1">
      <alignment horizontal="center" vertical="center"/>
    </xf>
    <xf numFmtId="0" fontId="106" fillId="0" borderId="1" xfId="0" applyFont="1" applyBorder="1" applyAlignment="1">
      <alignment horizontal="left" vertical="center"/>
    </xf>
    <xf numFmtId="0" fontId="106" fillId="0" borderId="2" xfId="0" applyFont="1" applyBorder="1" applyAlignment="1">
      <alignment horizontal="left" vertical="center" wrapText="1"/>
    </xf>
    <xf numFmtId="0" fontId="107" fillId="0" borderId="1" xfId="0" applyFont="1" applyBorder="1" applyAlignment="1">
      <alignment horizontal="center" vertical="center"/>
    </xf>
    <xf numFmtId="0" fontId="108" fillId="0" borderId="1" xfId="0" applyFont="1" applyBorder="1" applyAlignment="1">
      <alignment horizontal="center" vertical="center"/>
    </xf>
    <xf numFmtId="0" fontId="34" fillId="0" borderId="2" xfId="0" applyFont="1" applyBorder="1" applyAlignment="1">
      <alignment horizontal="left" vertical="center"/>
    </xf>
    <xf numFmtId="0" fontId="106" fillId="0" borderId="1"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2" fontId="109" fillId="0" borderId="1" xfId="0" applyNumberFormat="1" applyFont="1" applyBorder="1" applyAlignment="1">
      <alignment horizontal="center" vertical="center"/>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xf numFmtId="0" fontId="9" fillId="2" borderId="0" xfId="0" applyFont="1" applyFill="1" applyBorder="1" applyAlignment="1">
      <alignment horizontal="left" vertical="center"/>
    </xf>
    <xf numFmtId="0" fontId="9" fillId="2" borderId="15" xfId="0" applyFont="1" applyFill="1" applyBorder="1" applyAlignment="1">
      <alignment horizontal="left" vertical="center"/>
    </xf>
    <xf numFmtId="0" fontId="0" fillId="0" borderId="17" xfId="0" applyBorder="1"/>
    <xf numFmtId="0" fontId="0" fillId="0" borderId="17" xfId="0" applyBorder="1" applyAlignment="1">
      <alignment horizontal="center"/>
    </xf>
    <xf numFmtId="1" fontId="6" fillId="2" borderId="1" xfId="0" applyNumberFormat="1" applyFont="1" applyFill="1" applyBorder="1" applyAlignment="1">
      <alignment vertical="center"/>
    </xf>
    <xf numFmtId="0" fontId="106" fillId="0" borderId="1" xfId="0" applyNumberFormat="1" applyFont="1" applyBorder="1" applyAlignment="1">
      <alignment horizontal="center" vertical="center"/>
    </xf>
    <xf numFmtId="0" fontId="22" fillId="2" borderId="1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8" fillId="2" borderId="1" xfId="0" applyFont="1" applyFill="1" applyBorder="1" applyAlignment="1">
      <alignment horizontal="center" vertical="center"/>
    </xf>
    <xf numFmtId="0" fontId="64" fillId="0" borderId="1" xfId="0" applyFont="1" applyFill="1" applyBorder="1" applyAlignment="1">
      <alignment horizontal="left" wrapText="1"/>
    </xf>
    <xf numFmtId="49" fontId="26" fillId="0" borderId="1" xfId="0" applyNumberFormat="1" applyFont="1" applyBorder="1" applyAlignment="1">
      <alignment horizontal="center" vertical="center" wrapText="1"/>
    </xf>
    <xf numFmtId="49" fontId="6" fillId="2" borderId="1" xfId="0" applyNumberFormat="1" applyFont="1" applyFill="1" applyBorder="1" applyAlignment="1">
      <alignment horizontal="center" vertical="center"/>
    </xf>
    <xf numFmtId="0" fontId="26" fillId="0" borderId="1" xfId="0" applyFont="1" applyFill="1" applyBorder="1" applyAlignment="1">
      <alignment horizontal="left" wrapText="1"/>
    </xf>
    <xf numFmtId="165" fontId="26" fillId="0" borderId="1" xfId="0" applyNumberFormat="1" applyFont="1" applyBorder="1" applyAlignment="1">
      <alignment horizontal="right" vertical="center" wrapText="1"/>
    </xf>
    <xf numFmtId="0" fontId="26" fillId="0" borderId="1" xfId="0" applyFont="1" applyFill="1" applyBorder="1" applyAlignment="1">
      <alignment horizontal="center" vertical="center" wrapText="1"/>
    </xf>
    <xf numFmtId="2" fontId="26" fillId="0" borderId="1" xfId="0" applyNumberFormat="1" applyFont="1" applyFill="1" applyBorder="1" applyAlignment="1">
      <alignment horizontal="right" vertical="center" wrapText="1"/>
    </xf>
    <xf numFmtId="49" fontId="26" fillId="2" borderId="1" xfId="0" applyNumberFormat="1" applyFont="1" applyFill="1" applyBorder="1" applyAlignment="1">
      <alignment horizontal="center" vertical="center" wrapText="1"/>
    </xf>
    <xf numFmtId="0" fontId="26" fillId="0" borderId="6" xfId="0" applyFont="1" applyBorder="1" applyAlignment="1">
      <alignment wrapText="1"/>
    </xf>
    <xf numFmtId="0" fontId="5" fillId="2" borderId="1" xfId="0" applyFont="1" applyFill="1" applyBorder="1"/>
    <xf numFmtId="0" fontId="26" fillId="0" borderId="6" xfId="0" applyFont="1" applyBorder="1" applyAlignment="1"/>
    <xf numFmtId="0" fontId="26" fillId="0" borderId="1" xfId="0" applyFont="1" applyFill="1" applyBorder="1" applyAlignment="1">
      <alignment wrapText="1"/>
    </xf>
    <xf numFmtId="0" fontId="26" fillId="0" borderId="1" xfId="0" applyFont="1" applyBorder="1" applyAlignment="1">
      <alignment wrapText="1"/>
    </xf>
    <xf numFmtId="0" fontId="26" fillId="0" borderId="6" xfId="0" applyFont="1" applyFill="1" applyBorder="1" applyAlignment="1"/>
    <xf numFmtId="0" fontId="26" fillId="0" borderId="6" xfId="0" applyFont="1" applyBorder="1" applyAlignment="1">
      <alignment vertical="center" wrapText="1"/>
    </xf>
    <xf numFmtId="0" fontId="26" fillId="0" borderId="3" xfId="0" applyFont="1" applyBorder="1" applyAlignment="1">
      <alignment horizontal="center" vertical="center" wrapText="1"/>
    </xf>
    <xf numFmtId="0" fontId="5" fillId="2" borderId="3" xfId="0" applyFont="1" applyFill="1" applyBorder="1" applyAlignment="1">
      <alignment horizontal="center"/>
    </xf>
    <xf numFmtId="0" fontId="6" fillId="2" borderId="3" xfId="0" applyFont="1" applyFill="1" applyBorder="1"/>
    <xf numFmtId="49" fontId="6" fillId="2" borderId="3" xfId="0" applyNumberFormat="1" applyFont="1" applyFill="1" applyBorder="1" applyAlignment="1">
      <alignment horizontal="center" vertical="center"/>
    </xf>
    <xf numFmtId="0" fontId="5" fillId="2" borderId="3" xfId="0" applyFont="1" applyFill="1" applyBorder="1"/>
    <xf numFmtId="0" fontId="26" fillId="2" borderId="1" xfId="0" applyFont="1" applyFill="1" applyBorder="1" applyAlignment="1">
      <alignment horizontal="center"/>
    </xf>
    <xf numFmtId="49" fontId="26" fillId="2" borderId="1" xfId="0" applyNumberFormat="1" applyFont="1" applyFill="1" applyBorder="1" applyAlignment="1">
      <alignment horizontal="center" vertical="center"/>
    </xf>
    <xf numFmtId="2" fontId="26" fillId="2" borderId="1" xfId="0" applyNumberFormat="1" applyFont="1" applyFill="1" applyBorder="1" applyAlignment="1">
      <alignment horizontal="center"/>
    </xf>
    <xf numFmtId="49" fontId="103" fillId="2" borderId="2" xfId="0" applyNumberFormat="1" applyFont="1" applyFill="1" applyBorder="1" applyAlignment="1">
      <alignment horizontal="center" vertical="center" wrapText="1"/>
    </xf>
    <xf numFmtId="49" fontId="103" fillId="2" borderId="2" xfId="0" applyNumberFormat="1" applyFont="1" applyFill="1" applyBorder="1" applyAlignment="1">
      <alignment horizontal="center" vertical="top" wrapText="1"/>
    </xf>
    <xf numFmtId="0" fontId="13" fillId="2" borderId="2" xfId="0" applyFont="1" applyFill="1" applyBorder="1" applyAlignment="1">
      <alignment horizontal="center" wrapText="1"/>
    </xf>
    <xf numFmtId="0" fontId="77" fillId="0" borderId="1" xfId="0" applyFont="1" applyFill="1" applyBorder="1" applyAlignment="1">
      <alignment horizontal="center" vertical="center"/>
    </xf>
    <xf numFmtId="0" fontId="77" fillId="0" borderId="2" xfId="0" applyFont="1" applyFill="1" applyBorder="1" applyAlignment="1">
      <alignment horizontal="center" vertical="center"/>
    </xf>
    <xf numFmtId="0" fontId="0" fillId="0" borderId="16" xfId="0" applyBorder="1" applyAlignment="1">
      <alignment horizontal="center"/>
    </xf>
    <xf numFmtId="0" fontId="18" fillId="2" borderId="2" xfId="0" applyFont="1" applyFill="1" applyBorder="1" applyAlignment="1">
      <alignment horizontal="center"/>
    </xf>
    <xf numFmtId="0" fontId="110" fillId="0" borderId="0" xfId="0" applyFont="1" applyAlignment="1">
      <alignment horizontal="center"/>
    </xf>
    <xf numFmtId="0" fontId="31" fillId="0" borderId="0" xfId="0" applyFont="1"/>
    <xf numFmtId="0" fontId="29" fillId="0" borderId="0" xfId="0" applyFont="1" applyAlignment="1">
      <alignment horizontal="left"/>
    </xf>
    <xf numFmtId="0" fontId="0" fillId="0" borderId="0" xfId="0" applyFont="1" applyAlignment="1"/>
    <xf numFmtId="0" fontId="29" fillId="0" borderId="0" xfId="0" applyFont="1" applyBorder="1" applyAlignment="1">
      <alignment horizontal="left"/>
    </xf>
    <xf numFmtId="0" fontId="81" fillId="0" borderId="0" xfId="0" applyFont="1" applyBorder="1"/>
    <xf numFmtId="0" fontId="31" fillId="0" borderId="1" xfId="0" applyFont="1" applyBorder="1" applyAlignment="1">
      <alignment horizontal="center" vertical="center" wrapText="1"/>
    </xf>
    <xf numFmtId="0" fontId="81" fillId="0" borderId="1" xfId="0" applyFont="1" applyBorder="1"/>
    <xf numFmtId="0" fontId="24" fillId="0" borderId="1" xfId="0" applyFont="1" applyBorder="1" applyAlignment="1">
      <alignment horizontal="center" vertical="center" wrapText="1"/>
    </xf>
    <xf numFmtId="0" fontId="24" fillId="0" borderId="1" xfId="0" applyFont="1" applyBorder="1" applyAlignment="1">
      <alignment horizont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111" fillId="20" borderId="2" xfId="0" applyFont="1" applyFill="1" applyBorder="1" applyAlignment="1">
      <alignment horizontal="center"/>
    </xf>
    <xf numFmtId="0" fontId="111" fillId="20" borderId="5" xfId="0" applyFont="1" applyFill="1" applyBorder="1" applyAlignment="1">
      <alignment horizontal="center"/>
    </xf>
    <xf numFmtId="0" fontId="81" fillId="0" borderId="1" xfId="0" applyFont="1" applyBorder="1"/>
    <xf numFmtId="0" fontId="29" fillId="0" borderId="1" xfId="0" applyFont="1" applyBorder="1"/>
    <xf numFmtId="0" fontId="29" fillId="0" borderId="1" xfId="0" applyFont="1" applyBorder="1" applyAlignment="1">
      <alignment horizontal="center" vertical="center"/>
    </xf>
    <xf numFmtId="0" fontId="25" fillId="0" borderId="1" xfId="0" applyFont="1" applyFill="1" applyBorder="1" applyAlignment="1">
      <alignment horizontal="left" vertical="top" wrapText="1"/>
    </xf>
    <xf numFmtId="0" fontId="81" fillId="0" borderId="1" xfId="0" applyFont="1" applyBorder="1" applyAlignment="1">
      <alignment vertical="top"/>
    </xf>
    <xf numFmtId="0" fontId="81" fillId="0" borderId="1" xfId="0" applyFont="1" applyBorder="1" applyAlignment="1">
      <alignment horizontal="left" vertical="top"/>
    </xf>
    <xf numFmtId="2" fontId="81" fillId="0" borderId="1" xfId="0" applyNumberFormat="1" applyFont="1" applyBorder="1" applyAlignment="1">
      <alignment horizontal="left"/>
    </xf>
    <xf numFmtId="0" fontId="81" fillId="0" borderId="1" xfId="0" applyFont="1" applyBorder="1" applyAlignment="1">
      <alignment horizontal="left"/>
    </xf>
    <xf numFmtId="2" fontId="29" fillId="0" borderId="1" xfId="0" applyNumberFormat="1" applyFont="1" applyBorder="1"/>
    <xf numFmtId="0" fontId="81" fillId="0" borderId="1" xfId="0" applyFont="1" applyBorder="1" applyAlignment="1">
      <alignment horizontal="center" vertical="center"/>
    </xf>
    <xf numFmtId="0" fontId="81" fillId="0" borderId="1" xfId="0" applyFont="1" applyBorder="1" applyAlignment="1">
      <alignment horizontal="left" vertical="center"/>
    </xf>
    <xf numFmtId="2" fontId="81" fillId="0" borderId="1" xfId="0" applyNumberFormat="1" applyFont="1" applyBorder="1" applyAlignment="1">
      <alignment horizontal="left" vertical="center"/>
    </xf>
    <xf numFmtId="0" fontId="25" fillId="0" borderId="1" xfId="0" applyFont="1" applyFill="1" applyBorder="1" applyAlignment="1">
      <alignment horizontal="left" vertical="center" wrapText="1"/>
    </xf>
    <xf numFmtId="2" fontId="81" fillId="0" borderId="1" xfId="0" applyNumberFormat="1" applyFont="1" applyBorder="1" applyAlignment="1">
      <alignment horizontal="left" vertical="top"/>
    </xf>
    <xf numFmtId="169" fontId="81" fillId="0" borderId="1" xfId="0" applyNumberFormat="1" applyFont="1" applyBorder="1" applyAlignment="1">
      <alignment horizontal="left" vertical="top"/>
    </xf>
    <xf numFmtId="0" fontId="29" fillId="0" borderId="1" xfId="0" applyFont="1" applyFill="1" applyBorder="1" applyAlignment="1">
      <alignment horizontal="center" vertical="center"/>
    </xf>
    <xf numFmtId="0" fontId="10" fillId="0" borderId="1" xfId="0" applyFont="1" applyFill="1" applyBorder="1" applyAlignment="1">
      <alignment wrapText="1"/>
    </xf>
    <xf numFmtId="0" fontId="81" fillId="0" borderId="1" xfId="0" applyFont="1" applyFill="1" applyBorder="1" applyAlignment="1">
      <alignment vertical="top"/>
    </xf>
    <xf numFmtId="0" fontId="81" fillId="0" borderId="1" xfId="0" applyFont="1" applyFill="1" applyBorder="1" applyAlignment="1">
      <alignment horizontal="left"/>
    </xf>
    <xf numFmtId="0" fontId="29" fillId="0" borderId="1" xfId="0" applyFont="1" applyFill="1" applyBorder="1"/>
    <xf numFmtId="2" fontId="0" fillId="0" borderId="1" xfId="0" applyNumberFormat="1" applyFont="1" applyFill="1" applyBorder="1" applyAlignment="1">
      <alignment horizontal="left" vertical="center"/>
    </xf>
    <xf numFmtId="0" fontId="5" fillId="0" borderId="1" xfId="0" applyFont="1" applyFill="1" applyBorder="1" applyAlignment="1">
      <alignment horizontal="center" vertical="center"/>
    </xf>
    <xf numFmtId="0" fontId="25" fillId="0" borderId="1" xfId="0" applyFont="1" applyFill="1" applyBorder="1" applyAlignment="1">
      <alignment wrapText="1"/>
    </xf>
    <xf numFmtId="0" fontId="31" fillId="20" borderId="2" xfId="0" applyFont="1" applyFill="1" applyBorder="1" applyAlignment="1">
      <alignment horizontal="center"/>
    </xf>
    <xf numFmtId="0" fontId="31" fillId="20" borderId="5" xfId="0" applyFont="1" applyFill="1" applyBorder="1" applyAlignment="1">
      <alignment horizontal="center"/>
    </xf>
    <xf numFmtId="0" fontId="25" fillId="0" borderId="1" xfId="0" applyFont="1" applyBorder="1" applyAlignment="1">
      <alignment horizontal="left" vertical="top" wrapText="1"/>
    </xf>
    <xf numFmtId="169" fontId="81" fillId="0" borderId="1" xfId="0" applyNumberFormat="1" applyFont="1" applyBorder="1" applyAlignment="1">
      <alignment horizontal="left" vertical="center"/>
    </xf>
    <xf numFmtId="0" fontId="29" fillId="0" borderId="1" xfId="0" applyFont="1" applyBorder="1" applyAlignment="1">
      <alignment horizontal="center"/>
    </xf>
    <xf numFmtId="0" fontId="29" fillId="0" borderId="4" xfId="0" applyFont="1" applyFill="1" applyBorder="1" applyAlignment="1">
      <alignment horizontal="center" vertical="center"/>
    </xf>
    <xf numFmtId="0" fontId="10" fillId="0" borderId="5" xfId="0" applyFont="1" applyFill="1" applyBorder="1" applyAlignment="1">
      <alignment vertical="center" wrapText="1"/>
    </xf>
    <xf numFmtId="0" fontId="0" fillId="0" borderId="1" xfId="0" applyFill="1" applyBorder="1" applyAlignment="1">
      <alignment horizontal="left" vertical="center"/>
    </xf>
    <xf numFmtId="0" fontId="81" fillId="0" borderId="1" xfId="0" applyFont="1" applyBorder="1" applyAlignment="1">
      <alignment vertical="top" wrapText="1"/>
    </xf>
    <xf numFmtId="0" fontId="81" fillId="0" borderId="1" xfId="0" applyFont="1" applyFill="1" applyBorder="1" applyAlignment="1">
      <alignment wrapText="1"/>
    </xf>
    <xf numFmtId="165" fontId="81" fillId="0" borderId="1" xfId="0" applyNumberFormat="1" applyFont="1" applyBorder="1" applyAlignment="1">
      <alignment horizontal="left"/>
    </xf>
    <xf numFmtId="170" fontId="81" fillId="0" borderId="1" xfId="0" applyNumberFormat="1" applyFont="1" applyBorder="1" applyAlignment="1">
      <alignment horizontal="left" wrapText="1"/>
    </xf>
    <xf numFmtId="0" fontId="29" fillId="0" borderId="4" xfId="0" applyFont="1" applyFill="1" applyBorder="1" applyAlignment="1">
      <alignment vertical="center"/>
    </xf>
    <xf numFmtId="0" fontId="25" fillId="0" borderId="1" xfId="0" applyFont="1" applyBorder="1" applyAlignment="1">
      <alignment horizontal="left" vertical="center" wrapText="1"/>
    </xf>
    <xf numFmtId="2" fontId="81" fillId="0" borderId="1" xfId="0" applyNumberFormat="1" applyFont="1" applyBorder="1" applyAlignment="1">
      <alignment horizontal="left" vertical="center" wrapText="1"/>
    </xf>
    <xf numFmtId="0" fontId="81" fillId="0" borderId="1" xfId="0" applyFont="1" applyBorder="1" applyAlignment="1">
      <alignment wrapText="1"/>
    </xf>
    <xf numFmtId="169" fontId="81" fillId="0" borderId="1" xfId="0" applyNumberFormat="1" applyFont="1" applyBorder="1" applyAlignment="1">
      <alignment horizontal="left"/>
    </xf>
    <xf numFmtId="2" fontId="81" fillId="0" borderId="1" xfId="0" applyNumberFormat="1" applyFont="1" applyBorder="1" applyAlignment="1">
      <alignment horizontal="left" vertical="top" wrapText="1"/>
    </xf>
    <xf numFmtId="0" fontId="29" fillId="0" borderId="4" xfId="0" applyFont="1" applyBorder="1" applyAlignment="1">
      <alignment horizontal="center" vertical="center"/>
    </xf>
    <xf numFmtId="0" fontId="29" fillId="0" borderId="6" xfId="0" applyFont="1" applyBorder="1" applyAlignment="1">
      <alignment horizontal="center" vertical="center"/>
    </xf>
    <xf numFmtId="2" fontId="81" fillId="0" borderId="1" xfId="0" applyNumberFormat="1" applyFont="1" applyBorder="1" applyAlignment="1">
      <alignment horizontal="left" wrapText="1"/>
    </xf>
    <xf numFmtId="0" fontId="25" fillId="0" borderId="1" xfId="0" applyFont="1" applyBorder="1" applyAlignment="1">
      <alignment wrapText="1"/>
    </xf>
    <xf numFmtId="164" fontId="29" fillId="0" borderId="1" xfId="0" applyNumberFormat="1" applyFont="1" applyBorder="1"/>
    <xf numFmtId="0" fontId="29" fillId="0" borderId="4" xfId="0" applyFont="1" applyFill="1" applyBorder="1" applyAlignment="1">
      <alignment horizontal="center" vertical="center"/>
    </xf>
    <xf numFmtId="0" fontId="29" fillId="0" borderId="6" xfId="0" applyFont="1" applyFill="1" applyBorder="1" applyAlignment="1">
      <alignment horizontal="center" vertical="center"/>
    </xf>
    <xf numFmtId="165" fontId="81" fillId="0" borderId="1" xfId="0" applyNumberFormat="1" applyFont="1" applyBorder="1" applyAlignment="1">
      <alignment horizontal="left" vertical="top" wrapText="1"/>
    </xf>
    <xf numFmtId="0" fontId="29" fillId="0" borderId="18" xfId="0" applyFont="1" applyFill="1" applyBorder="1" applyAlignment="1">
      <alignment horizontal="center" vertical="center"/>
    </xf>
    <xf numFmtId="0" fontId="29" fillId="0" borderId="10" xfId="0" applyFont="1" applyFill="1" applyBorder="1" applyAlignment="1">
      <alignment horizontal="center" vertical="center"/>
    </xf>
    <xf numFmtId="165" fontId="29" fillId="0" borderId="1" xfId="0" applyNumberFormat="1" applyFont="1" applyBorder="1"/>
    <xf numFmtId="0" fontId="25" fillId="21" borderId="1" xfId="0" applyFont="1" applyFill="1" applyBorder="1" applyAlignment="1">
      <alignment horizontal="left" vertical="top" wrapText="1"/>
    </xf>
    <xf numFmtId="0" fontId="81" fillId="22" borderId="1" xfId="0" applyFont="1" applyFill="1" applyBorder="1" applyAlignment="1">
      <alignment horizontal="left" vertical="top"/>
    </xf>
    <xf numFmtId="2" fontId="81" fillId="22" borderId="1" xfId="0" applyNumberFormat="1" applyFont="1" applyFill="1" applyBorder="1" applyAlignment="1">
      <alignment horizontal="left" wrapText="1"/>
    </xf>
    <xf numFmtId="0" fontId="29" fillId="0" borderId="1" xfId="0" applyFont="1" applyBorder="1" applyAlignment="1">
      <alignment horizontal="left"/>
    </xf>
    <xf numFmtId="2" fontId="81" fillId="22" borderId="1" xfId="0" applyNumberFormat="1" applyFont="1" applyFill="1" applyBorder="1" applyAlignment="1">
      <alignment horizontal="left" vertical="top"/>
    </xf>
    <xf numFmtId="0" fontId="81" fillId="22" borderId="1" xfId="0" applyFont="1" applyFill="1" applyBorder="1" applyAlignment="1">
      <alignment horizontal="left"/>
    </xf>
    <xf numFmtId="2" fontId="81" fillId="22" borderId="1" xfId="0" applyNumberFormat="1" applyFont="1" applyFill="1" applyBorder="1" applyAlignment="1">
      <alignment horizontal="left" vertical="center"/>
    </xf>
    <xf numFmtId="0" fontId="29" fillId="0" borderId="1" xfId="0" applyFont="1" applyBorder="1" applyAlignment="1">
      <alignment horizontal="left" vertical="center"/>
    </xf>
    <xf numFmtId="0" fontId="29" fillId="23" borderId="1" xfId="0" applyFont="1" applyFill="1" applyBorder="1" applyAlignment="1">
      <alignment horizontal="center" vertical="center"/>
    </xf>
    <xf numFmtId="0" fontId="25" fillId="23" borderId="1" xfId="0" applyFont="1" applyFill="1" applyBorder="1" applyAlignment="1">
      <alignment horizontal="left" vertical="top" wrapText="1"/>
    </xf>
    <xf numFmtId="0" fontId="5" fillId="24" borderId="1" xfId="0" applyFont="1" applyFill="1" applyBorder="1" applyAlignment="1">
      <alignment horizontal="center" vertical="center"/>
    </xf>
    <xf numFmtId="0" fontId="29" fillId="0" borderId="0" xfId="0" applyFont="1" applyAlignment="1">
      <alignment horizontal="center"/>
    </xf>
    <xf numFmtId="0" fontId="9" fillId="0" borderId="0" xfId="0" applyFont="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30" fillId="0" borderId="1" xfId="0" applyFont="1" applyBorder="1" applyAlignment="1">
      <alignment horizontal="center" wrapText="1"/>
    </xf>
    <xf numFmtId="0" fontId="20" fillId="0" borderId="1" xfId="0" applyFont="1" applyBorder="1" applyAlignment="1">
      <alignment vertical="center" wrapText="1"/>
    </xf>
    <xf numFmtId="0" fontId="112" fillId="0" borderId="1" xfId="0" applyFont="1" applyBorder="1" applyAlignment="1">
      <alignment horizontal="left" vertical="center"/>
    </xf>
    <xf numFmtId="0" fontId="112" fillId="0" borderId="1" xfId="0" applyFont="1" applyBorder="1" applyAlignment="1">
      <alignment horizontal="center" vertical="top" wrapText="1"/>
    </xf>
    <xf numFmtId="2" fontId="9"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wrapText="1"/>
    </xf>
    <xf numFmtId="0" fontId="8" fillId="0" borderId="1" xfId="0" applyFont="1" applyBorder="1" applyAlignment="1">
      <alignment vertical="center" wrapText="1"/>
    </xf>
    <xf numFmtId="0" fontId="9" fillId="3" borderId="1" xfId="0" applyFont="1" applyFill="1" applyBorder="1" applyAlignment="1">
      <alignment horizontal="center" vertical="center"/>
    </xf>
    <xf numFmtId="2" fontId="20" fillId="0" borderId="1" xfId="0" applyNumberFormat="1" applyFont="1" applyBorder="1" applyAlignment="1">
      <alignment horizontal="center" vertical="center" wrapText="1"/>
    </xf>
    <xf numFmtId="0" fontId="9" fillId="0" borderId="1" xfId="0" applyFont="1" applyBorder="1" applyAlignment="1">
      <alignment horizontal="left"/>
    </xf>
    <xf numFmtId="0" fontId="23" fillId="0" borderId="1" xfId="0" applyFont="1" applyBorder="1" applyAlignment="1">
      <alignment vertical="center" wrapText="1"/>
    </xf>
    <xf numFmtId="0" fontId="23" fillId="0" borderId="1" xfId="0" applyFont="1" applyBorder="1" applyAlignment="1">
      <alignment horizontal="center" vertical="center"/>
    </xf>
    <xf numFmtId="0" fontId="9" fillId="2" borderId="1" xfId="0" applyFont="1" applyFill="1" applyBorder="1" applyAlignment="1">
      <alignment vertical="top" wrapText="1"/>
    </xf>
    <xf numFmtId="0" fontId="112" fillId="0" borderId="1" xfId="0" applyFont="1" applyBorder="1" applyAlignment="1">
      <alignment horizontal="center" vertical="center" wrapText="1"/>
    </xf>
    <xf numFmtId="0" fontId="9" fillId="0" borderId="1" xfId="0" applyFont="1" applyBorder="1" applyAlignment="1">
      <alignment wrapText="1"/>
    </xf>
    <xf numFmtId="165" fontId="9" fillId="0" borderId="1" xfId="0" applyNumberFormat="1" applyFont="1" applyBorder="1" applyAlignment="1">
      <alignment horizontal="center" vertical="center" wrapText="1"/>
    </xf>
    <xf numFmtId="0" fontId="112" fillId="2" borderId="1" xfId="0" applyFont="1" applyFill="1" applyBorder="1" applyAlignment="1">
      <alignment horizontal="center" wrapText="1"/>
    </xf>
    <xf numFmtId="0" fontId="112" fillId="0" borderId="1" xfId="0" applyFont="1" applyBorder="1" applyAlignment="1">
      <alignment horizontal="left" vertical="center" wrapText="1"/>
    </xf>
    <xf numFmtId="0" fontId="112" fillId="2" borderId="1" xfId="0" applyFont="1" applyFill="1" applyBorder="1" applyAlignment="1">
      <alignment vertical="center"/>
    </xf>
    <xf numFmtId="0" fontId="9" fillId="0" borderId="1" xfId="0" applyFont="1" applyBorder="1" applyAlignment="1">
      <alignment horizontal="center" wrapText="1"/>
    </xf>
    <xf numFmtId="0" fontId="20" fillId="3" borderId="1" xfId="0" applyFont="1" applyFill="1" applyBorder="1" applyAlignment="1">
      <alignment horizontal="center" vertical="center"/>
    </xf>
    <xf numFmtId="0" fontId="113" fillId="0" borderId="1" xfId="0" applyFont="1" applyBorder="1" applyAlignment="1">
      <alignment horizontal="justify" vertical="top" wrapText="1"/>
    </xf>
    <xf numFmtId="0" fontId="9" fillId="0" borderId="1" xfId="0" applyFont="1" applyBorder="1" applyAlignment="1">
      <alignment horizontal="center"/>
    </xf>
    <xf numFmtId="0" fontId="114" fillId="0" borderId="1" xfId="0" applyFont="1" applyBorder="1" applyAlignment="1">
      <alignment horizontal="justify" vertical="center" wrapText="1"/>
    </xf>
    <xf numFmtId="0" fontId="23" fillId="0" borderId="1" xfId="0" applyFont="1" applyBorder="1"/>
    <xf numFmtId="0" fontId="23" fillId="0" borderId="1" xfId="0" applyFont="1" applyBorder="1" applyAlignment="1">
      <alignment wrapText="1"/>
    </xf>
    <xf numFmtId="0" fontId="9" fillId="0" borderId="1" xfId="0" applyFont="1" applyBorder="1"/>
    <xf numFmtId="0" fontId="9" fillId="0" borderId="1" xfId="0" applyFont="1" applyBorder="1" applyAlignment="1">
      <alignment vertical="center" wrapText="1"/>
    </xf>
    <xf numFmtId="0" fontId="4" fillId="0" borderId="1" xfId="0" applyFont="1" applyBorder="1"/>
    <xf numFmtId="0" fontId="23" fillId="0" borderId="1" xfId="0" applyFont="1" applyBorder="1" applyAlignment="1">
      <alignment horizontal="left" wrapText="1"/>
    </xf>
    <xf numFmtId="0" fontId="23" fillId="0" borderId="1" xfId="0" applyFont="1" applyBorder="1" applyAlignment="1">
      <alignment horizontal="center" vertical="center" wrapText="1"/>
    </xf>
    <xf numFmtId="0" fontId="9" fillId="0" borderId="1" xfId="0" applyFont="1" applyBorder="1" applyAlignment="1">
      <alignment horizontal="left" vertical="top" wrapText="1"/>
    </xf>
    <xf numFmtId="0" fontId="112" fillId="0" borderId="1" xfId="0" applyFont="1" applyBorder="1" applyAlignment="1">
      <alignment vertical="center"/>
    </xf>
    <xf numFmtId="0" fontId="112" fillId="0" borderId="1" xfId="0" applyFont="1" applyBorder="1" applyAlignment="1">
      <alignment horizontal="center" wrapText="1"/>
    </xf>
    <xf numFmtId="0" fontId="23" fillId="0" borderId="1" xfId="0" applyFont="1" applyBorder="1" applyAlignment="1">
      <alignment vertical="center"/>
    </xf>
    <xf numFmtId="0" fontId="112" fillId="2" borderId="1" xfId="0" applyFont="1" applyFill="1" applyBorder="1" applyAlignment="1">
      <alignment horizontal="left" vertical="center" wrapText="1"/>
    </xf>
    <xf numFmtId="0" fontId="112" fillId="2" borderId="1" xfId="0" applyFont="1" applyFill="1" applyBorder="1" applyAlignment="1">
      <alignment horizontal="left" vertical="center"/>
    </xf>
    <xf numFmtId="0" fontId="20" fillId="0" borderId="12" xfId="0" applyFont="1" applyBorder="1" applyAlignment="1">
      <alignment horizontal="center" vertical="center"/>
    </xf>
    <xf numFmtId="0" fontId="20" fillId="0" borderId="1" xfId="0" applyFont="1" applyBorder="1" applyAlignment="1">
      <alignment horizontal="justify" vertical="justify" wrapText="1"/>
    </xf>
    <xf numFmtId="0" fontId="20" fillId="0" borderId="1" xfId="0" applyFont="1" applyBorder="1" applyAlignment="1">
      <alignment horizontal="center" vertical="justify"/>
    </xf>
    <xf numFmtId="0" fontId="115" fillId="0" borderId="1" xfId="0" applyFont="1" applyBorder="1" applyAlignment="1">
      <alignment horizontal="justify" vertical="center"/>
    </xf>
    <xf numFmtId="0" fontId="112" fillId="3" borderId="1" xfId="0" applyFont="1" applyFill="1" applyBorder="1" applyAlignment="1">
      <alignment horizontal="center" vertical="center" wrapText="1"/>
    </xf>
    <xf numFmtId="0" fontId="73" fillId="0" borderId="1" xfId="0" applyFont="1" applyBorder="1" applyAlignment="1">
      <alignment horizontal="justify" vertical="center" wrapText="1"/>
    </xf>
    <xf numFmtId="0" fontId="23" fillId="0" borderId="1" xfId="0" applyFont="1" applyBorder="1" applyAlignment="1">
      <alignment horizontal="left" vertical="top" wrapText="1"/>
    </xf>
    <xf numFmtId="0" fontId="112" fillId="2" borderId="1" xfId="0" applyFont="1" applyFill="1" applyBorder="1" applyAlignment="1">
      <alignment vertical="center" wrapText="1"/>
    </xf>
    <xf numFmtId="0" fontId="4" fillId="0" borderId="1" xfId="0" applyFont="1" applyBorder="1" applyAlignment="1">
      <alignment horizontal="left" wrapText="1"/>
    </xf>
    <xf numFmtId="0" fontId="8" fillId="0" borderId="1" xfId="0" applyFont="1" applyBorder="1" applyAlignment="1">
      <alignment horizontal="left" vertical="top" wrapText="1"/>
    </xf>
    <xf numFmtId="0" fontId="114" fillId="0" borderId="1" xfId="0" applyFont="1" applyBorder="1" applyAlignment="1">
      <alignment horizontal="justify" vertical="center"/>
    </xf>
    <xf numFmtId="164" fontId="20"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20" fillId="0" borderId="1" xfId="0" applyFont="1" applyBorder="1" applyAlignment="1">
      <alignment wrapText="1"/>
    </xf>
    <xf numFmtId="0" fontId="20" fillId="0" borderId="1" xfId="0" applyFont="1" applyBorder="1" applyAlignment="1">
      <alignment vertical="top" wrapText="1"/>
    </xf>
    <xf numFmtId="0" fontId="112"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wrapText="1"/>
    </xf>
    <xf numFmtId="0" fontId="116" fillId="2" borderId="1" xfId="0" applyFont="1" applyFill="1" applyBorder="1" applyAlignment="1">
      <alignment horizontal="center" vertical="center" wrapText="1"/>
    </xf>
    <xf numFmtId="0" fontId="20" fillId="0" borderId="5" xfId="0" applyFont="1" applyBorder="1" applyAlignment="1">
      <alignment horizontal="center" wrapText="1"/>
    </xf>
    <xf numFmtId="0" fontId="30" fillId="0" borderId="1" xfId="0" applyFont="1" applyBorder="1" applyAlignment="1">
      <alignment horizontal="center" wrapText="1"/>
    </xf>
    <xf numFmtId="0" fontId="117" fillId="0" borderId="1" xfId="0" applyFont="1" applyBorder="1"/>
    <xf numFmtId="2" fontId="117" fillId="0" borderId="1" xfId="0" applyNumberFormat="1" applyFont="1" applyBorder="1" applyAlignment="1">
      <alignment horizontal="center"/>
    </xf>
    <xf numFmtId="2" fontId="118" fillId="0" borderId="1" xfId="0" applyNumberFormat="1" applyFont="1" applyBorder="1"/>
    <xf numFmtId="2" fontId="117" fillId="0" borderId="1" xfId="0" applyNumberFormat="1" applyFont="1" applyBorder="1"/>
    <xf numFmtId="0" fontId="20" fillId="0" borderId="0" xfId="0" applyFont="1"/>
    <xf numFmtId="2" fontId="117" fillId="0" borderId="0" xfId="0" applyNumberFormat="1" applyFont="1" applyAlignment="1">
      <alignment horizontal="center"/>
    </xf>
    <xf numFmtId="0" fontId="105" fillId="0" borderId="0" xfId="0" applyFont="1" applyAlignment="1">
      <alignment horizontal="left"/>
    </xf>
    <xf numFmtId="2" fontId="20" fillId="0" borderId="0" xfId="0" applyNumberFormat="1" applyFont="1" applyAlignment="1">
      <alignment horizontal="center" vertical="center"/>
    </xf>
    <xf numFmtId="0" fontId="20" fillId="0" borderId="0" xfId="0" applyFont="1" applyAlignment="1">
      <alignment horizontal="center"/>
    </xf>
    <xf numFmtId="2" fontId="105" fillId="0" borderId="0" xfId="0" applyNumberFormat="1" applyFont="1" applyAlignment="1">
      <alignment horizontal="center"/>
    </xf>
    <xf numFmtId="2" fontId="20" fillId="0" borderId="0" xfId="0" applyNumberFormat="1" applyFont="1"/>
    <xf numFmtId="0" fontId="105" fillId="0" borderId="0" xfId="0" applyFont="1" applyAlignment="1">
      <alignment horizontal="center"/>
    </xf>
  </cellXfs>
  <cellStyles count="8">
    <cellStyle name="Comma 4" xfId="7"/>
    <cellStyle name="Hyperlink" xfId="5" builtinId="8"/>
    <cellStyle name="Normal" xfId="0" builtinId="0"/>
    <cellStyle name="Normal 12" xfId="1"/>
    <cellStyle name="Normal 14" xfId="2"/>
    <cellStyle name="Normal 2" xfId="3"/>
    <cellStyle name="Normal 3" xfId="4"/>
    <cellStyle name="Normal 7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05"/>
  <sheetViews>
    <sheetView tabSelected="1" topLeftCell="A2370" workbookViewId="0">
      <selection activeCell="B2410" sqref="B2410"/>
    </sheetView>
  </sheetViews>
  <sheetFormatPr defaultColWidth="9.140625" defaultRowHeight="16.5"/>
  <cols>
    <col min="1" max="1" width="5.7109375" style="3" customWidth="1"/>
    <col min="2" max="2" width="16.5703125" style="3" customWidth="1"/>
    <col min="3" max="3" width="53.5703125" style="3" customWidth="1"/>
    <col min="4" max="4" width="6.42578125" style="3" customWidth="1"/>
    <col min="5" max="5" width="13.5703125" style="3" bestFit="1" customWidth="1"/>
    <col min="6" max="6" width="11.7109375" style="3" customWidth="1"/>
    <col min="7" max="7" width="16" style="3" customWidth="1"/>
    <col min="8" max="8" width="11" style="3" customWidth="1"/>
    <col min="9" max="9" width="9.140625" style="3"/>
    <col min="10" max="10" width="12.140625" style="3" customWidth="1"/>
    <col min="11" max="11" width="18" style="3" customWidth="1"/>
    <col min="12" max="12" width="17.85546875" style="3" customWidth="1"/>
    <col min="13" max="13" width="11.5703125" style="3" bestFit="1" customWidth="1"/>
    <col min="14" max="14" width="9.140625" style="3"/>
    <col min="15" max="15" width="15.42578125" style="3" customWidth="1"/>
    <col min="16" max="16384" width="9.140625" style="3"/>
  </cols>
  <sheetData>
    <row r="1" spans="1:12">
      <c r="A1" s="119" t="s">
        <v>32</v>
      </c>
      <c r="B1" s="119"/>
      <c r="C1" s="119"/>
      <c r="D1" s="119"/>
      <c r="E1" s="119"/>
      <c r="F1" s="119"/>
      <c r="G1" s="119"/>
      <c r="H1" s="119"/>
      <c r="I1" s="119"/>
      <c r="J1" s="119"/>
      <c r="K1" s="119"/>
    </row>
    <row r="2" spans="1:12">
      <c r="A2" s="119" t="s">
        <v>249</v>
      </c>
      <c r="B2" s="119"/>
      <c r="C2" s="119"/>
      <c r="D2" s="119"/>
      <c r="E2" s="119"/>
      <c r="F2" s="119"/>
      <c r="G2" s="119"/>
      <c r="H2" s="119"/>
      <c r="I2" s="119"/>
      <c r="J2" s="119"/>
      <c r="K2" s="119"/>
    </row>
    <row r="3" spans="1:12" ht="24" customHeight="1">
      <c r="A3" s="132" t="s">
        <v>250</v>
      </c>
      <c r="B3" s="132"/>
      <c r="C3" s="132"/>
      <c r="D3" s="132"/>
      <c r="E3" s="132"/>
      <c r="F3" s="132"/>
      <c r="G3" s="132"/>
      <c r="H3" s="132"/>
      <c r="I3" s="132"/>
      <c r="J3" s="132"/>
      <c r="K3" s="132"/>
    </row>
    <row r="4" spans="1:12">
      <c r="A4" s="123" t="s">
        <v>6</v>
      </c>
      <c r="B4" s="125" t="s">
        <v>28</v>
      </c>
      <c r="C4" s="123" t="s">
        <v>7</v>
      </c>
      <c r="D4" s="4" t="s">
        <v>8</v>
      </c>
      <c r="E4" s="127" t="s">
        <v>30</v>
      </c>
      <c r="F4" s="128"/>
      <c r="G4" s="128"/>
      <c r="H4" s="128"/>
      <c r="I4" s="129"/>
      <c r="J4" s="130" t="s">
        <v>26</v>
      </c>
      <c r="K4" s="130" t="s">
        <v>27</v>
      </c>
    </row>
    <row r="5" spans="1:12">
      <c r="A5" s="124"/>
      <c r="B5" s="126"/>
      <c r="C5" s="124"/>
      <c r="D5" s="6"/>
      <c r="E5" s="16" t="s">
        <v>18</v>
      </c>
      <c r="F5" s="14" t="s">
        <v>29</v>
      </c>
      <c r="G5" s="14" t="s">
        <v>11</v>
      </c>
      <c r="H5" s="14" t="s">
        <v>21</v>
      </c>
      <c r="I5" s="14" t="s">
        <v>1</v>
      </c>
      <c r="J5" s="131"/>
      <c r="K5" s="131"/>
    </row>
    <row r="6" spans="1:12" s="80" customFormat="1" ht="15">
      <c r="A6" s="81">
        <v>1</v>
      </c>
      <c r="B6" s="105" t="s">
        <v>139</v>
      </c>
      <c r="C6" s="97" t="s">
        <v>33</v>
      </c>
      <c r="D6" s="76" t="s">
        <v>34</v>
      </c>
      <c r="E6" s="79">
        <v>20</v>
      </c>
      <c r="F6" s="82"/>
      <c r="G6" s="82"/>
      <c r="H6" s="82"/>
      <c r="I6" s="82"/>
      <c r="J6" s="83">
        <v>73.16</v>
      </c>
      <c r="K6" s="106">
        <f>E6*J6</f>
        <v>1463.1999999999998</v>
      </c>
    </row>
    <row r="7" spans="1:12" s="80" customFormat="1" ht="15">
      <c r="A7" s="74">
        <v>2</v>
      </c>
      <c r="B7" s="105" t="s">
        <v>141</v>
      </c>
      <c r="C7" s="75" t="s">
        <v>138</v>
      </c>
      <c r="D7" s="76" t="s">
        <v>3</v>
      </c>
      <c r="E7" s="77">
        <v>30</v>
      </c>
      <c r="F7" s="78"/>
      <c r="G7" s="78"/>
      <c r="H7" s="78"/>
      <c r="I7" s="78"/>
      <c r="J7" s="79">
        <v>1312.16</v>
      </c>
      <c r="K7" s="106">
        <f>E7*J7</f>
        <v>39364.800000000003</v>
      </c>
    </row>
    <row r="8" spans="1:12" s="26" customFormat="1" ht="15">
      <c r="A8" s="58">
        <v>3</v>
      </c>
      <c r="B8" s="104" t="s">
        <v>216</v>
      </c>
      <c r="C8" s="60" t="s">
        <v>189</v>
      </c>
      <c r="D8" s="94" t="s">
        <v>3</v>
      </c>
      <c r="E8" s="93">
        <v>6</v>
      </c>
      <c r="F8" s="2"/>
      <c r="G8" s="2"/>
      <c r="H8" s="2"/>
      <c r="I8" s="2"/>
      <c r="J8" s="8">
        <v>5162.5200000000004</v>
      </c>
      <c r="K8" s="106">
        <f>E8*J8</f>
        <v>30975.120000000003</v>
      </c>
    </row>
    <row r="9" spans="1:12" s="26" customFormat="1" ht="15">
      <c r="A9" s="58">
        <v>4</v>
      </c>
      <c r="B9" s="104" t="s">
        <v>229</v>
      </c>
      <c r="C9" s="98" t="s">
        <v>177</v>
      </c>
      <c r="D9" s="95" t="s">
        <v>2</v>
      </c>
      <c r="E9" s="93"/>
      <c r="F9" s="2"/>
      <c r="G9" s="2"/>
      <c r="H9" s="2"/>
      <c r="I9" s="2">
        <v>1</v>
      </c>
      <c r="J9" s="8">
        <v>1</v>
      </c>
      <c r="K9" s="106">
        <f t="shared" ref="K9:K21" si="0">I9*J9</f>
        <v>1</v>
      </c>
      <c r="L9" s="63"/>
    </row>
    <row r="10" spans="1:12" s="26" customFormat="1" ht="25.5">
      <c r="A10" s="58">
        <v>5</v>
      </c>
      <c r="B10" s="104" t="s">
        <v>216</v>
      </c>
      <c r="C10" s="99" t="s">
        <v>178</v>
      </c>
      <c r="D10" s="95" t="s">
        <v>2</v>
      </c>
      <c r="E10" s="93"/>
      <c r="F10" s="2"/>
      <c r="G10" s="2"/>
      <c r="H10" s="2"/>
      <c r="I10" s="2">
        <v>5</v>
      </c>
      <c r="J10" s="8">
        <v>10</v>
      </c>
      <c r="K10" s="106">
        <f t="shared" si="0"/>
        <v>50</v>
      </c>
      <c r="L10" s="63"/>
    </row>
    <row r="11" spans="1:12" s="26" customFormat="1" ht="15">
      <c r="A11" s="58">
        <v>6</v>
      </c>
      <c r="B11" s="104" t="s">
        <v>217</v>
      </c>
      <c r="C11" s="99" t="s">
        <v>179</v>
      </c>
      <c r="D11" s="95" t="s">
        <v>2</v>
      </c>
      <c r="E11" s="93"/>
      <c r="F11" s="2"/>
      <c r="G11" s="2"/>
      <c r="H11" s="2"/>
      <c r="I11" s="2">
        <v>3</v>
      </c>
      <c r="J11" s="8">
        <v>5</v>
      </c>
      <c r="K11" s="106">
        <f t="shared" si="0"/>
        <v>15</v>
      </c>
      <c r="L11" s="63"/>
    </row>
    <row r="12" spans="1:12" s="26" customFormat="1" ht="15">
      <c r="A12" s="58">
        <v>7</v>
      </c>
      <c r="B12" s="104" t="s">
        <v>217</v>
      </c>
      <c r="C12" s="99" t="s">
        <v>180</v>
      </c>
      <c r="D12" s="95" t="s">
        <v>2</v>
      </c>
      <c r="E12" s="93"/>
      <c r="F12" s="2"/>
      <c r="G12" s="2"/>
      <c r="H12" s="2"/>
      <c r="I12" s="2">
        <v>5</v>
      </c>
      <c r="J12" s="8">
        <v>10</v>
      </c>
      <c r="K12" s="106">
        <f t="shared" si="0"/>
        <v>50</v>
      </c>
      <c r="L12" s="63"/>
    </row>
    <row r="13" spans="1:12" s="26" customFormat="1" ht="25.5">
      <c r="A13" s="58">
        <v>8</v>
      </c>
      <c r="B13" s="104" t="s">
        <v>218</v>
      </c>
      <c r="C13" s="99" t="s">
        <v>181</v>
      </c>
      <c r="D13" s="95" t="s">
        <v>2</v>
      </c>
      <c r="E13" s="93"/>
      <c r="F13" s="2"/>
      <c r="G13" s="2"/>
      <c r="H13" s="2"/>
      <c r="I13" s="2">
        <v>7</v>
      </c>
      <c r="J13" s="8">
        <v>15</v>
      </c>
      <c r="K13" s="106">
        <f t="shared" si="0"/>
        <v>105</v>
      </c>
    </row>
    <row r="14" spans="1:12" s="26" customFormat="1" ht="15">
      <c r="A14" s="58">
        <v>9</v>
      </c>
      <c r="B14" s="104" t="s">
        <v>219</v>
      </c>
      <c r="C14" s="99" t="s">
        <v>182</v>
      </c>
      <c r="D14" s="95" t="s">
        <v>2</v>
      </c>
      <c r="E14" s="93"/>
      <c r="F14" s="2"/>
      <c r="G14" s="2"/>
      <c r="H14" s="2"/>
      <c r="I14" s="2">
        <v>2</v>
      </c>
      <c r="J14" s="8">
        <v>5</v>
      </c>
      <c r="K14" s="106">
        <f t="shared" si="0"/>
        <v>10</v>
      </c>
    </row>
    <row r="15" spans="1:12" s="26" customFormat="1" ht="15">
      <c r="A15" s="58">
        <v>10</v>
      </c>
      <c r="B15" s="104" t="s">
        <v>234</v>
      </c>
      <c r="C15" s="99" t="s">
        <v>183</v>
      </c>
      <c r="D15" s="95" t="s">
        <v>45</v>
      </c>
      <c r="E15" s="93"/>
      <c r="F15" s="2"/>
      <c r="G15" s="2"/>
      <c r="H15" s="2"/>
      <c r="I15" s="2">
        <v>1</v>
      </c>
      <c r="J15" s="8">
        <v>75</v>
      </c>
      <c r="K15" s="106">
        <f t="shared" si="0"/>
        <v>75</v>
      </c>
    </row>
    <row r="16" spans="1:12" s="26" customFormat="1" ht="15">
      <c r="A16" s="58">
        <v>11</v>
      </c>
      <c r="B16" s="104" t="s">
        <v>203</v>
      </c>
      <c r="C16" s="99" t="s">
        <v>184</v>
      </c>
      <c r="D16" s="95" t="s">
        <v>2</v>
      </c>
      <c r="E16" s="93"/>
      <c r="F16" s="2"/>
      <c r="G16" s="2"/>
      <c r="H16" s="2"/>
      <c r="I16" s="2">
        <v>1</v>
      </c>
      <c r="J16" s="8">
        <v>1</v>
      </c>
      <c r="K16" s="106">
        <f t="shared" si="0"/>
        <v>1</v>
      </c>
    </row>
    <row r="17" spans="1:13" s="26" customFormat="1" ht="15">
      <c r="A17" s="58">
        <v>12</v>
      </c>
      <c r="B17" s="104" t="s">
        <v>230</v>
      </c>
      <c r="C17" s="61" t="s">
        <v>185</v>
      </c>
      <c r="D17" s="95" t="s">
        <v>2</v>
      </c>
      <c r="E17" s="93"/>
      <c r="F17" s="2"/>
      <c r="G17" s="2"/>
      <c r="H17" s="2"/>
      <c r="I17" s="2">
        <v>2</v>
      </c>
      <c r="J17" s="8">
        <v>200</v>
      </c>
      <c r="K17" s="106">
        <f>I17*J17</f>
        <v>400</v>
      </c>
    </row>
    <row r="18" spans="1:13" s="26" customFormat="1" ht="15">
      <c r="A18" s="58">
        <v>13</v>
      </c>
      <c r="B18" s="104" t="s">
        <v>230</v>
      </c>
      <c r="C18" s="61" t="s">
        <v>198</v>
      </c>
      <c r="D18" s="95" t="s">
        <v>2</v>
      </c>
      <c r="E18" s="93"/>
      <c r="F18" s="2"/>
      <c r="G18" s="2"/>
      <c r="H18" s="2"/>
      <c r="I18" s="2">
        <v>1</v>
      </c>
      <c r="J18" s="8">
        <v>50</v>
      </c>
      <c r="K18" s="106">
        <f t="shared" si="0"/>
        <v>50</v>
      </c>
    </row>
    <row r="19" spans="1:13" s="26" customFormat="1" ht="15">
      <c r="A19" s="58">
        <v>14</v>
      </c>
      <c r="B19" s="104" t="s">
        <v>216</v>
      </c>
      <c r="C19" s="61" t="s">
        <v>186</v>
      </c>
      <c r="D19" s="95" t="s">
        <v>2</v>
      </c>
      <c r="E19" s="93"/>
      <c r="F19" s="2"/>
      <c r="G19" s="2"/>
      <c r="H19" s="2"/>
      <c r="I19" s="2">
        <v>21</v>
      </c>
      <c r="J19" s="8">
        <v>10</v>
      </c>
      <c r="K19" s="106">
        <f t="shared" si="0"/>
        <v>210</v>
      </c>
    </row>
    <row r="20" spans="1:13" s="26" customFormat="1" ht="15">
      <c r="A20" s="58">
        <v>15</v>
      </c>
      <c r="B20" s="104" t="s">
        <v>220</v>
      </c>
      <c r="C20" s="61" t="s">
        <v>187</v>
      </c>
      <c r="D20" s="95" t="s">
        <v>2</v>
      </c>
      <c r="E20" s="93"/>
      <c r="F20" s="2"/>
      <c r="G20" s="2"/>
      <c r="H20" s="2"/>
      <c r="I20" s="2">
        <v>5</v>
      </c>
      <c r="J20" s="8">
        <v>10</v>
      </c>
      <c r="K20" s="106">
        <f t="shared" si="0"/>
        <v>50</v>
      </c>
    </row>
    <row r="21" spans="1:13" s="26" customFormat="1" ht="15">
      <c r="A21" s="58">
        <v>16</v>
      </c>
      <c r="B21" s="104" t="s">
        <v>234</v>
      </c>
      <c r="C21" s="99" t="s">
        <v>188</v>
      </c>
      <c r="D21" s="95" t="s">
        <v>2</v>
      </c>
      <c r="E21" s="93"/>
      <c r="F21" s="2"/>
      <c r="G21" s="2"/>
      <c r="H21" s="2"/>
      <c r="I21" s="2">
        <v>1</v>
      </c>
      <c r="J21" s="8">
        <v>1</v>
      </c>
      <c r="K21" s="106">
        <f t="shared" si="0"/>
        <v>1</v>
      </c>
    </row>
    <row r="22" spans="1:13" s="26" customFormat="1" ht="25.5">
      <c r="A22" s="58">
        <v>17</v>
      </c>
      <c r="B22" s="104" t="s">
        <v>234</v>
      </c>
      <c r="C22" s="99" t="s">
        <v>247</v>
      </c>
      <c r="D22" s="95" t="s">
        <v>2</v>
      </c>
      <c r="E22" s="93">
        <v>3</v>
      </c>
      <c r="F22" s="2"/>
      <c r="G22" s="2"/>
      <c r="H22" s="2"/>
      <c r="I22" s="2"/>
      <c r="J22" s="8">
        <v>632380</v>
      </c>
      <c r="K22" s="106">
        <f>J22*E22</f>
        <v>1897140</v>
      </c>
    </row>
    <row r="23" spans="1:13" s="26" customFormat="1" ht="15">
      <c r="A23" s="58">
        <v>18</v>
      </c>
      <c r="B23" s="104" t="s">
        <v>204</v>
      </c>
      <c r="C23" s="101" t="s">
        <v>205</v>
      </c>
      <c r="D23" s="95" t="s">
        <v>2</v>
      </c>
      <c r="E23" s="93"/>
      <c r="F23" s="2"/>
      <c r="G23" s="2"/>
      <c r="H23" s="2"/>
      <c r="I23" s="2">
        <v>2</v>
      </c>
      <c r="J23" s="8">
        <v>80</v>
      </c>
      <c r="K23" s="106">
        <f>J23*I23</f>
        <v>160</v>
      </c>
      <c r="L23" s="63"/>
    </row>
    <row r="24" spans="1:13" s="26" customFormat="1" ht="15">
      <c r="A24" s="58">
        <v>19</v>
      </c>
      <c r="B24" s="104" t="s">
        <v>202</v>
      </c>
      <c r="C24" s="100" t="s">
        <v>190</v>
      </c>
      <c r="D24" s="95" t="s">
        <v>2</v>
      </c>
      <c r="E24" s="93"/>
      <c r="F24" s="2"/>
      <c r="G24" s="2"/>
      <c r="H24" s="2"/>
      <c r="I24" s="2">
        <v>7</v>
      </c>
      <c r="J24" s="8">
        <v>500</v>
      </c>
      <c r="K24" s="106">
        <f t="shared" ref="K24:K29" si="1">J24*I24</f>
        <v>3500</v>
      </c>
      <c r="L24" s="63"/>
    </row>
    <row r="25" spans="1:13" s="26" customFormat="1" ht="15">
      <c r="A25" s="58">
        <v>20</v>
      </c>
      <c r="B25" s="104" t="s">
        <v>206</v>
      </c>
      <c r="C25" s="100" t="s">
        <v>191</v>
      </c>
      <c r="D25" s="95" t="s">
        <v>2</v>
      </c>
      <c r="E25" s="93"/>
      <c r="F25" s="2"/>
      <c r="G25" s="2"/>
      <c r="H25" s="2"/>
      <c r="I25" s="2">
        <v>6</v>
      </c>
      <c r="J25" s="8">
        <v>5000</v>
      </c>
      <c r="K25" s="106">
        <f t="shared" si="1"/>
        <v>30000</v>
      </c>
      <c r="L25" s="63"/>
    </row>
    <row r="26" spans="1:13" s="26" customFormat="1" ht="15">
      <c r="A26" s="58">
        <v>21</v>
      </c>
      <c r="B26" s="104" t="s">
        <v>221</v>
      </c>
      <c r="C26" s="100" t="s">
        <v>192</v>
      </c>
      <c r="D26" s="95" t="s">
        <v>193</v>
      </c>
      <c r="E26" s="93"/>
      <c r="F26" s="2"/>
      <c r="G26" s="2"/>
      <c r="H26" s="2"/>
      <c r="I26" s="2">
        <v>500</v>
      </c>
      <c r="J26" s="8">
        <v>40</v>
      </c>
      <c r="K26" s="106">
        <f t="shared" si="1"/>
        <v>20000</v>
      </c>
      <c r="L26" s="63"/>
    </row>
    <row r="27" spans="1:13" s="26" customFormat="1" ht="15">
      <c r="A27" s="58">
        <v>22</v>
      </c>
      <c r="B27" s="104" t="s">
        <v>222</v>
      </c>
      <c r="C27" s="100" t="s">
        <v>194</v>
      </c>
      <c r="D27" s="95" t="s">
        <v>193</v>
      </c>
      <c r="E27" s="93"/>
      <c r="F27" s="2"/>
      <c r="G27" s="2"/>
      <c r="H27" s="2"/>
      <c r="I27" s="2">
        <v>500</v>
      </c>
      <c r="J27" s="8">
        <v>40</v>
      </c>
      <c r="K27" s="106">
        <f t="shared" si="1"/>
        <v>20000</v>
      </c>
      <c r="L27" s="63"/>
    </row>
    <row r="28" spans="1:13" s="26" customFormat="1" ht="15">
      <c r="A28" s="58">
        <v>23</v>
      </c>
      <c r="B28" s="104" t="s">
        <v>228</v>
      </c>
      <c r="C28" s="102" t="s">
        <v>199</v>
      </c>
      <c r="D28" s="88" t="s">
        <v>3</v>
      </c>
      <c r="E28" s="93"/>
      <c r="F28" s="2"/>
      <c r="G28" s="2"/>
      <c r="H28" s="2"/>
      <c r="I28" s="2">
        <v>1</v>
      </c>
      <c r="J28" s="8">
        <v>10</v>
      </c>
      <c r="K28" s="106">
        <f t="shared" si="1"/>
        <v>10</v>
      </c>
      <c r="L28" s="63"/>
    </row>
    <row r="29" spans="1:13" s="26" customFormat="1" ht="15">
      <c r="A29" s="58">
        <v>24</v>
      </c>
      <c r="B29" s="104" t="s">
        <v>228</v>
      </c>
      <c r="C29" s="102" t="s">
        <v>200</v>
      </c>
      <c r="D29" s="88" t="s">
        <v>3</v>
      </c>
      <c r="E29" s="93"/>
      <c r="F29" s="2"/>
      <c r="G29" s="2"/>
      <c r="H29" s="2"/>
      <c r="I29" s="2">
        <v>1</v>
      </c>
      <c r="J29" s="8">
        <v>10</v>
      </c>
      <c r="K29" s="106">
        <f t="shared" si="1"/>
        <v>10</v>
      </c>
      <c r="L29" s="63">
        <f>SUM(K6:K37)</f>
        <v>2327551.1799999997</v>
      </c>
      <c r="M29" s="63">
        <f>L29+L95</f>
        <v>19021766.842</v>
      </c>
    </row>
    <row r="30" spans="1:13" s="26" customFormat="1" ht="15">
      <c r="A30" s="58">
        <v>25</v>
      </c>
      <c r="B30" s="104" t="s">
        <v>228</v>
      </c>
      <c r="C30" s="103" t="s">
        <v>201</v>
      </c>
      <c r="D30" s="88" t="s">
        <v>3</v>
      </c>
      <c r="E30" s="93"/>
      <c r="F30" s="2"/>
      <c r="G30" s="2"/>
      <c r="H30" s="2"/>
      <c r="I30" s="2">
        <v>1</v>
      </c>
      <c r="J30" s="8">
        <v>100</v>
      </c>
      <c r="K30" s="106">
        <f t="shared" ref="K30" si="2">J30*I30</f>
        <v>100</v>
      </c>
      <c r="L30" s="63">
        <f>L29-L38</f>
        <v>2252753.1799999997</v>
      </c>
    </row>
    <row r="31" spans="1:13" s="26" customFormat="1" ht="15">
      <c r="A31" s="58">
        <v>26</v>
      </c>
      <c r="B31" s="104"/>
      <c r="C31" s="109" t="s">
        <v>240</v>
      </c>
      <c r="D31" s="88" t="s">
        <v>3</v>
      </c>
      <c r="E31" s="93">
        <v>5</v>
      </c>
      <c r="F31" s="2"/>
      <c r="G31" s="2"/>
      <c r="H31" s="2"/>
      <c r="I31" s="2"/>
      <c r="J31" s="110">
        <v>1660.26</v>
      </c>
      <c r="K31" s="106">
        <f>J31*E31</f>
        <v>8301.2999999999993</v>
      </c>
      <c r="L31" s="63"/>
    </row>
    <row r="32" spans="1:13" s="26" customFormat="1" ht="15">
      <c r="A32" s="58">
        <v>27</v>
      </c>
      <c r="B32" s="104"/>
      <c r="C32" s="109" t="s">
        <v>241</v>
      </c>
      <c r="D32" s="88" t="s">
        <v>3</v>
      </c>
      <c r="E32" s="93">
        <v>10</v>
      </c>
      <c r="F32" s="2"/>
      <c r="G32" s="2"/>
      <c r="H32" s="2"/>
      <c r="I32" s="2"/>
      <c r="J32" s="110">
        <v>3056.2</v>
      </c>
      <c r="K32" s="106">
        <f t="shared" ref="K32:K37" si="3">J32*E32</f>
        <v>30562</v>
      </c>
      <c r="L32" s="63"/>
    </row>
    <row r="33" spans="1:12" s="26" customFormat="1" ht="15">
      <c r="A33" s="58">
        <v>28</v>
      </c>
      <c r="B33" s="104"/>
      <c r="C33" s="109" t="s">
        <v>242</v>
      </c>
      <c r="D33" s="88" t="s">
        <v>3</v>
      </c>
      <c r="E33" s="93">
        <v>15</v>
      </c>
      <c r="F33" s="2"/>
      <c r="G33" s="2"/>
      <c r="H33" s="2"/>
      <c r="I33" s="2"/>
      <c r="J33" s="110">
        <v>4295.2</v>
      </c>
      <c r="K33" s="106">
        <f t="shared" si="3"/>
        <v>64428</v>
      </c>
      <c r="L33" s="63"/>
    </row>
    <row r="34" spans="1:12" s="26" customFormat="1" ht="15">
      <c r="A34" s="58">
        <v>29</v>
      </c>
      <c r="B34" s="104"/>
      <c r="C34" s="109" t="s">
        <v>243</v>
      </c>
      <c r="D34" s="88" t="s">
        <v>3</v>
      </c>
      <c r="E34" s="93">
        <v>10</v>
      </c>
      <c r="F34" s="2"/>
      <c r="G34" s="2"/>
      <c r="H34" s="2"/>
      <c r="I34" s="2"/>
      <c r="J34" s="110">
        <v>4578.3999999999996</v>
      </c>
      <c r="K34" s="106">
        <f t="shared" si="3"/>
        <v>45784</v>
      </c>
      <c r="L34" s="63"/>
    </row>
    <row r="35" spans="1:12" s="26" customFormat="1" ht="15">
      <c r="A35" s="58">
        <v>30</v>
      </c>
      <c r="B35" s="104"/>
      <c r="C35" s="109" t="s">
        <v>244</v>
      </c>
      <c r="D35" s="88" t="s">
        <v>3</v>
      </c>
      <c r="E35" s="93">
        <v>10</v>
      </c>
      <c r="F35" s="2"/>
      <c r="G35" s="2"/>
      <c r="H35" s="2"/>
      <c r="I35" s="2"/>
      <c r="J35" s="110">
        <v>3770.1</v>
      </c>
      <c r="K35" s="106">
        <f t="shared" si="3"/>
        <v>37701</v>
      </c>
      <c r="L35" s="63"/>
    </row>
    <row r="36" spans="1:12" s="26" customFormat="1" ht="15">
      <c r="A36" s="58">
        <v>31</v>
      </c>
      <c r="B36" s="104"/>
      <c r="C36" s="109" t="s">
        <v>245</v>
      </c>
      <c r="D36" s="88" t="s">
        <v>3</v>
      </c>
      <c r="E36" s="93">
        <v>2</v>
      </c>
      <c r="F36" s="2"/>
      <c r="G36" s="2"/>
      <c r="H36" s="2"/>
      <c r="I36" s="2"/>
      <c r="J36" s="110">
        <v>33619.379999999997</v>
      </c>
      <c r="K36" s="106">
        <f t="shared" si="3"/>
        <v>67238.759999999995</v>
      </c>
      <c r="L36" s="63"/>
    </row>
    <row r="37" spans="1:12" s="26" customFormat="1" ht="15">
      <c r="A37" s="58">
        <v>32</v>
      </c>
      <c r="B37" s="104"/>
      <c r="C37" s="109" t="s">
        <v>246</v>
      </c>
      <c r="D37" s="88" t="s">
        <v>193</v>
      </c>
      <c r="E37" s="93">
        <v>50</v>
      </c>
      <c r="F37" s="2"/>
      <c r="G37" s="2"/>
      <c r="H37" s="2"/>
      <c r="I37" s="2"/>
      <c r="J37" s="110">
        <v>595.9</v>
      </c>
      <c r="K37" s="106">
        <f t="shared" si="3"/>
        <v>29795</v>
      </c>
      <c r="L37" s="63"/>
    </row>
    <row r="38" spans="1:12" customFormat="1" ht="18" customHeight="1">
      <c r="A38" s="120" t="s">
        <v>101</v>
      </c>
      <c r="B38" s="121"/>
      <c r="C38" s="121"/>
      <c r="D38" s="121"/>
      <c r="E38" s="121"/>
      <c r="F38" s="121"/>
      <c r="G38" s="121"/>
      <c r="H38" s="121"/>
      <c r="I38" s="121"/>
      <c r="J38" s="121"/>
      <c r="K38" s="122"/>
      <c r="L38" s="15">
        <f>SUM(K9:K21)+SUM(K23:K30)</f>
        <v>74798</v>
      </c>
    </row>
    <row r="39" spans="1:12" customFormat="1" ht="16.5" customHeight="1">
      <c r="A39" s="123" t="s">
        <v>6</v>
      </c>
      <c r="B39" s="125" t="s">
        <v>28</v>
      </c>
      <c r="C39" s="123" t="s">
        <v>7</v>
      </c>
      <c r="D39" s="4" t="s">
        <v>8</v>
      </c>
      <c r="E39" s="127" t="s">
        <v>30</v>
      </c>
      <c r="F39" s="128"/>
      <c r="G39" s="128"/>
      <c r="H39" s="128"/>
      <c r="I39" s="129"/>
      <c r="J39" s="130" t="s">
        <v>26</v>
      </c>
      <c r="K39" s="130" t="s">
        <v>27</v>
      </c>
    </row>
    <row r="40" spans="1:12" customFormat="1">
      <c r="A40" s="124"/>
      <c r="B40" s="126"/>
      <c r="C40" s="124"/>
      <c r="D40" s="6"/>
      <c r="E40" s="14" t="s">
        <v>18</v>
      </c>
      <c r="F40" s="14" t="s">
        <v>29</v>
      </c>
      <c r="G40" s="14" t="s">
        <v>11</v>
      </c>
      <c r="H40" s="14" t="s">
        <v>21</v>
      </c>
      <c r="I40" s="14" t="s">
        <v>1</v>
      </c>
      <c r="J40" s="131"/>
      <c r="K40" s="131"/>
    </row>
    <row r="41" spans="1:12" s="73" customFormat="1">
      <c r="A41" s="64">
        <v>1</v>
      </c>
      <c r="B41" s="65" t="s">
        <v>140</v>
      </c>
      <c r="C41" s="85" t="s">
        <v>47</v>
      </c>
      <c r="D41" s="79" t="s">
        <v>9</v>
      </c>
      <c r="E41" s="79">
        <v>1</v>
      </c>
      <c r="F41" s="69"/>
      <c r="G41" s="69"/>
      <c r="H41" s="69"/>
      <c r="I41" s="69"/>
      <c r="J41" s="84">
        <v>1475</v>
      </c>
      <c r="K41" s="107">
        <f t="shared" ref="K41:K95" si="4">J41*(I41+E41)</f>
        <v>1475</v>
      </c>
      <c r="L41" s="86"/>
    </row>
    <row r="42" spans="1:12" s="73" customFormat="1">
      <c r="A42" s="64">
        <v>2</v>
      </c>
      <c r="B42" s="65" t="s">
        <v>119</v>
      </c>
      <c r="C42" s="66" t="s">
        <v>48</v>
      </c>
      <c r="D42" s="67" t="s">
        <v>9</v>
      </c>
      <c r="E42" s="79">
        <v>1</v>
      </c>
      <c r="F42" s="69"/>
      <c r="G42" s="69"/>
      <c r="H42" s="69"/>
      <c r="I42" s="69"/>
      <c r="J42" s="84">
        <v>334420.63</v>
      </c>
      <c r="K42" s="107">
        <f t="shared" si="4"/>
        <v>334420.63</v>
      </c>
      <c r="L42" s="72"/>
    </row>
    <row r="43" spans="1:12" s="73" customFormat="1">
      <c r="A43" s="64">
        <v>3</v>
      </c>
      <c r="B43" s="65" t="s">
        <v>118</v>
      </c>
      <c r="C43" s="66" t="s">
        <v>49</v>
      </c>
      <c r="D43" s="67" t="s">
        <v>9</v>
      </c>
      <c r="E43" s="68">
        <v>1</v>
      </c>
      <c r="F43" s="69"/>
      <c r="G43" s="69"/>
      <c r="H43" s="69"/>
      <c r="I43" s="69"/>
      <c r="J43" s="70">
        <v>1114735.43</v>
      </c>
      <c r="K43" s="107">
        <f t="shared" si="4"/>
        <v>1114735.43</v>
      </c>
      <c r="L43" s="72"/>
    </row>
    <row r="44" spans="1:12" s="73" customFormat="1">
      <c r="A44" s="64">
        <v>4</v>
      </c>
      <c r="B44" s="65" t="s">
        <v>142</v>
      </c>
      <c r="C44" s="66" t="s">
        <v>50</v>
      </c>
      <c r="D44" s="67" t="s">
        <v>9</v>
      </c>
      <c r="E44" s="68">
        <v>1</v>
      </c>
      <c r="F44" s="69"/>
      <c r="G44" s="69"/>
      <c r="H44" s="69"/>
      <c r="I44" s="69"/>
      <c r="J44" s="70">
        <v>2675365.02</v>
      </c>
      <c r="K44" s="107">
        <f t="shared" si="4"/>
        <v>2675365.02</v>
      </c>
      <c r="L44" s="72"/>
    </row>
    <row r="45" spans="1:12" s="73" customFormat="1">
      <c r="A45" s="64">
        <v>5</v>
      </c>
      <c r="B45" s="65" t="s">
        <v>143</v>
      </c>
      <c r="C45" s="66" t="s">
        <v>51</v>
      </c>
      <c r="D45" s="67" t="s">
        <v>13</v>
      </c>
      <c r="E45" s="68">
        <v>1</v>
      </c>
      <c r="F45" s="69"/>
      <c r="G45" s="69"/>
      <c r="H45" s="69"/>
      <c r="I45" s="69">
        <v>1</v>
      </c>
      <c r="J45" s="108">
        <v>7431.57</v>
      </c>
      <c r="K45" s="71">
        <f t="shared" si="4"/>
        <v>14863.14</v>
      </c>
    </row>
    <row r="46" spans="1:12" s="73" customFormat="1">
      <c r="A46" s="64">
        <v>6</v>
      </c>
      <c r="B46" s="65" t="s">
        <v>120</v>
      </c>
      <c r="C46" s="66" t="s">
        <v>52</v>
      </c>
      <c r="D46" s="67" t="s">
        <v>9</v>
      </c>
      <c r="E46" s="68">
        <v>2</v>
      </c>
      <c r="F46" s="69"/>
      <c r="G46" s="69"/>
      <c r="H46" s="69"/>
      <c r="I46" s="69"/>
      <c r="J46" s="70">
        <v>14863.14</v>
      </c>
      <c r="K46" s="107">
        <f t="shared" si="4"/>
        <v>29726.28</v>
      </c>
    </row>
    <row r="47" spans="1:12" s="73" customFormat="1">
      <c r="A47" s="64">
        <v>7</v>
      </c>
      <c r="B47" s="65" t="s">
        <v>121</v>
      </c>
      <c r="C47" s="66" t="s">
        <v>53</v>
      </c>
      <c r="D47" s="67" t="s">
        <v>9</v>
      </c>
      <c r="E47" s="68">
        <v>1</v>
      </c>
      <c r="F47" s="69"/>
      <c r="G47" s="69"/>
      <c r="H47" s="69"/>
      <c r="I47" s="69"/>
      <c r="J47" s="70">
        <v>350977.5</v>
      </c>
      <c r="K47" s="107">
        <f t="shared" si="4"/>
        <v>350977.5</v>
      </c>
    </row>
    <row r="48" spans="1:12" customFormat="1">
      <c r="A48" s="7">
        <v>8</v>
      </c>
      <c r="B48" s="20" t="s">
        <v>231</v>
      </c>
      <c r="C48" s="36" t="s">
        <v>54</v>
      </c>
      <c r="D48" s="37" t="s">
        <v>9</v>
      </c>
      <c r="E48" s="1">
        <v>1</v>
      </c>
      <c r="F48" s="4"/>
      <c r="G48" s="4"/>
      <c r="H48" s="4"/>
      <c r="I48" s="4"/>
      <c r="J48" s="49">
        <v>350977.5</v>
      </c>
      <c r="K48" s="107">
        <f t="shared" si="4"/>
        <v>350977.5</v>
      </c>
    </row>
    <row r="49" spans="1:12" s="73" customFormat="1">
      <c r="A49" s="64">
        <v>9</v>
      </c>
      <c r="B49" s="65" t="s">
        <v>207</v>
      </c>
      <c r="C49" s="66" t="s">
        <v>55</v>
      </c>
      <c r="D49" s="67" t="s">
        <v>9</v>
      </c>
      <c r="E49" s="68">
        <v>1</v>
      </c>
      <c r="F49" s="69"/>
      <c r="G49" s="69"/>
      <c r="H49" s="69"/>
      <c r="I49" s="69"/>
      <c r="J49" s="70">
        <v>21058.65</v>
      </c>
      <c r="K49" s="107">
        <f t="shared" si="4"/>
        <v>21058.65</v>
      </c>
    </row>
    <row r="50" spans="1:12" s="73" customFormat="1">
      <c r="A50" s="64">
        <v>10</v>
      </c>
      <c r="B50" s="65" t="s">
        <v>144</v>
      </c>
      <c r="C50" s="66" t="s">
        <v>56</v>
      </c>
      <c r="D50" s="67" t="s">
        <v>9</v>
      </c>
      <c r="E50" s="68">
        <v>2</v>
      </c>
      <c r="F50" s="69"/>
      <c r="G50" s="69"/>
      <c r="H50" s="69"/>
      <c r="I50" s="69"/>
      <c r="J50" s="70">
        <v>2105.87</v>
      </c>
      <c r="K50" s="107">
        <f t="shared" si="4"/>
        <v>4211.74</v>
      </c>
    </row>
    <row r="51" spans="1:12" s="73" customFormat="1">
      <c r="A51" s="64">
        <v>11</v>
      </c>
      <c r="B51" s="65" t="s">
        <v>145</v>
      </c>
      <c r="C51" s="66" t="s">
        <v>57</v>
      </c>
      <c r="D51" s="67" t="s">
        <v>9</v>
      </c>
      <c r="E51" s="68">
        <v>2</v>
      </c>
      <c r="F51" s="69"/>
      <c r="G51" s="69"/>
      <c r="H51" s="69"/>
      <c r="I51" s="69"/>
      <c r="J51" s="70">
        <v>1403.91</v>
      </c>
      <c r="K51" s="107">
        <f t="shared" si="4"/>
        <v>2807.82</v>
      </c>
    </row>
    <row r="52" spans="1:12" s="73" customFormat="1">
      <c r="A52" s="64">
        <v>12</v>
      </c>
      <c r="B52" s="65" t="s">
        <v>146</v>
      </c>
      <c r="C52" s="66" t="s">
        <v>58</v>
      </c>
      <c r="D52" s="67" t="s">
        <v>9</v>
      </c>
      <c r="E52" s="68">
        <v>2</v>
      </c>
      <c r="F52" s="69"/>
      <c r="G52" s="69"/>
      <c r="H52" s="69"/>
      <c r="I52" s="69"/>
      <c r="J52" s="70">
        <v>1403.91</v>
      </c>
      <c r="K52" s="107">
        <f t="shared" si="4"/>
        <v>2807.82</v>
      </c>
    </row>
    <row r="53" spans="1:12" s="73" customFormat="1">
      <c r="A53" s="64">
        <v>13</v>
      </c>
      <c r="B53" s="65" t="s">
        <v>147</v>
      </c>
      <c r="C53" s="66" t="s">
        <v>59</v>
      </c>
      <c r="D53" s="67" t="s">
        <v>10</v>
      </c>
      <c r="E53" s="68">
        <v>5</v>
      </c>
      <c r="F53" s="69"/>
      <c r="G53" s="69"/>
      <c r="H53" s="69"/>
      <c r="I53" s="69"/>
      <c r="J53" s="70">
        <v>561.55999999999995</v>
      </c>
      <c r="K53" s="107">
        <f t="shared" si="4"/>
        <v>2807.7999999999997</v>
      </c>
    </row>
    <row r="54" spans="1:12" s="73" customFormat="1">
      <c r="A54" s="64">
        <v>14</v>
      </c>
      <c r="B54" s="65" t="s">
        <v>122</v>
      </c>
      <c r="C54" s="66" t="s">
        <v>60</v>
      </c>
      <c r="D54" s="67" t="s">
        <v>10</v>
      </c>
      <c r="E54" s="68">
        <v>5</v>
      </c>
      <c r="F54" s="69"/>
      <c r="G54" s="69"/>
      <c r="H54" s="69"/>
      <c r="I54" s="69"/>
      <c r="J54" s="70">
        <v>561.55999999999995</v>
      </c>
      <c r="K54" s="107">
        <f t="shared" si="4"/>
        <v>2807.7999999999997</v>
      </c>
      <c r="L54" s="72"/>
    </row>
    <row r="55" spans="1:12" s="73" customFormat="1">
      <c r="A55" s="64">
        <v>15</v>
      </c>
      <c r="B55" s="65" t="s">
        <v>125</v>
      </c>
      <c r="C55" s="66" t="s">
        <v>61</v>
      </c>
      <c r="D55" s="67" t="s">
        <v>10</v>
      </c>
      <c r="E55" s="68">
        <v>1</v>
      </c>
      <c r="F55" s="69"/>
      <c r="G55" s="69"/>
      <c r="H55" s="69"/>
      <c r="I55" s="69"/>
      <c r="J55" s="70">
        <v>21058.65</v>
      </c>
      <c r="K55" s="107">
        <f t="shared" si="4"/>
        <v>21058.65</v>
      </c>
    </row>
    <row r="56" spans="1:12" s="73" customFormat="1">
      <c r="A56" s="64">
        <v>16</v>
      </c>
      <c r="B56" s="65" t="s">
        <v>126</v>
      </c>
      <c r="C56" s="66" t="s">
        <v>62</v>
      </c>
      <c r="D56" s="67" t="s">
        <v>10</v>
      </c>
      <c r="E56" s="68">
        <v>1</v>
      </c>
      <c r="F56" s="69"/>
      <c r="G56" s="69"/>
      <c r="H56" s="69"/>
      <c r="I56" s="69"/>
      <c r="J56" s="70">
        <v>28078.2</v>
      </c>
      <c r="K56" s="107">
        <f t="shared" si="4"/>
        <v>28078.2</v>
      </c>
    </row>
    <row r="57" spans="1:12" customFormat="1">
      <c r="A57" s="7">
        <v>17</v>
      </c>
      <c r="B57" s="65" t="s">
        <v>126</v>
      </c>
      <c r="C57" s="36" t="s">
        <v>63</v>
      </c>
      <c r="D57" s="37" t="s">
        <v>10</v>
      </c>
      <c r="E57" s="8">
        <v>2</v>
      </c>
      <c r="F57" s="4"/>
      <c r="G57" s="4"/>
      <c r="H57" s="4"/>
      <c r="I57" s="4"/>
      <c r="J57" s="9">
        <v>49136.85</v>
      </c>
      <c r="K57" s="107">
        <f t="shared" si="4"/>
        <v>98273.7</v>
      </c>
      <c r="L57" s="15"/>
    </row>
    <row r="58" spans="1:12" s="73" customFormat="1">
      <c r="A58" s="64">
        <v>18</v>
      </c>
      <c r="B58" s="65" t="s">
        <v>136</v>
      </c>
      <c r="C58" s="66" t="s">
        <v>64</v>
      </c>
      <c r="D58" s="67" t="s">
        <v>42</v>
      </c>
      <c r="E58" s="68"/>
      <c r="F58" s="69"/>
      <c r="G58" s="69"/>
      <c r="H58" s="69"/>
      <c r="I58" s="69">
        <v>100</v>
      </c>
      <c r="J58" s="70">
        <v>561.55999999999995</v>
      </c>
      <c r="K58" s="107">
        <f t="shared" si="4"/>
        <v>56155.999999999993</v>
      </c>
      <c r="L58" s="72"/>
    </row>
    <row r="59" spans="1:12" s="73" customFormat="1">
      <c r="A59" s="64">
        <v>19</v>
      </c>
      <c r="B59" s="65" t="s">
        <v>131</v>
      </c>
      <c r="C59" s="66" t="s">
        <v>65</v>
      </c>
      <c r="D59" s="67" t="s">
        <v>9</v>
      </c>
      <c r="E59" s="68">
        <v>1</v>
      </c>
      <c r="F59" s="69"/>
      <c r="G59" s="69"/>
      <c r="H59" s="69"/>
      <c r="I59" s="69"/>
      <c r="J59" s="70">
        <v>491368.5</v>
      </c>
      <c r="K59" s="107">
        <f t="shared" si="4"/>
        <v>491368.5</v>
      </c>
    </row>
    <row r="60" spans="1:12" s="73" customFormat="1">
      <c r="A60" s="64">
        <v>20</v>
      </c>
      <c r="B60" s="65" t="s">
        <v>130</v>
      </c>
      <c r="C60" s="66" t="s">
        <v>66</v>
      </c>
      <c r="D60" s="67" t="s">
        <v>9</v>
      </c>
      <c r="E60" s="68">
        <v>1</v>
      </c>
      <c r="F60" s="69"/>
      <c r="G60" s="69"/>
      <c r="H60" s="69"/>
      <c r="I60" s="69"/>
      <c r="J60" s="70">
        <v>222947.09</v>
      </c>
      <c r="K60" s="107">
        <f t="shared" si="4"/>
        <v>222947.09</v>
      </c>
    </row>
    <row r="61" spans="1:12" s="73" customFormat="1">
      <c r="A61" s="64">
        <v>21</v>
      </c>
      <c r="B61" s="65" t="s">
        <v>148</v>
      </c>
      <c r="C61" s="66" t="s">
        <v>67</v>
      </c>
      <c r="D61" s="67" t="s">
        <v>10</v>
      </c>
      <c r="E61" s="68">
        <v>1</v>
      </c>
      <c r="F61" s="69"/>
      <c r="G61" s="69"/>
      <c r="H61" s="69"/>
      <c r="I61" s="69"/>
      <c r="J61" s="70">
        <v>3715784.75</v>
      </c>
      <c r="K61" s="107">
        <f t="shared" si="4"/>
        <v>3715784.75</v>
      </c>
    </row>
    <row r="62" spans="1:12" s="73" customFormat="1">
      <c r="A62" s="64">
        <v>22</v>
      </c>
      <c r="B62" s="65" t="s">
        <v>149</v>
      </c>
      <c r="C62" s="66" t="s">
        <v>68</v>
      </c>
      <c r="D62" s="67" t="s">
        <v>13</v>
      </c>
      <c r="E62" s="68">
        <v>2</v>
      </c>
      <c r="F62" s="69"/>
      <c r="G62" s="69"/>
      <c r="H62" s="69"/>
      <c r="I62" s="69"/>
      <c r="J62" s="70">
        <v>222947.09</v>
      </c>
      <c r="K62" s="107">
        <f t="shared" si="4"/>
        <v>445894.18</v>
      </c>
    </row>
    <row r="63" spans="1:12" s="73" customFormat="1">
      <c r="A63" s="64">
        <v>23</v>
      </c>
      <c r="B63" s="65" t="s">
        <v>150</v>
      </c>
      <c r="C63" s="66" t="s">
        <v>69</v>
      </c>
      <c r="D63" s="67" t="s">
        <v>13</v>
      </c>
      <c r="E63" s="68">
        <v>1</v>
      </c>
      <c r="F63" s="69"/>
      <c r="G63" s="69"/>
      <c r="H63" s="69"/>
      <c r="I63" s="69"/>
      <c r="J63" s="70">
        <v>1754887.5</v>
      </c>
      <c r="K63" s="107">
        <f t="shared" si="4"/>
        <v>1754887.5</v>
      </c>
    </row>
    <row r="64" spans="1:12" s="73" customFormat="1">
      <c r="A64" s="64">
        <v>24</v>
      </c>
      <c r="B64" s="65" t="s">
        <v>151</v>
      </c>
      <c r="C64" s="66" t="s">
        <v>70</v>
      </c>
      <c r="D64" s="67" t="s">
        <v>9</v>
      </c>
      <c r="E64" s="68">
        <v>1</v>
      </c>
      <c r="F64" s="69"/>
      <c r="G64" s="69"/>
      <c r="H64" s="69"/>
      <c r="I64" s="69"/>
      <c r="J64" s="70">
        <v>2229470.85</v>
      </c>
      <c r="K64" s="107">
        <f t="shared" si="4"/>
        <v>2229470.85</v>
      </c>
    </row>
    <row r="65" spans="1:11" s="73" customFormat="1">
      <c r="A65" s="64">
        <v>25</v>
      </c>
      <c r="B65" s="65" t="s">
        <v>132</v>
      </c>
      <c r="C65" s="66" t="s">
        <v>71</v>
      </c>
      <c r="D65" s="67" t="s">
        <v>9</v>
      </c>
      <c r="E65" s="68">
        <v>1</v>
      </c>
      <c r="F65" s="69"/>
      <c r="G65" s="69"/>
      <c r="H65" s="69"/>
      <c r="I65" s="69"/>
      <c r="J65" s="70">
        <v>445894.17</v>
      </c>
      <c r="K65" s="107">
        <f t="shared" si="4"/>
        <v>445894.17</v>
      </c>
    </row>
    <row r="66" spans="1:11" customFormat="1">
      <c r="A66" s="7">
        <v>26</v>
      </c>
      <c r="B66" s="20" t="s">
        <v>232</v>
      </c>
      <c r="C66" s="36" t="s">
        <v>72</v>
      </c>
      <c r="D66" s="37" t="s">
        <v>9</v>
      </c>
      <c r="E66" s="1">
        <v>1</v>
      </c>
      <c r="F66" s="4"/>
      <c r="G66" s="4"/>
      <c r="H66" s="4"/>
      <c r="I66" s="4"/>
      <c r="J66" s="49">
        <v>1403.91</v>
      </c>
      <c r="K66" s="107">
        <f t="shared" si="4"/>
        <v>1403.91</v>
      </c>
    </row>
    <row r="67" spans="1:11" s="73" customFormat="1">
      <c r="A67" s="64">
        <v>27</v>
      </c>
      <c r="B67" s="65" t="s">
        <v>152</v>
      </c>
      <c r="C67" s="66" t="s">
        <v>73</v>
      </c>
      <c r="D67" s="67" t="s">
        <v>9</v>
      </c>
      <c r="E67" s="68">
        <v>1</v>
      </c>
      <c r="F67" s="69"/>
      <c r="G67" s="69"/>
      <c r="H67" s="69"/>
      <c r="I67" s="69"/>
      <c r="J67" s="70">
        <v>371578.48</v>
      </c>
      <c r="K67" s="107">
        <f t="shared" si="4"/>
        <v>371578.48</v>
      </c>
    </row>
    <row r="68" spans="1:11" s="73" customFormat="1">
      <c r="A68" s="64">
        <v>28</v>
      </c>
      <c r="B68" s="65" t="s">
        <v>156</v>
      </c>
      <c r="C68" s="87" t="s">
        <v>74</v>
      </c>
      <c r="D68" s="67" t="s">
        <v>9</v>
      </c>
      <c r="E68" s="68">
        <v>1</v>
      </c>
      <c r="F68" s="69"/>
      <c r="G68" s="69"/>
      <c r="H68" s="69"/>
      <c r="I68" s="69"/>
      <c r="J68" s="70">
        <v>22607.266000000003</v>
      </c>
      <c r="K68" s="107">
        <f t="shared" si="4"/>
        <v>22607.266000000003</v>
      </c>
    </row>
    <row r="69" spans="1:11" s="73" customFormat="1">
      <c r="A69" s="64">
        <v>29</v>
      </c>
      <c r="B69" s="65" t="s">
        <v>214</v>
      </c>
      <c r="C69" s="96" t="s">
        <v>75</v>
      </c>
      <c r="D69" s="67" t="s">
        <v>9</v>
      </c>
      <c r="E69" s="68">
        <v>3</v>
      </c>
      <c r="F69" s="69"/>
      <c r="G69" s="69"/>
      <c r="H69" s="69"/>
      <c r="I69" s="69"/>
      <c r="J69" s="70">
        <v>13288.923999999999</v>
      </c>
      <c r="K69" s="107">
        <f t="shared" si="4"/>
        <v>39866.771999999997</v>
      </c>
    </row>
    <row r="70" spans="1:11" s="73" customFormat="1">
      <c r="A70" s="64">
        <v>30</v>
      </c>
      <c r="B70" s="65" t="s">
        <v>223</v>
      </c>
      <c r="C70" s="87" t="s">
        <v>76</v>
      </c>
      <c r="D70" s="67" t="s">
        <v>9</v>
      </c>
      <c r="E70" s="68">
        <v>6</v>
      </c>
      <c r="F70" s="69"/>
      <c r="G70" s="69"/>
      <c r="H70" s="69"/>
      <c r="I70" s="69"/>
      <c r="J70" s="70">
        <v>9474.101999999999</v>
      </c>
      <c r="K70" s="107">
        <f t="shared" si="4"/>
        <v>56844.611999999994</v>
      </c>
    </row>
    <row r="71" spans="1:11" s="73" customFormat="1">
      <c r="A71" s="64">
        <v>31</v>
      </c>
      <c r="B71" s="65" t="s">
        <v>224</v>
      </c>
      <c r="C71" s="87" t="s">
        <v>77</v>
      </c>
      <c r="D71" s="67" t="s">
        <v>9</v>
      </c>
      <c r="E71" s="68">
        <v>12</v>
      </c>
      <c r="F71" s="69"/>
      <c r="G71" s="69"/>
      <c r="H71" s="69"/>
      <c r="I71" s="69"/>
      <c r="J71" s="70">
        <v>7174.0459999999994</v>
      </c>
      <c r="K71" s="107">
        <f t="shared" si="4"/>
        <v>86088.551999999996</v>
      </c>
    </row>
    <row r="72" spans="1:11" s="73" customFormat="1">
      <c r="A72" s="64">
        <v>32</v>
      </c>
      <c r="B72" s="65" t="s">
        <v>223</v>
      </c>
      <c r="C72" s="87" t="s">
        <v>78</v>
      </c>
      <c r="D72" s="67" t="s">
        <v>9</v>
      </c>
      <c r="E72" s="68">
        <v>3</v>
      </c>
      <c r="F72" s="69"/>
      <c r="G72" s="69"/>
      <c r="H72" s="69"/>
      <c r="I72" s="69"/>
      <c r="J72" s="70">
        <v>6522.45</v>
      </c>
      <c r="K72" s="107">
        <f t="shared" si="4"/>
        <v>19567.349999999999</v>
      </c>
    </row>
    <row r="73" spans="1:11" s="73" customFormat="1">
      <c r="A73" s="64">
        <v>33</v>
      </c>
      <c r="B73" s="65" t="s">
        <v>225</v>
      </c>
      <c r="C73" s="87" t="s">
        <v>79</v>
      </c>
      <c r="D73" s="67" t="s">
        <v>9</v>
      </c>
      <c r="E73" s="68">
        <v>3</v>
      </c>
      <c r="F73" s="69"/>
      <c r="G73" s="69"/>
      <c r="H73" s="69"/>
      <c r="I73" s="69"/>
      <c r="J73" s="70">
        <v>18203.152000000002</v>
      </c>
      <c r="K73" s="107">
        <f t="shared" si="4"/>
        <v>54609.456000000006</v>
      </c>
    </row>
    <row r="74" spans="1:11" s="73" customFormat="1">
      <c r="A74" s="64">
        <v>34</v>
      </c>
      <c r="B74" s="65" t="s">
        <v>153</v>
      </c>
      <c r="C74" s="87" t="s">
        <v>80</v>
      </c>
      <c r="D74" s="67" t="s">
        <v>9</v>
      </c>
      <c r="E74" s="68">
        <v>2</v>
      </c>
      <c r="F74" s="69"/>
      <c r="G74" s="69"/>
      <c r="H74" s="69"/>
      <c r="I74" s="69"/>
      <c r="J74" s="70">
        <v>23336.742000000002</v>
      </c>
      <c r="K74" s="107">
        <f t="shared" si="4"/>
        <v>46673.484000000004</v>
      </c>
    </row>
    <row r="75" spans="1:11" s="73" customFormat="1">
      <c r="A75" s="64">
        <v>35</v>
      </c>
      <c r="B75" s="65" t="s">
        <v>155</v>
      </c>
      <c r="C75" s="87" t="s">
        <v>81</v>
      </c>
      <c r="D75" s="67" t="s">
        <v>9</v>
      </c>
      <c r="E75" s="68">
        <v>4</v>
      </c>
      <c r="F75" s="69"/>
      <c r="G75" s="69"/>
      <c r="H75" s="69"/>
      <c r="I75" s="69"/>
      <c r="J75" s="70">
        <v>30491.317999999999</v>
      </c>
      <c r="K75" s="107">
        <f t="shared" si="4"/>
        <v>121965.272</v>
      </c>
    </row>
    <row r="76" spans="1:11" s="73" customFormat="1">
      <c r="A76" s="64">
        <v>36</v>
      </c>
      <c r="B76" s="65" t="s">
        <v>225</v>
      </c>
      <c r="C76" s="87" t="s">
        <v>82</v>
      </c>
      <c r="D76" s="67" t="s">
        <v>9</v>
      </c>
      <c r="E76" s="68">
        <v>2</v>
      </c>
      <c r="F76" s="69"/>
      <c r="G76" s="69"/>
      <c r="H76" s="69"/>
      <c r="I76" s="69"/>
      <c r="J76" s="70">
        <v>18203.152000000002</v>
      </c>
      <c r="K76" s="107">
        <f t="shared" si="4"/>
        <v>36406.304000000004</v>
      </c>
    </row>
    <row r="77" spans="1:11" s="73" customFormat="1">
      <c r="A77" s="64">
        <v>37</v>
      </c>
      <c r="B77" s="65" t="s">
        <v>154</v>
      </c>
      <c r="C77" s="87" t="s">
        <v>83</v>
      </c>
      <c r="D77" s="67" t="s">
        <v>9</v>
      </c>
      <c r="E77" s="68">
        <v>2</v>
      </c>
      <c r="F77" s="69"/>
      <c r="G77" s="69"/>
      <c r="H77" s="69"/>
      <c r="I77" s="69"/>
      <c r="J77" s="70">
        <v>14319.536</v>
      </c>
      <c r="K77" s="107">
        <f t="shared" si="4"/>
        <v>28639.072</v>
      </c>
    </row>
    <row r="78" spans="1:11" s="73" customFormat="1">
      <c r="A78" s="64">
        <v>38</v>
      </c>
      <c r="B78" s="65" t="s">
        <v>211</v>
      </c>
      <c r="C78" s="87" t="s">
        <v>84</v>
      </c>
      <c r="D78" s="67" t="s">
        <v>9</v>
      </c>
      <c r="E78" s="68">
        <v>1</v>
      </c>
      <c r="F78" s="69"/>
      <c r="G78" s="69"/>
      <c r="H78" s="69"/>
      <c r="I78" s="69"/>
      <c r="J78" s="70">
        <v>23800.127999999997</v>
      </c>
      <c r="K78" s="107">
        <f t="shared" si="4"/>
        <v>23800.127999999997</v>
      </c>
    </row>
    <row r="79" spans="1:11" customFormat="1">
      <c r="A79" s="7">
        <v>39</v>
      </c>
      <c r="B79" s="20" t="s">
        <v>233</v>
      </c>
      <c r="C79" s="38" t="s">
        <v>85</v>
      </c>
      <c r="D79" s="37" t="s">
        <v>9</v>
      </c>
      <c r="E79" s="1">
        <v>3</v>
      </c>
      <c r="F79" s="4"/>
      <c r="G79" s="4"/>
      <c r="H79" s="4"/>
      <c r="I79" s="4"/>
      <c r="J79" s="49">
        <v>1103.3</v>
      </c>
      <c r="K79" s="107">
        <f t="shared" si="4"/>
        <v>3309.8999999999996</v>
      </c>
    </row>
    <row r="80" spans="1:11" s="73" customFormat="1">
      <c r="A80" s="64">
        <v>40</v>
      </c>
      <c r="B80" s="65" t="s">
        <v>210</v>
      </c>
      <c r="C80" s="87" t="s">
        <v>86</v>
      </c>
      <c r="D80" s="67" t="s">
        <v>9</v>
      </c>
      <c r="E80" s="68">
        <v>1</v>
      </c>
      <c r="F80" s="69"/>
      <c r="G80" s="69"/>
      <c r="H80" s="69"/>
      <c r="I80" s="69"/>
      <c r="J80" s="70">
        <v>91075.468000000008</v>
      </c>
      <c r="K80" s="107">
        <f t="shared" si="4"/>
        <v>91075.468000000008</v>
      </c>
    </row>
    <row r="81" spans="1:13" s="73" customFormat="1">
      <c r="A81" s="64">
        <v>41</v>
      </c>
      <c r="B81" s="65" t="s">
        <v>226</v>
      </c>
      <c r="C81" s="87" t="s">
        <v>87</v>
      </c>
      <c r="D81" s="67" t="s">
        <v>9</v>
      </c>
      <c r="E81" s="68">
        <v>10</v>
      </c>
      <c r="F81" s="69"/>
      <c r="G81" s="69"/>
      <c r="H81" s="69"/>
      <c r="I81" s="69"/>
      <c r="J81" s="70">
        <v>13216.236000000001</v>
      </c>
      <c r="K81" s="107">
        <f t="shared" si="4"/>
        <v>132162.36000000002</v>
      </c>
    </row>
    <row r="82" spans="1:13" s="73" customFormat="1">
      <c r="A82" s="64">
        <v>42</v>
      </c>
      <c r="B82" s="65" t="s">
        <v>227</v>
      </c>
      <c r="C82" s="87" t="s">
        <v>88</v>
      </c>
      <c r="D82" s="67" t="s">
        <v>9</v>
      </c>
      <c r="E82" s="68">
        <v>2</v>
      </c>
      <c r="F82" s="69"/>
      <c r="G82" s="69"/>
      <c r="H82" s="69"/>
      <c r="I82" s="69"/>
      <c r="J82" s="70">
        <v>12290.761999999999</v>
      </c>
      <c r="K82" s="107">
        <f t="shared" si="4"/>
        <v>24581.523999999998</v>
      </c>
    </row>
    <row r="83" spans="1:13" s="73" customFormat="1">
      <c r="A83" s="64">
        <v>43</v>
      </c>
      <c r="B83" s="65" t="s">
        <v>208</v>
      </c>
      <c r="C83" s="87" t="s">
        <v>89</v>
      </c>
      <c r="D83" s="67" t="s">
        <v>9</v>
      </c>
      <c r="E83" s="68">
        <v>2</v>
      </c>
      <c r="F83" s="69"/>
      <c r="G83" s="69"/>
      <c r="H83" s="69"/>
      <c r="I83" s="69"/>
      <c r="J83" s="70">
        <v>19386.928</v>
      </c>
      <c r="K83" s="107">
        <f t="shared" si="4"/>
        <v>38773.856</v>
      </c>
    </row>
    <row r="84" spans="1:13" s="73" customFormat="1">
      <c r="A84" s="64">
        <v>44</v>
      </c>
      <c r="B84" s="65" t="s">
        <v>163</v>
      </c>
      <c r="C84" s="87" t="s">
        <v>90</v>
      </c>
      <c r="D84" s="67" t="s">
        <v>9</v>
      </c>
      <c r="E84" s="68">
        <v>2</v>
      </c>
      <c r="F84" s="69"/>
      <c r="G84" s="69"/>
      <c r="H84" s="69"/>
      <c r="I84" s="69"/>
      <c r="J84" s="70">
        <v>18515.97</v>
      </c>
      <c r="K84" s="107">
        <f t="shared" si="4"/>
        <v>37031.94</v>
      </c>
    </row>
    <row r="85" spans="1:13" s="73" customFormat="1">
      <c r="A85" s="64">
        <v>45</v>
      </c>
      <c r="B85" s="65" t="s">
        <v>209</v>
      </c>
      <c r="C85" s="87" t="s">
        <v>91</v>
      </c>
      <c r="D85" s="67" t="s">
        <v>9</v>
      </c>
      <c r="E85" s="68">
        <v>2</v>
      </c>
      <c r="F85" s="69"/>
      <c r="G85" s="69"/>
      <c r="H85" s="69"/>
      <c r="I85" s="69"/>
      <c r="J85" s="70">
        <v>53390.634000000005</v>
      </c>
      <c r="K85" s="107">
        <f t="shared" si="4"/>
        <v>106781.26800000001</v>
      </c>
    </row>
    <row r="86" spans="1:13" s="73" customFormat="1">
      <c r="A86" s="64">
        <v>46</v>
      </c>
      <c r="B86" s="65" t="s">
        <v>212</v>
      </c>
      <c r="C86" s="87" t="s">
        <v>213</v>
      </c>
      <c r="D86" s="67" t="s">
        <v>9</v>
      </c>
      <c r="E86" s="68">
        <v>2</v>
      </c>
      <c r="F86" s="69"/>
      <c r="G86" s="69"/>
      <c r="H86" s="69"/>
      <c r="I86" s="69"/>
      <c r="J86" s="70">
        <v>15784.977999999999</v>
      </c>
      <c r="K86" s="107">
        <f t="shared" si="4"/>
        <v>31569.955999999998</v>
      </c>
    </row>
    <row r="87" spans="1:13" s="73" customFormat="1">
      <c r="A87" s="64">
        <v>47</v>
      </c>
      <c r="B87" s="65" t="s">
        <v>160</v>
      </c>
      <c r="C87" s="87" t="s">
        <v>92</v>
      </c>
      <c r="D87" s="67" t="s">
        <v>9</v>
      </c>
      <c r="E87" s="68">
        <v>4</v>
      </c>
      <c r="F87" s="69"/>
      <c r="G87" s="69"/>
      <c r="H87" s="69"/>
      <c r="I87" s="69"/>
      <c r="J87" s="70">
        <v>1579.6659999999999</v>
      </c>
      <c r="K87" s="107">
        <f t="shared" si="4"/>
        <v>6318.6639999999998</v>
      </c>
    </row>
    <row r="88" spans="1:13" s="73" customFormat="1" ht="36" customHeight="1">
      <c r="A88" s="64">
        <v>48</v>
      </c>
      <c r="B88" s="65" t="s">
        <v>161</v>
      </c>
      <c r="C88" s="87" t="s">
        <v>93</v>
      </c>
      <c r="D88" s="67" t="s">
        <v>9</v>
      </c>
      <c r="E88" s="68">
        <v>4</v>
      </c>
      <c r="F88" s="69"/>
      <c r="G88" s="69"/>
      <c r="H88" s="69"/>
      <c r="I88" s="69"/>
      <c r="J88" s="70">
        <v>2599.8000000000002</v>
      </c>
      <c r="K88" s="107">
        <f t="shared" si="4"/>
        <v>10399.200000000001</v>
      </c>
    </row>
    <row r="89" spans="1:13" s="73" customFormat="1">
      <c r="A89" s="64">
        <v>49</v>
      </c>
      <c r="B89" s="65" t="s">
        <v>162</v>
      </c>
      <c r="C89" s="87" t="s">
        <v>94</v>
      </c>
      <c r="D89" s="67" t="s">
        <v>9</v>
      </c>
      <c r="E89" s="68">
        <v>4</v>
      </c>
      <c r="F89" s="69"/>
      <c r="G89" s="69"/>
      <c r="H89" s="69"/>
      <c r="I89" s="69"/>
      <c r="J89" s="70">
        <v>1284.8</v>
      </c>
      <c r="K89" s="107">
        <f t="shared" si="4"/>
        <v>5139.2</v>
      </c>
    </row>
    <row r="90" spans="1:13" s="73" customFormat="1">
      <c r="A90" s="64">
        <v>50</v>
      </c>
      <c r="B90" s="65" t="s">
        <v>159</v>
      </c>
      <c r="C90" s="87" t="s">
        <v>95</v>
      </c>
      <c r="D90" s="67" t="s">
        <v>9</v>
      </c>
      <c r="E90" s="68">
        <v>2</v>
      </c>
      <c r="F90" s="69"/>
      <c r="G90" s="69"/>
      <c r="H90" s="69"/>
      <c r="I90" s="69"/>
      <c r="J90" s="70">
        <v>14537.6</v>
      </c>
      <c r="K90" s="107">
        <f t="shared" si="4"/>
        <v>29075.200000000001</v>
      </c>
    </row>
    <row r="91" spans="1:13" s="73" customFormat="1">
      <c r="A91" s="64">
        <v>51</v>
      </c>
      <c r="B91" s="65" t="s">
        <v>158</v>
      </c>
      <c r="C91" s="87" t="s">
        <v>96</v>
      </c>
      <c r="D91" s="67" t="s">
        <v>9</v>
      </c>
      <c r="E91" s="68">
        <v>3</v>
      </c>
      <c r="F91" s="69"/>
      <c r="G91" s="69"/>
      <c r="H91" s="69"/>
      <c r="I91" s="69"/>
      <c r="J91" s="70">
        <v>3335.86</v>
      </c>
      <c r="K91" s="107">
        <f t="shared" si="4"/>
        <v>10007.58</v>
      </c>
    </row>
    <row r="92" spans="1:13" s="73" customFormat="1">
      <c r="A92" s="64">
        <v>52</v>
      </c>
      <c r="B92" s="65" t="s">
        <v>157</v>
      </c>
      <c r="C92" s="87" t="s">
        <v>97</v>
      </c>
      <c r="D92" s="67" t="s">
        <v>9</v>
      </c>
      <c r="E92" s="68">
        <v>2</v>
      </c>
      <c r="F92" s="69"/>
      <c r="G92" s="69"/>
      <c r="H92" s="69"/>
      <c r="I92" s="69"/>
      <c r="J92" s="70">
        <v>23035.606</v>
      </c>
      <c r="K92" s="107">
        <f t="shared" si="4"/>
        <v>46071.212</v>
      </c>
    </row>
    <row r="93" spans="1:13" s="73" customFormat="1">
      <c r="A93" s="64">
        <v>53</v>
      </c>
      <c r="B93" s="65" t="s">
        <v>215</v>
      </c>
      <c r="C93" s="87" t="s">
        <v>98</v>
      </c>
      <c r="D93" s="67" t="s">
        <v>9</v>
      </c>
      <c r="E93" s="68">
        <v>1</v>
      </c>
      <c r="F93" s="69"/>
      <c r="G93" s="69"/>
      <c r="H93" s="69"/>
      <c r="I93" s="69"/>
      <c r="J93" s="70">
        <v>20861.455999999998</v>
      </c>
      <c r="K93" s="107">
        <f t="shared" si="4"/>
        <v>20861.455999999998</v>
      </c>
    </row>
    <row r="94" spans="1:13" customFormat="1">
      <c r="A94" s="7">
        <v>54</v>
      </c>
      <c r="B94" s="20" t="s">
        <v>232</v>
      </c>
      <c r="C94" s="39" t="s">
        <v>99</v>
      </c>
      <c r="D94" s="40" t="s">
        <v>13</v>
      </c>
      <c r="E94" s="1">
        <v>1</v>
      </c>
      <c r="F94" s="4"/>
      <c r="G94" s="4"/>
      <c r="H94" s="4"/>
      <c r="I94" s="4"/>
      <c r="J94" s="49">
        <v>210586.5</v>
      </c>
      <c r="K94" s="107">
        <f t="shared" si="4"/>
        <v>210586.5</v>
      </c>
    </row>
    <row r="95" spans="1:13" customFormat="1" ht="28.5">
      <c r="A95" s="7">
        <v>55</v>
      </c>
      <c r="B95" s="20" t="s">
        <v>232</v>
      </c>
      <c r="C95" s="39" t="s">
        <v>100</v>
      </c>
      <c r="D95" s="40" t="s">
        <v>13</v>
      </c>
      <c r="E95" s="1">
        <v>2</v>
      </c>
      <c r="F95" s="4"/>
      <c r="G95" s="4"/>
      <c r="H95" s="4"/>
      <c r="I95" s="4"/>
      <c r="J95" s="49">
        <v>280782</v>
      </c>
      <c r="K95" s="107">
        <f t="shared" si="4"/>
        <v>561564</v>
      </c>
      <c r="L95" s="15">
        <f>SUM(K41:K95)</f>
        <v>16694215.661999999</v>
      </c>
      <c r="M95" s="15">
        <f>L95-L96</f>
        <v>16630628.091999998</v>
      </c>
    </row>
    <row r="96" spans="1:13" customFormat="1" ht="16.5" customHeight="1">
      <c r="A96" s="133" t="s">
        <v>251</v>
      </c>
      <c r="B96" s="133"/>
      <c r="C96" s="133"/>
      <c r="D96" s="133"/>
      <c r="E96" s="133"/>
      <c r="F96" s="133"/>
      <c r="G96" s="133"/>
      <c r="H96" s="133"/>
      <c r="I96" s="133"/>
      <c r="J96" s="133"/>
      <c r="K96" s="133"/>
      <c r="L96">
        <f>I45*J45+I58*J58</f>
        <v>63587.569999999992</v>
      </c>
    </row>
    <row r="97" spans="1:12" customFormat="1" ht="7.5" hidden="1" customHeight="1">
      <c r="A97" s="123" t="s">
        <v>6</v>
      </c>
      <c r="B97" s="125" t="s">
        <v>28</v>
      </c>
      <c r="C97" s="123" t="s">
        <v>7</v>
      </c>
      <c r="D97" s="4" t="s">
        <v>8</v>
      </c>
      <c r="E97" s="127" t="s">
        <v>30</v>
      </c>
      <c r="F97" s="128"/>
      <c r="G97" s="128"/>
      <c r="H97" s="128"/>
      <c r="I97" s="129"/>
      <c r="J97" s="130" t="s">
        <v>26</v>
      </c>
      <c r="K97" s="130" t="s">
        <v>27</v>
      </c>
    </row>
    <row r="98" spans="1:12" customFormat="1" ht="16.5" hidden="1" customHeight="1">
      <c r="A98" s="124"/>
      <c r="B98" s="126"/>
      <c r="C98" s="124"/>
      <c r="D98" s="6"/>
      <c r="E98" s="14" t="s">
        <v>18</v>
      </c>
      <c r="F98" s="14" t="s">
        <v>29</v>
      </c>
      <c r="G98" s="14" t="s">
        <v>11</v>
      </c>
      <c r="H98" s="14" t="s">
        <v>21</v>
      </c>
      <c r="I98" s="14" t="s">
        <v>1</v>
      </c>
      <c r="J98" s="131"/>
      <c r="K98" s="131"/>
    </row>
    <row r="99" spans="1:12" customFormat="1" ht="15">
      <c r="A99" s="21">
        <v>1</v>
      </c>
      <c r="B99" s="55" t="s">
        <v>164</v>
      </c>
      <c r="C99" s="23" t="s">
        <v>12</v>
      </c>
      <c r="D99" s="24" t="s">
        <v>35</v>
      </c>
      <c r="E99" s="27">
        <v>0.2</v>
      </c>
      <c r="F99" s="2"/>
      <c r="G99" s="2"/>
      <c r="H99" s="27"/>
      <c r="I99" s="2"/>
      <c r="J99" s="28">
        <v>118000</v>
      </c>
      <c r="K99" s="25">
        <f>J99*(E99+I99)</f>
        <v>23600</v>
      </c>
    </row>
    <row r="100" spans="1:12" customFormat="1" ht="30">
      <c r="A100" s="21">
        <v>2</v>
      </c>
      <c r="B100" s="56" t="s">
        <v>165</v>
      </c>
      <c r="C100" s="23" t="s">
        <v>36</v>
      </c>
      <c r="D100" s="24" t="s">
        <v>13</v>
      </c>
      <c r="E100" s="27">
        <v>0</v>
      </c>
      <c r="F100" s="2"/>
      <c r="G100" s="2"/>
      <c r="H100" s="2"/>
      <c r="I100" s="2"/>
      <c r="J100" s="28"/>
      <c r="K100" s="25">
        <f t="shared" ref="K100:K108" si="5">J100*(E100+I100)</f>
        <v>0</v>
      </c>
    </row>
    <row r="101" spans="1:12" customFormat="1" ht="15">
      <c r="A101" s="21">
        <v>3</v>
      </c>
      <c r="B101" s="22" t="s">
        <v>166</v>
      </c>
      <c r="C101" s="29" t="s">
        <v>37</v>
      </c>
      <c r="D101" s="30" t="s">
        <v>9</v>
      </c>
      <c r="E101" s="2">
        <v>5</v>
      </c>
      <c r="F101" s="2"/>
      <c r="G101" s="2"/>
      <c r="H101" s="2"/>
      <c r="I101" s="2"/>
      <c r="J101" s="49">
        <v>250</v>
      </c>
      <c r="K101" s="25">
        <f t="shared" si="5"/>
        <v>1250</v>
      </c>
    </row>
    <row r="102" spans="1:12" customFormat="1" ht="15">
      <c r="A102" s="21">
        <v>4</v>
      </c>
      <c r="B102" s="55" t="s">
        <v>167</v>
      </c>
      <c r="C102" s="31" t="s">
        <v>38</v>
      </c>
      <c r="D102" s="30" t="s">
        <v>9</v>
      </c>
      <c r="E102" s="2">
        <v>2</v>
      </c>
      <c r="F102" s="2"/>
      <c r="G102" s="2"/>
      <c r="H102" s="2"/>
      <c r="I102" s="2"/>
      <c r="J102" s="25">
        <v>9555.64</v>
      </c>
      <c r="K102" s="25">
        <f t="shared" si="5"/>
        <v>19111.28</v>
      </c>
      <c r="L102" s="15"/>
    </row>
    <row r="103" spans="1:12" customFormat="1" ht="15">
      <c r="A103" s="21">
        <v>5</v>
      </c>
      <c r="B103" s="22" t="s">
        <v>170</v>
      </c>
      <c r="C103" s="31" t="s">
        <v>39</v>
      </c>
      <c r="D103" s="30" t="s">
        <v>9</v>
      </c>
      <c r="E103" s="2">
        <v>4</v>
      </c>
      <c r="F103" s="2"/>
      <c r="G103" s="2"/>
      <c r="H103" s="2"/>
      <c r="I103" s="2"/>
      <c r="J103" s="25">
        <v>80</v>
      </c>
      <c r="K103" s="25">
        <f t="shared" si="5"/>
        <v>320</v>
      </c>
    </row>
    <row r="104" spans="1:12" ht="21" customHeight="1">
      <c r="A104" s="21">
        <v>6</v>
      </c>
      <c r="B104" s="22" t="s">
        <v>171</v>
      </c>
      <c r="C104" s="31" t="s">
        <v>40</v>
      </c>
      <c r="D104" s="30" t="s">
        <v>9</v>
      </c>
      <c r="E104" s="2">
        <v>2</v>
      </c>
      <c r="F104" s="2"/>
      <c r="G104" s="2"/>
      <c r="H104" s="2"/>
      <c r="I104" s="2"/>
      <c r="J104" s="25">
        <v>40</v>
      </c>
      <c r="K104" s="25">
        <f t="shared" si="5"/>
        <v>80</v>
      </c>
    </row>
    <row r="105" spans="1:12" ht="16.5" customHeight="1">
      <c r="A105" s="21">
        <v>7</v>
      </c>
      <c r="B105" s="22" t="s">
        <v>172</v>
      </c>
      <c r="C105" s="31" t="s">
        <v>41</v>
      </c>
      <c r="D105" s="30" t="s">
        <v>9</v>
      </c>
      <c r="E105" s="2">
        <v>3</v>
      </c>
      <c r="F105" s="2"/>
      <c r="G105" s="2"/>
      <c r="H105" s="2"/>
      <c r="I105" s="2"/>
      <c r="J105" s="25">
        <v>30</v>
      </c>
      <c r="K105" s="25">
        <f t="shared" si="5"/>
        <v>90</v>
      </c>
      <c r="L105" s="17"/>
    </row>
    <row r="106" spans="1:12" ht="16.5" customHeight="1">
      <c r="A106" s="21">
        <v>9</v>
      </c>
      <c r="B106" s="2" t="s">
        <v>173</v>
      </c>
      <c r="C106" s="31" t="s">
        <v>43</v>
      </c>
      <c r="D106" s="30" t="s">
        <v>5</v>
      </c>
      <c r="E106" s="2"/>
      <c r="F106" s="2"/>
      <c r="G106" s="2"/>
      <c r="H106" s="2"/>
      <c r="I106" s="2">
        <v>50</v>
      </c>
      <c r="J106" s="25">
        <v>15</v>
      </c>
      <c r="K106" s="25">
        <f t="shared" si="5"/>
        <v>750</v>
      </c>
      <c r="L106" s="17"/>
    </row>
    <row r="107" spans="1:12" ht="16.5" customHeight="1">
      <c r="A107" s="21">
        <v>10</v>
      </c>
      <c r="B107" s="59" t="s">
        <v>168</v>
      </c>
      <c r="C107" s="33" t="s">
        <v>44</v>
      </c>
      <c r="D107" s="30" t="s">
        <v>45</v>
      </c>
      <c r="E107" s="2">
        <v>5</v>
      </c>
      <c r="F107" s="2"/>
      <c r="G107" s="2"/>
      <c r="H107" s="2"/>
      <c r="I107" s="2"/>
      <c r="J107" s="25">
        <v>10679</v>
      </c>
      <c r="K107" s="25">
        <f t="shared" si="5"/>
        <v>53395</v>
      </c>
    </row>
    <row r="108" spans="1:12" ht="16.5" customHeight="1">
      <c r="A108" s="21">
        <v>11</v>
      </c>
      <c r="B108" s="32" t="s">
        <v>167</v>
      </c>
      <c r="C108" s="34" t="s">
        <v>46</v>
      </c>
      <c r="D108" s="35" t="s">
        <v>3</v>
      </c>
      <c r="E108" s="2">
        <v>9</v>
      </c>
      <c r="F108" s="2"/>
      <c r="G108" s="2"/>
      <c r="H108" s="2"/>
      <c r="I108" s="2"/>
      <c r="J108" s="25">
        <v>6380.26</v>
      </c>
      <c r="K108" s="25">
        <f t="shared" si="5"/>
        <v>57422.340000000004</v>
      </c>
      <c r="L108" s="17"/>
    </row>
    <row r="109" spans="1:12" ht="16.5" customHeight="1">
      <c r="A109" s="21">
        <v>12</v>
      </c>
      <c r="B109" s="22" t="s">
        <v>169</v>
      </c>
      <c r="C109" s="57" t="s">
        <v>137</v>
      </c>
      <c r="D109" s="30" t="s">
        <v>45</v>
      </c>
      <c r="E109" s="2">
        <v>2</v>
      </c>
      <c r="F109" s="2"/>
      <c r="G109" s="2"/>
      <c r="H109" s="2"/>
      <c r="I109" s="2"/>
      <c r="J109" s="25">
        <v>1180</v>
      </c>
      <c r="K109" s="25">
        <f t="shared" ref="K109:K114" si="6">J109*(E109+I109)</f>
        <v>2360</v>
      </c>
      <c r="L109" s="17"/>
    </row>
    <row r="110" spans="1:12" ht="16.5" customHeight="1">
      <c r="A110" s="21">
        <v>13</v>
      </c>
      <c r="B110" s="22" t="s">
        <v>166</v>
      </c>
      <c r="C110" s="57" t="s">
        <v>37</v>
      </c>
      <c r="D110" s="30" t="s">
        <v>9</v>
      </c>
      <c r="E110" s="2">
        <v>5</v>
      </c>
      <c r="F110" s="2"/>
      <c r="G110" s="2"/>
      <c r="H110" s="2"/>
      <c r="I110" s="2"/>
      <c r="J110" s="25">
        <v>464</v>
      </c>
      <c r="K110" s="25">
        <f t="shared" si="6"/>
        <v>2320</v>
      </c>
      <c r="L110" s="17"/>
    </row>
    <row r="111" spans="1:12" ht="16.5" customHeight="1">
      <c r="A111" s="21">
        <v>15</v>
      </c>
      <c r="B111" s="22" t="s">
        <v>173</v>
      </c>
      <c r="C111" s="90" t="s">
        <v>195</v>
      </c>
      <c r="D111" s="8" t="s">
        <v>5</v>
      </c>
      <c r="E111" s="92"/>
      <c r="F111" s="2"/>
      <c r="G111" s="2"/>
      <c r="H111" s="2"/>
      <c r="I111" s="2">
        <v>6500</v>
      </c>
      <c r="J111" s="91">
        <v>43</v>
      </c>
      <c r="K111" s="25">
        <f t="shared" si="6"/>
        <v>279500</v>
      </c>
      <c r="L111" s="17"/>
    </row>
    <row r="112" spans="1:12" s="116" customFormat="1" ht="16.5" customHeight="1">
      <c r="A112" s="81">
        <v>16</v>
      </c>
      <c r="B112" s="111" t="s">
        <v>166</v>
      </c>
      <c r="C112" s="112" t="s">
        <v>196</v>
      </c>
      <c r="D112" s="79" t="s">
        <v>2</v>
      </c>
      <c r="E112" s="113">
        <v>0</v>
      </c>
      <c r="F112" s="82"/>
      <c r="G112" s="82"/>
      <c r="H112" s="82"/>
      <c r="I112" s="82"/>
      <c r="J112" s="114"/>
      <c r="K112" s="115">
        <f t="shared" si="6"/>
        <v>0</v>
      </c>
      <c r="L112" s="86"/>
    </row>
    <row r="113" spans="1:12" ht="16.5" customHeight="1">
      <c r="A113" s="21">
        <v>17</v>
      </c>
      <c r="B113" s="22" t="s">
        <v>235</v>
      </c>
      <c r="C113" s="89" t="s">
        <v>197</v>
      </c>
      <c r="D113" s="8" t="s">
        <v>5</v>
      </c>
      <c r="E113" s="92"/>
      <c r="F113" s="2"/>
      <c r="G113" s="2"/>
      <c r="H113" s="2"/>
      <c r="I113" s="2">
        <v>1000</v>
      </c>
      <c r="J113" s="91">
        <v>43</v>
      </c>
      <c r="K113" s="25">
        <f t="shared" si="6"/>
        <v>43000</v>
      </c>
      <c r="L113" s="17">
        <f>L114-L115</f>
        <v>209948.62</v>
      </c>
    </row>
    <row r="114" spans="1:12" ht="16.5" customHeight="1">
      <c r="A114" s="21">
        <v>18</v>
      </c>
      <c r="B114" s="22" t="s">
        <v>236</v>
      </c>
      <c r="C114" s="89" t="s">
        <v>248</v>
      </c>
      <c r="D114" s="8" t="s">
        <v>5</v>
      </c>
      <c r="E114" s="92">
        <v>1000</v>
      </c>
      <c r="F114" s="2"/>
      <c r="G114" s="2"/>
      <c r="H114" s="2"/>
      <c r="I114" s="2"/>
      <c r="J114" s="91">
        <v>50</v>
      </c>
      <c r="K114" s="25">
        <f t="shared" si="6"/>
        <v>50000</v>
      </c>
      <c r="L114" s="17">
        <f>SUM(K99:K114)</f>
        <v>533198.62</v>
      </c>
    </row>
    <row r="115" spans="1:12" ht="16.5" customHeight="1">
      <c r="A115" s="120" t="s">
        <v>102</v>
      </c>
      <c r="B115" s="121"/>
      <c r="C115" s="121"/>
      <c r="D115" s="121"/>
      <c r="E115" s="121"/>
      <c r="F115" s="121"/>
      <c r="G115" s="121"/>
      <c r="H115" s="121"/>
      <c r="I115" s="121"/>
      <c r="J115" s="121"/>
      <c r="K115" s="122"/>
      <c r="L115" s="3">
        <f>I106*J106+I111*J111+I113*J113</f>
        <v>323250</v>
      </c>
    </row>
    <row r="116" spans="1:12" ht="16.5" customHeight="1">
      <c r="A116" s="123" t="s">
        <v>6</v>
      </c>
      <c r="B116" s="125" t="s">
        <v>28</v>
      </c>
      <c r="C116" s="123" t="s">
        <v>7</v>
      </c>
      <c r="D116" s="4" t="s">
        <v>8</v>
      </c>
      <c r="E116" s="127" t="s">
        <v>30</v>
      </c>
      <c r="F116" s="128"/>
      <c r="G116" s="128"/>
      <c r="H116" s="128"/>
      <c r="I116" s="129"/>
      <c r="J116" s="130" t="s">
        <v>26</v>
      </c>
      <c r="K116" s="130" t="s">
        <v>27</v>
      </c>
    </row>
    <row r="117" spans="1:12" ht="16.5" customHeight="1">
      <c r="A117" s="124"/>
      <c r="B117" s="126"/>
      <c r="C117" s="124"/>
      <c r="D117" s="6"/>
      <c r="E117" s="14" t="s">
        <v>18</v>
      </c>
      <c r="F117" s="14" t="s">
        <v>29</v>
      </c>
      <c r="G117" s="14" t="s">
        <v>11</v>
      </c>
      <c r="H117" s="14" t="s">
        <v>21</v>
      </c>
      <c r="I117" s="14" t="s">
        <v>1</v>
      </c>
      <c r="J117" s="131"/>
      <c r="K117" s="131"/>
    </row>
    <row r="118" spans="1:12" ht="16.5" customHeight="1">
      <c r="A118" s="19">
        <v>1</v>
      </c>
      <c r="B118" s="20" t="s">
        <v>135</v>
      </c>
      <c r="C118" s="36" t="s">
        <v>103</v>
      </c>
      <c r="D118" s="37" t="s">
        <v>42</v>
      </c>
      <c r="E118" s="62">
        <v>100</v>
      </c>
      <c r="F118" s="4"/>
      <c r="G118" s="4"/>
      <c r="H118" s="4"/>
      <c r="I118" s="4"/>
      <c r="J118" s="50">
        <v>210.59</v>
      </c>
      <c r="K118" s="48">
        <f t="shared" ref="K118:K132" si="7">J118*(I118+E118)</f>
        <v>21059</v>
      </c>
    </row>
    <row r="119" spans="1:12" ht="16.5" customHeight="1">
      <c r="A119" s="19">
        <v>2</v>
      </c>
      <c r="B119" s="20" t="s">
        <v>134</v>
      </c>
      <c r="C119" s="36" t="s">
        <v>104</v>
      </c>
      <c r="D119" s="37" t="s">
        <v>42</v>
      </c>
      <c r="E119" s="47">
        <v>100</v>
      </c>
      <c r="F119" s="4"/>
      <c r="G119" s="4"/>
      <c r="H119" s="4"/>
      <c r="I119" s="4"/>
      <c r="J119" s="49">
        <v>280.77999999999997</v>
      </c>
      <c r="K119" s="48">
        <f t="shared" si="7"/>
        <v>28077.999999999996</v>
      </c>
    </row>
    <row r="120" spans="1:12" ht="30.75" customHeight="1">
      <c r="A120" s="19">
        <v>3</v>
      </c>
      <c r="B120" s="20" t="s">
        <v>128</v>
      </c>
      <c r="C120" s="53" t="s">
        <v>105</v>
      </c>
      <c r="D120" s="42" t="s">
        <v>2</v>
      </c>
      <c r="E120" s="46">
        <v>2</v>
      </c>
      <c r="F120" s="4"/>
      <c r="G120" s="4"/>
      <c r="H120" s="4"/>
      <c r="I120" s="4"/>
      <c r="J120" s="51">
        <v>6619.8</v>
      </c>
      <c r="K120" s="48">
        <f t="shared" si="7"/>
        <v>13239.6</v>
      </c>
    </row>
    <row r="121" spans="1:12" ht="32.25" customHeight="1">
      <c r="A121" s="19">
        <v>4</v>
      </c>
      <c r="B121" s="20" t="s">
        <v>127</v>
      </c>
      <c r="C121" s="54" t="s">
        <v>124</v>
      </c>
      <c r="D121" s="43" t="s">
        <v>2</v>
      </c>
      <c r="E121" s="47">
        <v>1</v>
      </c>
      <c r="F121" s="4"/>
      <c r="G121" s="4"/>
      <c r="H121" s="4"/>
      <c r="I121" s="4"/>
      <c r="J121" s="49">
        <v>4590.2</v>
      </c>
      <c r="K121" s="48">
        <f t="shared" si="7"/>
        <v>4590.2</v>
      </c>
    </row>
    <row r="122" spans="1:12" ht="16.5" customHeight="1">
      <c r="A122" s="19">
        <v>5</v>
      </c>
      <c r="B122" s="20" t="s">
        <v>129</v>
      </c>
      <c r="C122" s="45" t="s">
        <v>106</v>
      </c>
      <c r="D122" s="43" t="s">
        <v>2</v>
      </c>
      <c r="E122" s="47">
        <v>2</v>
      </c>
      <c r="F122" s="4"/>
      <c r="G122" s="4"/>
      <c r="H122" s="4"/>
      <c r="I122" s="4"/>
      <c r="J122" s="49">
        <v>3964.8</v>
      </c>
      <c r="K122" s="48">
        <f t="shared" si="7"/>
        <v>7929.6</v>
      </c>
    </row>
    <row r="123" spans="1:12" ht="16.5" customHeight="1">
      <c r="A123" s="19">
        <v>6</v>
      </c>
      <c r="B123" s="20" t="s">
        <v>133</v>
      </c>
      <c r="C123" s="45" t="s">
        <v>107</v>
      </c>
      <c r="D123" s="43" t="s">
        <v>2</v>
      </c>
      <c r="E123" s="47">
        <v>2</v>
      </c>
      <c r="F123" s="4"/>
      <c r="G123" s="4"/>
      <c r="H123" s="4"/>
      <c r="I123" s="4"/>
      <c r="J123" s="49">
        <v>6324.8</v>
      </c>
      <c r="K123" s="48">
        <f t="shared" si="7"/>
        <v>12649.6</v>
      </c>
    </row>
    <row r="124" spans="1:12" ht="16.5" customHeight="1">
      <c r="A124" s="19">
        <v>7</v>
      </c>
      <c r="B124" s="20" t="s">
        <v>174</v>
      </c>
      <c r="C124" s="45" t="s">
        <v>108</v>
      </c>
      <c r="D124" s="44" t="s">
        <v>4</v>
      </c>
      <c r="E124" s="47">
        <v>200</v>
      </c>
      <c r="F124" s="4"/>
      <c r="G124" s="4"/>
      <c r="H124" s="4"/>
      <c r="I124" s="4"/>
      <c r="J124" s="49">
        <v>138.06</v>
      </c>
      <c r="K124" s="48">
        <f t="shared" si="7"/>
        <v>27612</v>
      </c>
      <c r="L124" s="17"/>
    </row>
    <row r="125" spans="1:12" ht="16.5" customHeight="1">
      <c r="A125" s="19">
        <v>8</v>
      </c>
      <c r="B125" s="20" t="s">
        <v>237</v>
      </c>
      <c r="C125" s="45" t="s">
        <v>109</v>
      </c>
      <c r="D125" s="43" t="s">
        <v>2</v>
      </c>
      <c r="E125" s="47">
        <v>12</v>
      </c>
      <c r="F125" s="4"/>
      <c r="G125" s="4"/>
      <c r="H125" s="4"/>
      <c r="I125" s="4"/>
      <c r="J125" s="52">
        <v>221.84</v>
      </c>
      <c r="K125" s="48">
        <f t="shared" si="7"/>
        <v>2662.08</v>
      </c>
    </row>
    <row r="126" spans="1:12" ht="16.5" customHeight="1">
      <c r="A126" s="19">
        <v>9</v>
      </c>
      <c r="B126" s="20" t="s">
        <v>237</v>
      </c>
      <c r="C126" s="45" t="s">
        <v>110</v>
      </c>
      <c r="D126" s="35" t="s">
        <v>2</v>
      </c>
      <c r="E126" s="47">
        <v>8</v>
      </c>
      <c r="F126" s="5"/>
      <c r="G126" s="5"/>
      <c r="H126" s="5"/>
      <c r="I126" s="5"/>
      <c r="J126" s="52">
        <v>460.2</v>
      </c>
      <c r="K126" s="48">
        <f t="shared" si="7"/>
        <v>3681.6</v>
      </c>
    </row>
    <row r="127" spans="1:12">
      <c r="A127" s="19">
        <v>10</v>
      </c>
      <c r="B127" s="20" t="s">
        <v>122</v>
      </c>
      <c r="C127" s="45" t="s">
        <v>31</v>
      </c>
      <c r="D127" s="35" t="s">
        <v>2</v>
      </c>
      <c r="E127" s="47">
        <v>4</v>
      </c>
      <c r="F127" s="5"/>
      <c r="G127" s="5"/>
      <c r="H127" s="5"/>
      <c r="I127" s="5"/>
      <c r="J127" s="52">
        <v>342.2</v>
      </c>
      <c r="K127" s="48">
        <f t="shared" si="7"/>
        <v>1368.8</v>
      </c>
    </row>
    <row r="128" spans="1:12">
      <c r="A128" s="19">
        <v>11</v>
      </c>
      <c r="B128" s="20" t="s">
        <v>123</v>
      </c>
      <c r="C128" s="45" t="s">
        <v>111</v>
      </c>
      <c r="D128" s="35" t="s">
        <v>2</v>
      </c>
      <c r="E128" s="47">
        <v>4</v>
      </c>
      <c r="F128" s="5"/>
      <c r="G128" s="5"/>
      <c r="H128" s="5"/>
      <c r="I128" s="5"/>
      <c r="J128" s="52">
        <v>2808.4</v>
      </c>
      <c r="K128" s="48">
        <f t="shared" si="7"/>
        <v>11233.6</v>
      </c>
    </row>
    <row r="129" spans="1:12">
      <c r="A129" s="19">
        <v>12</v>
      </c>
      <c r="B129" s="20" t="s">
        <v>238</v>
      </c>
      <c r="C129" s="45" t="s">
        <v>112</v>
      </c>
      <c r="D129" s="41" t="s">
        <v>113</v>
      </c>
      <c r="E129" s="47">
        <v>2</v>
      </c>
      <c r="F129" s="5"/>
      <c r="G129" s="5"/>
      <c r="H129" s="5"/>
      <c r="I129" s="5"/>
      <c r="J129" s="52">
        <v>24438.400000000001</v>
      </c>
      <c r="K129" s="48">
        <f t="shared" si="7"/>
        <v>48876.800000000003</v>
      </c>
    </row>
    <row r="130" spans="1:12">
      <c r="A130" s="19">
        <v>13</v>
      </c>
      <c r="B130" s="20" t="s">
        <v>175</v>
      </c>
      <c r="C130" s="45" t="s">
        <v>114</v>
      </c>
      <c r="D130" s="41" t="s">
        <v>113</v>
      </c>
      <c r="E130" s="47">
        <v>1</v>
      </c>
      <c r="F130" s="5"/>
      <c r="G130" s="5"/>
      <c r="H130" s="5"/>
      <c r="I130" s="5"/>
      <c r="J130" s="52">
        <v>22276.799999999999</v>
      </c>
      <c r="K130" s="48">
        <f t="shared" si="7"/>
        <v>22276.799999999999</v>
      </c>
    </row>
    <row r="131" spans="1:12">
      <c r="A131" s="19">
        <v>14</v>
      </c>
      <c r="B131" s="20" t="s">
        <v>239</v>
      </c>
      <c r="C131" s="45" t="s">
        <v>115</v>
      </c>
      <c r="D131" s="35" t="s">
        <v>2</v>
      </c>
      <c r="E131" s="47">
        <v>1</v>
      </c>
      <c r="F131" s="5"/>
      <c r="G131" s="5"/>
      <c r="H131" s="5"/>
      <c r="I131" s="5"/>
      <c r="J131" s="52">
        <v>3410.2</v>
      </c>
      <c r="K131" s="48">
        <f t="shared" si="7"/>
        <v>3410.2</v>
      </c>
    </row>
    <row r="132" spans="1:12">
      <c r="A132" s="19">
        <v>15</v>
      </c>
      <c r="B132" s="20" t="s">
        <v>176</v>
      </c>
      <c r="C132" s="45" t="s">
        <v>116</v>
      </c>
      <c r="D132" s="35" t="s">
        <v>2</v>
      </c>
      <c r="E132" s="47">
        <v>1</v>
      </c>
      <c r="F132" s="5"/>
      <c r="G132" s="5"/>
      <c r="H132" s="5"/>
      <c r="I132" s="5"/>
      <c r="J132" s="52">
        <v>6442.8</v>
      </c>
      <c r="K132" s="48">
        <f t="shared" si="7"/>
        <v>6442.8</v>
      </c>
      <c r="L132" s="17">
        <f>SUM(K118:K132)</f>
        <v>215110.68</v>
      </c>
    </row>
    <row r="135" spans="1:12" ht="16.5" customHeight="1">
      <c r="A135" s="142" t="s">
        <v>253</v>
      </c>
      <c r="B135" s="142"/>
      <c r="C135" s="142"/>
      <c r="D135" s="142"/>
      <c r="E135" s="142"/>
      <c r="F135" s="142"/>
      <c r="G135" s="142"/>
      <c r="H135" s="142"/>
      <c r="I135" s="142"/>
      <c r="J135" s="142"/>
      <c r="K135" s="26"/>
      <c r="L135" s="17"/>
    </row>
    <row r="136" spans="1:12" ht="16.5" customHeight="1">
      <c r="A136" s="142"/>
      <c r="B136" s="142"/>
      <c r="C136" s="142"/>
      <c r="D136" s="142"/>
      <c r="E136" s="142"/>
      <c r="F136" s="142"/>
      <c r="G136" s="142"/>
      <c r="H136" s="142"/>
      <c r="I136" s="142"/>
      <c r="J136" s="142"/>
      <c r="K136" s="26"/>
      <c r="L136" s="17"/>
    </row>
    <row r="137" spans="1:12">
      <c r="A137" s="143"/>
      <c r="B137" s="144"/>
      <c r="C137" s="145"/>
      <c r="D137" s="145"/>
      <c r="E137" s="26"/>
      <c r="F137" s="26"/>
      <c r="G137" s="26"/>
      <c r="H137" s="26"/>
      <c r="I137" s="26"/>
      <c r="J137" s="26"/>
      <c r="K137" s="26"/>
      <c r="L137" s="17"/>
    </row>
    <row r="138" spans="1:12">
      <c r="A138" s="146" t="s">
        <v>254</v>
      </c>
      <c r="B138" s="146"/>
      <c r="C138" s="146"/>
      <c r="D138" s="147"/>
      <c r="E138" s="26"/>
      <c r="F138" s="26"/>
      <c r="G138" s="26"/>
      <c r="H138" s="146" t="s">
        <v>255</v>
      </c>
      <c r="I138" s="146"/>
      <c r="J138" s="26" t="s">
        <v>256</v>
      </c>
      <c r="K138" s="26"/>
      <c r="L138" s="17"/>
    </row>
    <row r="139" spans="1:12">
      <c r="A139" s="146" t="s">
        <v>257</v>
      </c>
      <c r="B139" s="146"/>
      <c r="C139" s="146"/>
      <c r="D139" s="147"/>
      <c r="E139" s="26"/>
      <c r="F139" s="26"/>
      <c r="G139" s="26"/>
      <c r="H139" s="148" t="s">
        <v>258</v>
      </c>
      <c r="I139" s="149">
        <v>46204</v>
      </c>
      <c r="J139" s="149"/>
      <c r="K139" s="26"/>
    </row>
    <row r="140" spans="1:12">
      <c r="A140" s="150" t="s">
        <v>259</v>
      </c>
      <c r="B140" s="151"/>
      <c r="C140" s="152" t="s">
        <v>260</v>
      </c>
      <c r="D140" s="147"/>
      <c r="E140" s="26"/>
      <c r="F140" s="26"/>
      <c r="G140" s="26"/>
      <c r="H140" s="148"/>
      <c r="I140" s="26"/>
      <c r="J140" s="26"/>
      <c r="K140" s="26"/>
    </row>
    <row r="141" spans="1:12">
      <c r="A141" s="153"/>
      <c r="B141" s="153"/>
      <c r="C141" s="153"/>
      <c r="D141" s="153"/>
      <c r="E141" s="153"/>
      <c r="F141" s="153"/>
      <c r="G141" s="153"/>
      <c r="H141" s="153"/>
      <c r="I141" s="153"/>
      <c r="J141" s="153"/>
      <c r="K141" s="153"/>
    </row>
    <row r="142" spans="1:12">
      <c r="A142" s="154" t="s">
        <v>261</v>
      </c>
      <c r="B142" s="155" t="s">
        <v>262</v>
      </c>
      <c r="C142" s="156" t="s">
        <v>263</v>
      </c>
      <c r="D142" s="157" t="s">
        <v>8</v>
      </c>
      <c r="E142" s="155" t="s">
        <v>264</v>
      </c>
      <c r="F142" s="155"/>
      <c r="G142" s="155"/>
      <c r="H142" s="155"/>
      <c r="I142" s="155"/>
      <c r="J142" s="158" t="s">
        <v>265</v>
      </c>
      <c r="K142" s="158" t="s">
        <v>27</v>
      </c>
    </row>
    <row r="143" spans="1:12" ht="28.5">
      <c r="A143" s="155"/>
      <c r="B143" s="155"/>
      <c r="C143" s="156"/>
      <c r="D143" s="159"/>
      <c r="E143" s="160" t="s">
        <v>18</v>
      </c>
      <c r="F143" s="161" t="s">
        <v>266</v>
      </c>
      <c r="G143" s="160" t="s">
        <v>11</v>
      </c>
      <c r="H143" s="161" t="s">
        <v>267</v>
      </c>
      <c r="I143" s="160" t="s">
        <v>268</v>
      </c>
      <c r="J143" s="162"/>
      <c r="K143" s="162"/>
    </row>
    <row r="144" spans="1:12">
      <c r="A144" s="160">
        <v>1</v>
      </c>
      <c r="B144" s="163" t="s">
        <v>269</v>
      </c>
      <c r="C144" s="164" t="s">
        <v>270</v>
      </c>
      <c r="D144" s="165" t="s">
        <v>2</v>
      </c>
      <c r="E144" s="166">
        <v>3</v>
      </c>
      <c r="F144" s="2"/>
      <c r="G144" s="2"/>
      <c r="H144" s="2"/>
      <c r="I144" s="2"/>
      <c r="J144" s="167">
        <v>100</v>
      </c>
      <c r="K144" s="168">
        <f>J144*E144</f>
        <v>300</v>
      </c>
    </row>
    <row r="145" spans="1:11">
      <c r="A145" s="160">
        <v>2</v>
      </c>
      <c r="B145" s="163" t="s">
        <v>271</v>
      </c>
      <c r="C145" s="164" t="s">
        <v>272</v>
      </c>
      <c r="D145" s="165" t="s">
        <v>2</v>
      </c>
      <c r="E145" s="166">
        <v>2</v>
      </c>
      <c r="F145" s="2"/>
      <c r="G145" s="2"/>
      <c r="H145" s="2"/>
      <c r="I145" s="2"/>
      <c r="J145" s="167">
        <v>100</v>
      </c>
      <c r="K145" s="168">
        <f t="shared" ref="K145:K208" si="8">J145*E145</f>
        <v>200</v>
      </c>
    </row>
    <row r="146" spans="1:11">
      <c r="A146" s="160">
        <v>3</v>
      </c>
      <c r="B146" s="163" t="s">
        <v>273</v>
      </c>
      <c r="C146" s="164" t="s">
        <v>274</v>
      </c>
      <c r="D146" s="165" t="s">
        <v>4</v>
      </c>
      <c r="E146" s="166">
        <v>415</v>
      </c>
      <c r="F146" s="2"/>
      <c r="G146" s="2"/>
      <c r="H146" s="2"/>
      <c r="I146" s="2"/>
      <c r="J146" s="167">
        <v>20</v>
      </c>
      <c r="K146" s="168">
        <f t="shared" si="8"/>
        <v>8300</v>
      </c>
    </row>
    <row r="147" spans="1:11">
      <c r="A147" s="160">
        <v>4</v>
      </c>
      <c r="B147" s="169"/>
      <c r="C147" s="164" t="s">
        <v>275</v>
      </c>
      <c r="D147" s="165" t="s">
        <v>2</v>
      </c>
      <c r="E147" s="166">
        <v>1</v>
      </c>
      <c r="F147" s="2"/>
      <c r="G147" s="2"/>
      <c r="H147" s="2"/>
      <c r="I147" s="2"/>
      <c r="J147" s="167">
        <v>1000</v>
      </c>
      <c r="K147" s="168">
        <f t="shared" si="8"/>
        <v>1000</v>
      </c>
    </row>
    <row r="148" spans="1:11">
      <c r="A148" s="160">
        <v>5</v>
      </c>
      <c r="B148" s="163"/>
      <c r="C148" s="164" t="s">
        <v>276</v>
      </c>
      <c r="D148" s="165" t="s">
        <v>2</v>
      </c>
      <c r="E148" s="166">
        <v>1</v>
      </c>
      <c r="F148" s="2"/>
      <c r="G148" s="2"/>
      <c r="H148" s="2"/>
      <c r="I148" s="2"/>
      <c r="J148" s="167">
        <v>100</v>
      </c>
      <c r="K148" s="168">
        <f t="shared" si="8"/>
        <v>100</v>
      </c>
    </row>
    <row r="149" spans="1:11">
      <c r="A149" s="160">
        <v>6</v>
      </c>
      <c r="B149" s="169" t="s">
        <v>277</v>
      </c>
      <c r="C149" s="164" t="s">
        <v>278</v>
      </c>
      <c r="D149" s="165" t="s">
        <v>193</v>
      </c>
      <c r="E149" s="166">
        <v>10</v>
      </c>
      <c r="F149" s="2"/>
      <c r="G149" s="2"/>
      <c r="H149" s="2"/>
      <c r="I149" s="2"/>
      <c r="J149" s="167">
        <v>25</v>
      </c>
      <c r="K149" s="168">
        <f t="shared" si="8"/>
        <v>250</v>
      </c>
    </row>
    <row r="150" spans="1:11">
      <c r="A150" s="160">
        <v>7</v>
      </c>
      <c r="B150" s="163" t="s">
        <v>279</v>
      </c>
      <c r="C150" s="164" t="s">
        <v>280</v>
      </c>
      <c r="D150" s="165" t="s">
        <v>4</v>
      </c>
      <c r="E150" s="166">
        <v>145</v>
      </c>
      <c r="F150" s="2"/>
      <c r="G150" s="2"/>
      <c r="H150" s="2"/>
      <c r="I150" s="2"/>
      <c r="J150" s="167">
        <v>1976</v>
      </c>
      <c r="K150" s="168">
        <f t="shared" si="8"/>
        <v>286520</v>
      </c>
    </row>
    <row r="151" spans="1:11">
      <c r="A151" s="160">
        <v>8</v>
      </c>
      <c r="B151" s="169" t="s">
        <v>281</v>
      </c>
      <c r="C151" s="164" t="s">
        <v>282</v>
      </c>
      <c r="D151" s="165" t="s">
        <v>283</v>
      </c>
      <c r="E151" s="166">
        <v>245</v>
      </c>
      <c r="F151" s="2"/>
      <c r="G151" s="2"/>
      <c r="H151" s="2"/>
      <c r="I151" s="2"/>
      <c r="J151" s="167">
        <v>38.25</v>
      </c>
      <c r="K151" s="168">
        <f t="shared" si="8"/>
        <v>9371.25</v>
      </c>
    </row>
    <row r="152" spans="1:11" ht="31.5">
      <c r="A152" s="160">
        <v>9</v>
      </c>
      <c r="B152" s="169"/>
      <c r="C152" s="164" t="s">
        <v>284</v>
      </c>
      <c r="D152" s="165" t="s">
        <v>2</v>
      </c>
      <c r="E152" s="166">
        <v>4</v>
      </c>
      <c r="F152" s="2"/>
      <c r="G152" s="2"/>
      <c r="H152" s="2"/>
      <c r="I152" s="2"/>
      <c r="J152" s="167">
        <v>11925</v>
      </c>
      <c r="K152" s="168">
        <f t="shared" si="8"/>
        <v>47700</v>
      </c>
    </row>
    <row r="153" spans="1:11" ht="31.5">
      <c r="A153" s="160">
        <v>10</v>
      </c>
      <c r="B153" s="169"/>
      <c r="C153" s="164" t="s">
        <v>285</v>
      </c>
      <c r="D153" s="165" t="s">
        <v>2</v>
      </c>
      <c r="E153" s="166">
        <v>1</v>
      </c>
      <c r="F153" s="2"/>
      <c r="G153" s="2"/>
      <c r="H153" s="2"/>
      <c r="I153" s="2"/>
      <c r="J153" s="167">
        <v>15300</v>
      </c>
      <c r="K153" s="168">
        <f t="shared" si="8"/>
        <v>15300</v>
      </c>
    </row>
    <row r="154" spans="1:11">
      <c r="A154" s="160">
        <v>12</v>
      </c>
      <c r="B154" s="169"/>
      <c r="C154" s="164" t="s">
        <v>286</v>
      </c>
      <c r="D154" s="165" t="s">
        <v>287</v>
      </c>
      <c r="E154" s="170">
        <v>0.72899999999999998</v>
      </c>
      <c r="F154" s="2"/>
      <c r="G154" s="2"/>
      <c r="H154" s="2"/>
      <c r="I154" s="2"/>
      <c r="J154" s="167">
        <v>66200</v>
      </c>
      <c r="K154" s="168">
        <f t="shared" si="8"/>
        <v>48259.799999999996</v>
      </c>
    </row>
    <row r="155" spans="1:11">
      <c r="A155" s="160">
        <v>13</v>
      </c>
      <c r="B155" s="163" t="s">
        <v>288</v>
      </c>
      <c r="C155" s="164" t="s">
        <v>289</v>
      </c>
      <c r="D155" s="165" t="s">
        <v>2</v>
      </c>
      <c r="E155" s="166">
        <v>3</v>
      </c>
      <c r="F155" s="2"/>
      <c r="G155" s="2"/>
      <c r="H155" s="2"/>
      <c r="I155" s="2"/>
      <c r="J155" s="167">
        <v>9994</v>
      </c>
      <c r="K155" s="168">
        <f t="shared" si="8"/>
        <v>29982</v>
      </c>
    </row>
    <row r="156" spans="1:11">
      <c r="A156" s="160">
        <v>14</v>
      </c>
      <c r="B156" s="171" t="s">
        <v>290</v>
      </c>
      <c r="C156" s="164" t="s">
        <v>291</v>
      </c>
      <c r="D156" s="166" t="s">
        <v>2</v>
      </c>
      <c r="E156" s="166">
        <v>5</v>
      </c>
      <c r="F156" s="2"/>
      <c r="G156" s="2"/>
      <c r="H156" s="2"/>
      <c r="I156" s="2"/>
      <c r="J156" s="167">
        <v>1123.6500000000001</v>
      </c>
      <c r="K156" s="168">
        <f t="shared" si="8"/>
        <v>5618.25</v>
      </c>
    </row>
    <row r="157" spans="1:11">
      <c r="A157" s="160">
        <v>15</v>
      </c>
      <c r="B157" s="171" t="s">
        <v>292</v>
      </c>
      <c r="C157" s="164" t="s">
        <v>293</v>
      </c>
      <c r="D157" s="166" t="s">
        <v>2</v>
      </c>
      <c r="E157" s="166">
        <v>3</v>
      </c>
      <c r="F157" s="2"/>
      <c r="G157" s="2"/>
      <c r="H157" s="2"/>
      <c r="I157" s="2"/>
      <c r="J157" s="167">
        <v>1072.57</v>
      </c>
      <c r="K157" s="168">
        <f t="shared" si="8"/>
        <v>3217.71</v>
      </c>
    </row>
    <row r="158" spans="1:11">
      <c r="A158" s="160">
        <v>16</v>
      </c>
      <c r="B158" s="171" t="s">
        <v>294</v>
      </c>
      <c r="C158" s="164" t="s">
        <v>295</v>
      </c>
      <c r="D158" s="166" t="s">
        <v>3</v>
      </c>
      <c r="E158" s="166">
        <v>47</v>
      </c>
      <c r="F158" s="2"/>
      <c r="G158" s="2"/>
      <c r="H158" s="2"/>
      <c r="I158" s="2"/>
      <c r="J158" s="172">
        <v>625</v>
      </c>
      <c r="K158" s="168">
        <f t="shared" si="8"/>
        <v>29375</v>
      </c>
    </row>
    <row r="159" spans="1:11" ht="31.5">
      <c r="A159" s="160">
        <v>17</v>
      </c>
      <c r="B159" s="163" t="s">
        <v>296</v>
      </c>
      <c r="C159" s="173" t="s">
        <v>297</v>
      </c>
      <c r="D159" s="166" t="s">
        <v>2</v>
      </c>
      <c r="E159" s="166">
        <v>2</v>
      </c>
      <c r="F159" s="2"/>
      <c r="G159" s="2"/>
      <c r="H159" s="2"/>
      <c r="I159" s="2"/>
      <c r="J159" s="167">
        <v>5272.07</v>
      </c>
      <c r="K159" s="168">
        <f t="shared" si="8"/>
        <v>10544.14</v>
      </c>
    </row>
    <row r="160" spans="1:11" ht="31.5">
      <c r="A160" s="160">
        <v>18</v>
      </c>
      <c r="B160" s="163" t="s">
        <v>298</v>
      </c>
      <c r="C160" s="173" t="s">
        <v>299</v>
      </c>
      <c r="D160" s="166" t="s">
        <v>2</v>
      </c>
      <c r="E160" s="166">
        <v>2</v>
      </c>
      <c r="F160" s="2"/>
      <c r="G160" s="2"/>
      <c r="H160" s="2"/>
      <c r="I160" s="2"/>
      <c r="J160" s="172">
        <v>4704.57</v>
      </c>
      <c r="K160" s="168">
        <f t="shared" si="8"/>
        <v>9409.14</v>
      </c>
    </row>
    <row r="161" spans="1:11" ht="31.5">
      <c r="A161" s="160">
        <v>19</v>
      </c>
      <c r="B161" s="174"/>
      <c r="C161" s="173" t="s">
        <v>300</v>
      </c>
      <c r="D161" s="166" t="s">
        <v>2</v>
      </c>
      <c r="E161" s="166">
        <v>3</v>
      </c>
      <c r="F161" s="2"/>
      <c r="G161" s="2"/>
      <c r="H161" s="2"/>
      <c r="I161" s="2"/>
      <c r="J161" s="172">
        <v>5273.21</v>
      </c>
      <c r="K161" s="168">
        <f t="shared" si="8"/>
        <v>15819.630000000001</v>
      </c>
    </row>
    <row r="162" spans="1:11" ht="31.5">
      <c r="A162" s="160">
        <v>20</v>
      </c>
      <c r="B162" s="163" t="s">
        <v>301</v>
      </c>
      <c r="C162" s="164" t="s">
        <v>302</v>
      </c>
      <c r="D162" s="175" t="s">
        <v>2</v>
      </c>
      <c r="E162" s="166">
        <v>8</v>
      </c>
      <c r="F162" s="2"/>
      <c r="G162" s="2"/>
      <c r="H162" s="2"/>
      <c r="I162" s="2"/>
      <c r="J162" s="172">
        <v>3966.82</v>
      </c>
      <c r="K162" s="168">
        <f t="shared" si="8"/>
        <v>31734.560000000001</v>
      </c>
    </row>
    <row r="163" spans="1:11" ht="31.5">
      <c r="A163" s="160">
        <v>21</v>
      </c>
      <c r="B163" s="163" t="s">
        <v>303</v>
      </c>
      <c r="C163" s="164" t="s">
        <v>304</v>
      </c>
      <c r="D163" s="175" t="s">
        <v>2</v>
      </c>
      <c r="E163" s="166">
        <v>3</v>
      </c>
      <c r="F163" s="2"/>
      <c r="G163" s="2"/>
      <c r="H163" s="2"/>
      <c r="I163" s="2"/>
      <c r="J163" s="172">
        <v>2939.65</v>
      </c>
      <c r="K163" s="168">
        <f t="shared" si="8"/>
        <v>8818.9500000000007</v>
      </c>
    </row>
    <row r="164" spans="1:11" ht="31.5">
      <c r="A164" s="160">
        <v>22</v>
      </c>
      <c r="B164" s="176" t="s">
        <v>305</v>
      </c>
      <c r="C164" s="173" t="s">
        <v>306</v>
      </c>
      <c r="D164" s="175" t="s">
        <v>2</v>
      </c>
      <c r="E164" s="166">
        <v>4</v>
      </c>
      <c r="F164" s="2"/>
      <c r="G164" s="2"/>
      <c r="H164" s="2"/>
      <c r="I164" s="2"/>
      <c r="J164" s="167">
        <v>2775.07</v>
      </c>
      <c r="K164" s="168">
        <f t="shared" si="8"/>
        <v>11100.28</v>
      </c>
    </row>
    <row r="165" spans="1:11" ht="31.5">
      <c r="A165" s="160">
        <v>23</v>
      </c>
      <c r="B165" s="176" t="s">
        <v>305</v>
      </c>
      <c r="C165" s="173" t="s">
        <v>307</v>
      </c>
      <c r="D165" s="175" t="s">
        <v>2</v>
      </c>
      <c r="E165" s="166">
        <v>3</v>
      </c>
      <c r="F165" s="2"/>
      <c r="G165" s="2"/>
      <c r="H165" s="2"/>
      <c r="I165" s="2"/>
      <c r="J165" s="172">
        <v>2662.71</v>
      </c>
      <c r="K165" s="168">
        <f t="shared" si="8"/>
        <v>7988.13</v>
      </c>
    </row>
    <row r="166" spans="1:11" ht="31.5">
      <c r="A166" s="160">
        <v>24</v>
      </c>
      <c r="B166" s="176" t="s">
        <v>308</v>
      </c>
      <c r="C166" s="173" t="s">
        <v>309</v>
      </c>
      <c r="D166" s="175" t="s">
        <v>2</v>
      </c>
      <c r="E166" s="166">
        <v>10</v>
      </c>
      <c r="F166" s="2"/>
      <c r="G166" s="2"/>
      <c r="H166" s="2"/>
      <c r="I166" s="2"/>
      <c r="J166" s="172">
        <v>2662.71</v>
      </c>
      <c r="K166" s="168">
        <f t="shared" si="8"/>
        <v>26627.1</v>
      </c>
    </row>
    <row r="167" spans="1:11" ht="31.5">
      <c r="A167" s="160">
        <v>25</v>
      </c>
      <c r="B167" s="176" t="s">
        <v>308</v>
      </c>
      <c r="C167" s="173" t="s">
        <v>310</v>
      </c>
      <c r="D167" s="175" t="s">
        <v>2</v>
      </c>
      <c r="E167" s="166">
        <v>2</v>
      </c>
      <c r="F167" s="2"/>
      <c r="G167" s="2"/>
      <c r="H167" s="2"/>
      <c r="I167" s="2"/>
      <c r="J167" s="172">
        <v>2771.67</v>
      </c>
      <c r="K167" s="168">
        <f t="shared" si="8"/>
        <v>5543.34</v>
      </c>
    </row>
    <row r="168" spans="1:11">
      <c r="A168" s="160">
        <v>26</v>
      </c>
      <c r="B168" s="174" t="s">
        <v>311</v>
      </c>
      <c r="C168" s="173" t="s">
        <v>312</v>
      </c>
      <c r="D168" s="175" t="s">
        <v>2</v>
      </c>
      <c r="E168" s="166">
        <v>3</v>
      </c>
      <c r="F168" s="2"/>
      <c r="G168" s="2"/>
      <c r="H168" s="2"/>
      <c r="I168" s="2"/>
      <c r="J168" s="172">
        <v>1947.66</v>
      </c>
      <c r="K168" s="168">
        <f t="shared" si="8"/>
        <v>5842.9800000000005</v>
      </c>
    </row>
    <row r="169" spans="1:11" ht="31.5">
      <c r="A169" s="160">
        <v>27</v>
      </c>
      <c r="B169" s="176" t="s">
        <v>313</v>
      </c>
      <c r="C169" s="173" t="s">
        <v>314</v>
      </c>
      <c r="D169" s="175" t="s">
        <v>2</v>
      </c>
      <c r="E169" s="166">
        <v>6</v>
      </c>
      <c r="F169" s="2"/>
      <c r="G169" s="2"/>
      <c r="H169" s="2"/>
      <c r="I169" s="2"/>
      <c r="J169" s="172">
        <v>1102.08</v>
      </c>
      <c r="K169" s="168">
        <f t="shared" si="8"/>
        <v>6612.48</v>
      </c>
    </row>
    <row r="170" spans="1:11">
      <c r="A170" s="160">
        <v>28</v>
      </c>
      <c r="B170" s="176" t="s">
        <v>315</v>
      </c>
      <c r="C170" s="173" t="s">
        <v>316</v>
      </c>
      <c r="D170" s="166" t="s">
        <v>2</v>
      </c>
      <c r="E170" s="166">
        <v>2</v>
      </c>
      <c r="F170" s="2"/>
      <c r="G170" s="2"/>
      <c r="H170" s="2"/>
      <c r="I170" s="2"/>
      <c r="J170" s="172">
        <v>27943.82</v>
      </c>
      <c r="K170" s="168">
        <f t="shared" si="8"/>
        <v>55887.64</v>
      </c>
    </row>
    <row r="171" spans="1:11">
      <c r="A171" s="160">
        <v>29</v>
      </c>
      <c r="B171" s="163" t="s">
        <v>317</v>
      </c>
      <c r="C171" s="164" t="s">
        <v>318</v>
      </c>
      <c r="D171" s="166" t="s">
        <v>319</v>
      </c>
      <c r="E171" s="170">
        <v>0.38700000000000001</v>
      </c>
      <c r="F171" s="2"/>
      <c r="G171" s="2"/>
      <c r="H171" s="2"/>
      <c r="I171" s="2"/>
      <c r="J171" s="167">
        <v>453053.76</v>
      </c>
      <c r="K171" s="168">
        <f t="shared" si="8"/>
        <v>175331.80512</v>
      </c>
    </row>
    <row r="172" spans="1:11">
      <c r="A172" s="160">
        <v>30</v>
      </c>
      <c r="B172" s="177" t="s">
        <v>320</v>
      </c>
      <c r="C172" s="178" t="s">
        <v>321</v>
      </c>
      <c r="D172" s="166" t="s">
        <v>2</v>
      </c>
      <c r="E172" s="166">
        <v>5</v>
      </c>
      <c r="F172" s="2"/>
      <c r="G172" s="2"/>
      <c r="H172" s="2"/>
      <c r="I172" s="2"/>
      <c r="J172" s="172">
        <v>2243.63</v>
      </c>
      <c r="K172" s="168">
        <f t="shared" si="8"/>
        <v>11218.150000000001</v>
      </c>
    </row>
    <row r="173" spans="1:11">
      <c r="A173" s="160">
        <v>31</v>
      </c>
      <c r="B173" s="174" t="s">
        <v>322</v>
      </c>
      <c r="C173" s="173" t="s">
        <v>323</v>
      </c>
      <c r="D173" s="166" t="s">
        <v>324</v>
      </c>
      <c r="E173" s="166">
        <v>0.32800000000000001</v>
      </c>
      <c r="F173" s="2"/>
      <c r="G173" s="2"/>
      <c r="H173" s="2"/>
      <c r="I173" s="2"/>
      <c r="J173" s="167">
        <v>108389.54</v>
      </c>
      <c r="K173" s="168">
        <f t="shared" si="8"/>
        <v>35551.769119999997</v>
      </c>
    </row>
    <row r="174" spans="1:11">
      <c r="A174" s="160">
        <v>32</v>
      </c>
      <c r="B174" s="174" t="s">
        <v>325</v>
      </c>
      <c r="C174" s="173" t="s">
        <v>326</v>
      </c>
      <c r="D174" s="166" t="s">
        <v>324</v>
      </c>
      <c r="E174" s="166">
        <v>0.61399999999999999</v>
      </c>
      <c r="F174" s="2"/>
      <c r="G174" s="2"/>
      <c r="H174" s="2"/>
      <c r="I174" s="2"/>
      <c r="J174" s="167">
        <v>108389.54</v>
      </c>
      <c r="K174" s="168">
        <f t="shared" si="8"/>
        <v>66551.177559999996</v>
      </c>
    </row>
    <row r="175" spans="1:11" ht="31.5">
      <c r="A175" s="160">
        <v>33</v>
      </c>
      <c r="B175" s="176" t="s">
        <v>327</v>
      </c>
      <c r="C175" s="173" t="s">
        <v>328</v>
      </c>
      <c r="D175" s="166" t="s">
        <v>2</v>
      </c>
      <c r="E175" s="166">
        <v>1</v>
      </c>
      <c r="F175" s="2"/>
      <c r="G175" s="2"/>
      <c r="H175" s="2"/>
      <c r="I175" s="2"/>
      <c r="J175" s="167">
        <v>4347</v>
      </c>
      <c r="K175" s="168">
        <f t="shared" si="8"/>
        <v>4347</v>
      </c>
    </row>
    <row r="176" spans="1:11" ht="31.5">
      <c r="A176" s="160">
        <v>34</v>
      </c>
      <c r="B176" s="174" t="s">
        <v>329</v>
      </c>
      <c r="C176" s="173" t="s">
        <v>330</v>
      </c>
      <c r="D176" s="166" t="s">
        <v>2</v>
      </c>
      <c r="E176" s="166">
        <v>7</v>
      </c>
      <c r="F176" s="2"/>
      <c r="G176" s="2"/>
      <c r="H176" s="2"/>
      <c r="I176" s="2"/>
      <c r="J176" s="172">
        <v>4392.45</v>
      </c>
      <c r="K176" s="168">
        <f t="shared" si="8"/>
        <v>30747.149999999998</v>
      </c>
    </row>
    <row r="177" spans="1:11" ht="31.5">
      <c r="A177" s="160">
        <v>35</v>
      </c>
      <c r="B177" s="174" t="s">
        <v>331</v>
      </c>
      <c r="C177" s="173" t="s">
        <v>332</v>
      </c>
      <c r="D177" s="166" t="s">
        <v>2</v>
      </c>
      <c r="E177" s="166">
        <v>7</v>
      </c>
      <c r="F177" s="2"/>
      <c r="G177" s="2"/>
      <c r="H177" s="2"/>
      <c r="I177" s="2"/>
      <c r="J177" s="172">
        <v>3280.15</v>
      </c>
      <c r="K177" s="168">
        <f t="shared" si="8"/>
        <v>22961.05</v>
      </c>
    </row>
    <row r="178" spans="1:11">
      <c r="A178" s="160">
        <v>36</v>
      </c>
      <c r="B178" s="174" t="s">
        <v>333</v>
      </c>
      <c r="C178" s="173" t="s">
        <v>334</v>
      </c>
      <c r="D178" s="166" t="s">
        <v>4</v>
      </c>
      <c r="E178" s="166">
        <v>175</v>
      </c>
      <c r="F178" s="2"/>
      <c r="G178" s="2"/>
      <c r="H178" s="2"/>
      <c r="I178" s="2"/>
      <c r="J178" s="167">
        <v>276.14999999999998</v>
      </c>
      <c r="K178" s="168">
        <f t="shared" si="8"/>
        <v>48326.249999999993</v>
      </c>
    </row>
    <row r="179" spans="1:11">
      <c r="A179" s="160">
        <v>37</v>
      </c>
      <c r="B179" s="171" t="s">
        <v>290</v>
      </c>
      <c r="C179" s="164" t="s">
        <v>335</v>
      </c>
      <c r="D179" s="165" t="s">
        <v>3</v>
      </c>
      <c r="E179" s="166">
        <v>8</v>
      </c>
      <c r="F179" s="2"/>
      <c r="G179" s="2"/>
      <c r="H179" s="2"/>
      <c r="I179" s="2"/>
      <c r="J179" s="167">
        <v>1859.13</v>
      </c>
      <c r="K179" s="168">
        <f t="shared" si="8"/>
        <v>14873.04</v>
      </c>
    </row>
    <row r="180" spans="1:11">
      <c r="A180" s="160">
        <v>38</v>
      </c>
      <c r="B180" s="179" t="s">
        <v>336</v>
      </c>
      <c r="C180" s="164" t="s">
        <v>337</v>
      </c>
      <c r="D180" s="165" t="s">
        <v>3</v>
      </c>
      <c r="E180" s="166">
        <v>3</v>
      </c>
      <c r="F180" s="2"/>
      <c r="G180" s="2"/>
      <c r="H180" s="2"/>
      <c r="I180" s="2"/>
      <c r="J180" s="172">
        <v>1623.05</v>
      </c>
      <c r="K180" s="168">
        <f t="shared" si="8"/>
        <v>4869.1499999999996</v>
      </c>
    </row>
    <row r="181" spans="1:11">
      <c r="A181" s="160">
        <v>39</v>
      </c>
      <c r="B181" s="163" t="s">
        <v>338</v>
      </c>
      <c r="C181" s="164" t="s">
        <v>339</v>
      </c>
      <c r="D181" s="166" t="s">
        <v>324</v>
      </c>
      <c r="E181" s="166">
        <v>0.35799999999999998</v>
      </c>
      <c r="F181" s="2"/>
      <c r="G181" s="2"/>
      <c r="H181" s="2"/>
      <c r="I181" s="2"/>
      <c r="J181" s="172">
        <v>14145</v>
      </c>
      <c r="K181" s="168">
        <f t="shared" si="8"/>
        <v>5063.91</v>
      </c>
    </row>
    <row r="182" spans="1:11">
      <c r="A182" s="160">
        <v>40</v>
      </c>
      <c r="B182" s="176"/>
      <c r="C182" s="173" t="s">
        <v>340</v>
      </c>
      <c r="D182" s="166" t="s">
        <v>341</v>
      </c>
      <c r="E182" s="166">
        <v>78</v>
      </c>
      <c r="F182" s="2"/>
      <c r="G182" s="2"/>
      <c r="H182" s="2"/>
      <c r="I182" s="2"/>
      <c r="J182" s="172">
        <v>1649</v>
      </c>
      <c r="K182" s="168">
        <f t="shared" si="8"/>
        <v>128622</v>
      </c>
    </row>
    <row r="183" spans="1:11">
      <c r="A183" s="160">
        <v>41</v>
      </c>
      <c r="B183" s="174" t="s">
        <v>342</v>
      </c>
      <c r="C183" s="173" t="s">
        <v>343</v>
      </c>
      <c r="D183" s="166" t="s">
        <v>319</v>
      </c>
      <c r="E183" s="166">
        <v>0.59699999999999998</v>
      </c>
      <c r="F183" s="2"/>
      <c r="G183" s="2"/>
      <c r="H183" s="2"/>
      <c r="I183" s="2"/>
      <c r="J183" s="172">
        <v>223100</v>
      </c>
      <c r="K183" s="168">
        <f t="shared" si="8"/>
        <v>133190.69999999998</v>
      </c>
    </row>
    <row r="184" spans="1:11">
      <c r="A184" s="160">
        <v>42</v>
      </c>
      <c r="B184" s="174" t="s">
        <v>333</v>
      </c>
      <c r="C184" s="173" t="s">
        <v>344</v>
      </c>
      <c r="D184" s="166" t="s">
        <v>319</v>
      </c>
      <c r="E184" s="166">
        <v>6.7000000000000004E-2</v>
      </c>
      <c r="F184" s="2"/>
      <c r="G184" s="2"/>
      <c r="H184" s="2"/>
      <c r="I184" s="2"/>
      <c r="J184" s="172">
        <v>339500</v>
      </c>
      <c r="K184" s="168">
        <f t="shared" si="8"/>
        <v>22746.5</v>
      </c>
    </row>
    <row r="185" spans="1:11">
      <c r="A185" s="160">
        <v>43</v>
      </c>
      <c r="B185" s="176" t="s">
        <v>166</v>
      </c>
      <c r="C185" s="173" t="s">
        <v>345</v>
      </c>
      <c r="D185" s="166" t="s">
        <v>2</v>
      </c>
      <c r="E185" s="166">
        <v>6</v>
      </c>
      <c r="F185" s="2"/>
      <c r="G185" s="2"/>
      <c r="H185" s="2"/>
      <c r="I185" s="2"/>
      <c r="J185" s="172">
        <v>1052.45</v>
      </c>
      <c r="K185" s="168">
        <f t="shared" si="8"/>
        <v>6314.7000000000007</v>
      </c>
    </row>
    <row r="186" spans="1:11">
      <c r="A186" s="160">
        <v>44</v>
      </c>
      <c r="B186" s="174" t="s">
        <v>317</v>
      </c>
      <c r="C186" s="173" t="s">
        <v>346</v>
      </c>
      <c r="D186" s="166" t="s">
        <v>4</v>
      </c>
      <c r="E186" s="166">
        <v>262</v>
      </c>
      <c r="F186" s="2"/>
      <c r="G186" s="2"/>
      <c r="H186" s="2"/>
      <c r="I186" s="2"/>
      <c r="J186" s="172">
        <v>970</v>
      </c>
      <c r="K186" s="168">
        <f t="shared" si="8"/>
        <v>254140</v>
      </c>
    </row>
    <row r="187" spans="1:11">
      <c r="A187" s="160">
        <v>45</v>
      </c>
      <c r="B187" s="174"/>
      <c r="C187" s="173" t="s">
        <v>347</v>
      </c>
      <c r="D187" s="180" t="s">
        <v>2</v>
      </c>
      <c r="E187" s="166">
        <v>4</v>
      </c>
      <c r="F187" s="2"/>
      <c r="G187" s="2"/>
      <c r="H187" s="2"/>
      <c r="I187" s="2"/>
      <c r="J187" s="172">
        <v>2000</v>
      </c>
      <c r="K187" s="168">
        <f t="shared" si="8"/>
        <v>8000</v>
      </c>
    </row>
    <row r="188" spans="1:11">
      <c r="A188" s="160">
        <v>46</v>
      </c>
      <c r="B188" s="163" t="s">
        <v>348</v>
      </c>
      <c r="C188" s="164" t="s">
        <v>349</v>
      </c>
      <c r="D188" s="166" t="s">
        <v>319</v>
      </c>
      <c r="E188" s="166">
        <v>0.24</v>
      </c>
      <c r="F188" s="2"/>
      <c r="G188" s="2"/>
      <c r="H188" s="2"/>
      <c r="I188" s="2"/>
      <c r="J188" s="167">
        <v>78749.440000000002</v>
      </c>
      <c r="K188" s="168">
        <f t="shared" si="8"/>
        <v>18899.865600000001</v>
      </c>
    </row>
    <row r="189" spans="1:11">
      <c r="A189" s="160">
        <v>47</v>
      </c>
      <c r="B189" s="163" t="s">
        <v>350</v>
      </c>
      <c r="C189" s="164" t="s">
        <v>351</v>
      </c>
      <c r="D189" s="166" t="s">
        <v>319</v>
      </c>
      <c r="E189" s="166">
        <v>0.252</v>
      </c>
      <c r="F189" s="2"/>
      <c r="G189" s="2"/>
      <c r="H189" s="2"/>
      <c r="I189" s="2"/>
      <c r="J189" s="167">
        <v>128099.84</v>
      </c>
      <c r="K189" s="168">
        <f t="shared" si="8"/>
        <v>32281.159680000001</v>
      </c>
    </row>
    <row r="190" spans="1:11">
      <c r="A190" s="160">
        <v>48</v>
      </c>
      <c r="B190" s="174" t="s">
        <v>342</v>
      </c>
      <c r="C190" s="164" t="s">
        <v>352</v>
      </c>
      <c r="D190" s="166" t="s">
        <v>319</v>
      </c>
      <c r="E190" s="166">
        <v>8.6999999999999994E-2</v>
      </c>
      <c r="F190" s="2"/>
      <c r="G190" s="2"/>
      <c r="H190" s="2"/>
      <c r="I190" s="2"/>
      <c r="J190" s="167">
        <v>173249.28</v>
      </c>
      <c r="K190" s="168">
        <f t="shared" si="8"/>
        <v>15072.687359999998</v>
      </c>
    </row>
    <row r="191" spans="1:11">
      <c r="A191" s="160">
        <v>49</v>
      </c>
      <c r="B191" s="174" t="s">
        <v>333</v>
      </c>
      <c r="C191" s="164" t="s">
        <v>353</v>
      </c>
      <c r="D191" s="166" t="s">
        <v>319</v>
      </c>
      <c r="E191" s="166">
        <v>0.22500000000000001</v>
      </c>
      <c r="F191" s="2"/>
      <c r="G191" s="2"/>
      <c r="H191" s="2"/>
      <c r="I191" s="2"/>
      <c r="J191" s="167">
        <v>262499.84000000003</v>
      </c>
      <c r="K191" s="168">
        <f t="shared" si="8"/>
        <v>59062.464000000007</v>
      </c>
    </row>
    <row r="192" spans="1:11">
      <c r="A192" s="160">
        <v>50</v>
      </c>
      <c r="B192" s="174" t="s">
        <v>331</v>
      </c>
      <c r="C192" s="164" t="s">
        <v>354</v>
      </c>
      <c r="D192" s="166" t="s">
        <v>2</v>
      </c>
      <c r="E192" s="166">
        <v>19</v>
      </c>
      <c r="F192" s="2"/>
      <c r="G192" s="2"/>
      <c r="H192" s="2"/>
      <c r="I192" s="2"/>
      <c r="J192" s="172">
        <v>2572.56</v>
      </c>
      <c r="K192" s="168">
        <f t="shared" si="8"/>
        <v>48878.64</v>
      </c>
    </row>
    <row r="193" spans="1:11">
      <c r="A193" s="160">
        <v>51</v>
      </c>
      <c r="B193" s="163" t="s">
        <v>355</v>
      </c>
      <c r="C193" s="164" t="s">
        <v>356</v>
      </c>
      <c r="D193" s="165" t="s">
        <v>3</v>
      </c>
      <c r="E193" s="166">
        <v>3</v>
      </c>
      <c r="F193" s="2"/>
      <c r="G193" s="2"/>
      <c r="H193" s="2"/>
      <c r="I193" s="2"/>
      <c r="J193" s="172">
        <v>5459.86</v>
      </c>
      <c r="K193" s="168">
        <f t="shared" si="8"/>
        <v>16379.579999999998</v>
      </c>
    </row>
    <row r="194" spans="1:11">
      <c r="A194" s="160">
        <v>52</v>
      </c>
      <c r="B194" s="176"/>
      <c r="C194" s="173" t="s">
        <v>357</v>
      </c>
      <c r="D194" s="165" t="s">
        <v>10</v>
      </c>
      <c r="E194" s="166">
        <v>1</v>
      </c>
      <c r="F194" s="2"/>
      <c r="G194" s="2"/>
      <c r="H194" s="2"/>
      <c r="I194" s="2"/>
      <c r="J194" s="172">
        <v>450000</v>
      </c>
      <c r="K194" s="168">
        <f t="shared" si="8"/>
        <v>450000</v>
      </c>
    </row>
    <row r="195" spans="1:11" ht="31.5">
      <c r="A195" s="160">
        <v>53</v>
      </c>
      <c r="B195" s="176" t="s">
        <v>308</v>
      </c>
      <c r="C195" s="164" t="s">
        <v>358</v>
      </c>
      <c r="D195" s="166" t="s">
        <v>2</v>
      </c>
      <c r="E195" s="166">
        <v>8</v>
      </c>
      <c r="F195" s="2"/>
      <c r="G195" s="2"/>
      <c r="H195" s="2"/>
      <c r="I195" s="2"/>
      <c r="J195" s="172">
        <v>3089.24</v>
      </c>
      <c r="K195" s="168">
        <f t="shared" si="8"/>
        <v>24713.919999999998</v>
      </c>
    </row>
    <row r="196" spans="1:11" ht="31.5">
      <c r="A196" s="160">
        <v>54</v>
      </c>
      <c r="B196" s="176" t="s">
        <v>305</v>
      </c>
      <c r="C196" s="164" t="s">
        <v>359</v>
      </c>
      <c r="D196" s="166" t="s">
        <v>2</v>
      </c>
      <c r="E196" s="166">
        <v>7</v>
      </c>
      <c r="F196" s="2"/>
      <c r="G196" s="2"/>
      <c r="H196" s="2"/>
      <c r="I196" s="2"/>
      <c r="J196" s="172">
        <v>3208.42</v>
      </c>
      <c r="K196" s="168">
        <f t="shared" si="8"/>
        <v>22458.940000000002</v>
      </c>
    </row>
    <row r="197" spans="1:11" ht="31.5">
      <c r="A197" s="160">
        <v>55</v>
      </c>
      <c r="B197" s="171" t="s">
        <v>360</v>
      </c>
      <c r="C197" s="164" t="s">
        <v>361</v>
      </c>
      <c r="D197" s="166" t="s">
        <v>2</v>
      </c>
      <c r="E197" s="166">
        <v>7</v>
      </c>
      <c r="F197" s="2"/>
      <c r="G197" s="2"/>
      <c r="H197" s="2"/>
      <c r="I197" s="2"/>
      <c r="J197" s="172">
        <v>3633.22</v>
      </c>
      <c r="K197" s="168">
        <f t="shared" si="8"/>
        <v>25432.539999999997</v>
      </c>
    </row>
    <row r="198" spans="1:11" ht="31.5">
      <c r="A198" s="160">
        <v>56</v>
      </c>
      <c r="B198" s="171" t="s">
        <v>362</v>
      </c>
      <c r="C198" s="164" t="s">
        <v>363</v>
      </c>
      <c r="D198" s="166" t="s">
        <v>2</v>
      </c>
      <c r="E198" s="166">
        <v>5</v>
      </c>
      <c r="F198" s="2"/>
      <c r="G198" s="2"/>
      <c r="H198" s="2"/>
      <c r="I198" s="2"/>
      <c r="J198" s="172">
        <v>3564.78</v>
      </c>
      <c r="K198" s="168">
        <f t="shared" si="8"/>
        <v>17823.900000000001</v>
      </c>
    </row>
    <row r="199" spans="1:11">
      <c r="A199" s="160">
        <v>57</v>
      </c>
      <c r="B199" s="174" t="s">
        <v>364</v>
      </c>
      <c r="C199" s="173" t="s">
        <v>365</v>
      </c>
      <c r="D199" s="166" t="s">
        <v>319</v>
      </c>
      <c r="E199" s="166">
        <v>0.39800000000000002</v>
      </c>
      <c r="F199" s="2"/>
      <c r="G199" s="2"/>
      <c r="H199" s="2"/>
      <c r="I199" s="2"/>
      <c r="J199" s="172">
        <v>300000</v>
      </c>
      <c r="K199" s="168">
        <f t="shared" si="8"/>
        <v>119400</v>
      </c>
    </row>
    <row r="200" spans="1:11">
      <c r="A200" s="160">
        <v>58</v>
      </c>
      <c r="B200" s="163" t="s">
        <v>164</v>
      </c>
      <c r="C200" s="164" t="s">
        <v>366</v>
      </c>
      <c r="D200" s="166" t="s">
        <v>319</v>
      </c>
      <c r="E200" s="170">
        <v>0.48499999999999999</v>
      </c>
      <c r="F200" s="2"/>
      <c r="G200" s="2"/>
      <c r="H200" s="2"/>
      <c r="I200" s="2"/>
      <c r="J200" s="172">
        <v>135000</v>
      </c>
      <c r="K200" s="168">
        <f t="shared" si="8"/>
        <v>65475</v>
      </c>
    </row>
    <row r="201" spans="1:11">
      <c r="A201" s="160">
        <v>59</v>
      </c>
      <c r="B201" s="174" t="s">
        <v>364</v>
      </c>
      <c r="C201" s="173" t="s">
        <v>365</v>
      </c>
      <c r="D201" s="165" t="s">
        <v>367</v>
      </c>
      <c r="E201" s="166">
        <v>0.8</v>
      </c>
      <c r="F201" s="2"/>
      <c r="G201" s="2"/>
      <c r="H201" s="2"/>
      <c r="I201" s="2"/>
      <c r="J201" s="172">
        <v>300000</v>
      </c>
      <c r="K201" s="168">
        <f t="shared" si="8"/>
        <v>240000</v>
      </c>
    </row>
    <row r="202" spans="1:11">
      <c r="A202" s="160">
        <v>60</v>
      </c>
      <c r="B202" s="163" t="s">
        <v>348</v>
      </c>
      <c r="C202" s="181" t="s">
        <v>368</v>
      </c>
      <c r="D202" s="166" t="s">
        <v>367</v>
      </c>
      <c r="E202" s="166">
        <v>0.51500000000000001</v>
      </c>
      <c r="F202" s="2"/>
      <c r="G202" s="2"/>
      <c r="H202" s="2"/>
      <c r="I202" s="2"/>
      <c r="J202" s="167">
        <v>87792</v>
      </c>
      <c r="K202" s="168">
        <f t="shared" si="8"/>
        <v>45212.880000000005</v>
      </c>
    </row>
    <row r="203" spans="1:11">
      <c r="A203" s="160">
        <v>61</v>
      </c>
      <c r="B203" s="163" t="s">
        <v>350</v>
      </c>
      <c r="C203" s="181" t="s">
        <v>369</v>
      </c>
      <c r="D203" s="166" t="s">
        <v>367</v>
      </c>
      <c r="E203" s="166">
        <v>0.31</v>
      </c>
      <c r="F203" s="2"/>
      <c r="G203" s="2"/>
      <c r="H203" s="2"/>
      <c r="I203" s="2"/>
      <c r="J203" s="167">
        <v>137175</v>
      </c>
      <c r="K203" s="168">
        <f t="shared" si="8"/>
        <v>42524.25</v>
      </c>
    </row>
    <row r="204" spans="1:11">
      <c r="A204" s="160">
        <v>62</v>
      </c>
      <c r="B204" s="174" t="s">
        <v>342</v>
      </c>
      <c r="C204" s="181" t="s">
        <v>370</v>
      </c>
      <c r="D204" s="166" t="s">
        <v>367</v>
      </c>
      <c r="E204" s="166">
        <v>0.26</v>
      </c>
      <c r="F204" s="2"/>
      <c r="G204" s="2"/>
      <c r="H204" s="2"/>
      <c r="I204" s="2"/>
      <c r="J204" s="167">
        <v>197532</v>
      </c>
      <c r="K204" s="168">
        <f t="shared" si="8"/>
        <v>51358.32</v>
      </c>
    </row>
    <row r="205" spans="1:11">
      <c r="A205" s="160">
        <v>63</v>
      </c>
      <c r="B205" s="174" t="s">
        <v>333</v>
      </c>
      <c r="C205" s="181" t="s">
        <v>371</v>
      </c>
      <c r="D205" s="166" t="s">
        <v>367</v>
      </c>
      <c r="E205" s="170">
        <v>0.26500000000000001</v>
      </c>
      <c r="F205" s="2"/>
      <c r="G205" s="2"/>
      <c r="H205" s="2"/>
      <c r="I205" s="2"/>
      <c r="J205" s="167">
        <v>318246</v>
      </c>
      <c r="K205" s="168">
        <f t="shared" si="8"/>
        <v>84335.19</v>
      </c>
    </row>
    <row r="206" spans="1:11" ht="31.5">
      <c r="A206" s="160">
        <v>64</v>
      </c>
      <c r="B206" s="163" t="s">
        <v>303</v>
      </c>
      <c r="C206" s="182" t="s">
        <v>372</v>
      </c>
      <c r="D206" s="183" t="s">
        <v>2</v>
      </c>
      <c r="E206" s="183">
        <v>3</v>
      </c>
      <c r="F206" s="2"/>
      <c r="G206" s="2"/>
      <c r="H206" s="2"/>
      <c r="I206" s="2"/>
      <c r="J206" s="184">
        <v>3840.9</v>
      </c>
      <c r="K206" s="168">
        <f t="shared" si="8"/>
        <v>11522.7</v>
      </c>
    </row>
    <row r="207" spans="1:11">
      <c r="A207" s="160">
        <v>65</v>
      </c>
      <c r="B207" s="171" t="s">
        <v>373</v>
      </c>
      <c r="C207" s="164" t="s">
        <v>374</v>
      </c>
      <c r="D207" s="166" t="s">
        <v>3</v>
      </c>
      <c r="E207" s="185">
        <v>1</v>
      </c>
      <c r="F207" s="2"/>
      <c r="G207" s="2"/>
      <c r="H207" s="2"/>
      <c r="I207" s="2"/>
      <c r="J207" s="186">
        <v>828164.95</v>
      </c>
      <c r="K207" s="168">
        <f t="shared" si="8"/>
        <v>828164.95</v>
      </c>
    </row>
    <row r="208" spans="1:11">
      <c r="A208" s="160">
        <v>66</v>
      </c>
      <c r="B208" s="176" t="s">
        <v>202</v>
      </c>
      <c r="C208" s="182" t="s">
        <v>375</v>
      </c>
      <c r="D208" s="165" t="s">
        <v>2</v>
      </c>
      <c r="E208" s="187">
        <v>1</v>
      </c>
      <c r="F208" s="2"/>
      <c r="G208" s="2"/>
      <c r="H208" s="2"/>
      <c r="I208" s="2"/>
      <c r="J208" s="188">
        <v>76700</v>
      </c>
      <c r="K208" s="168">
        <f t="shared" si="8"/>
        <v>76700</v>
      </c>
    </row>
    <row r="209" spans="1:11" ht="31.5">
      <c r="A209" s="160">
        <v>67</v>
      </c>
      <c r="B209" s="179" t="s">
        <v>376</v>
      </c>
      <c r="C209" s="181" t="s">
        <v>377</v>
      </c>
      <c r="D209" s="165" t="s">
        <v>3</v>
      </c>
      <c r="E209" s="185">
        <v>1</v>
      </c>
      <c r="F209" s="2"/>
      <c r="G209" s="2"/>
      <c r="H209" s="2"/>
      <c r="I209" s="2"/>
      <c r="J209" s="189">
        <v>17700</v>
      </c>
      <c r="K209" s="168">
        <f t="shared" ref="K209:K243" si="9">J209*E209</f>
        <v>17700</v>
      </c>
    </row>
    <row r="210" spans="1:11" ht="31.5">
      <c r="A210" s="160">
        <v>68</v>
      </c>
      <c r="B210" s="179" t="s">
        <v>378</v>
      </c>
      <c r="C210" s="181" t="s">
        <v>379</v>
      </c>
      <c r="D210" s="165" t="s">
        <v>3</v>
      </c>
      <c r="E210" s="185">
        <v>1</v>
      </c>
      <c r="F210" s="2"/>
      <c r="G210" s="2"/>
      <c r="H210" s="2"/>
      <c r="I210" s="2"/>
      <c r="J210" s="189">
        <v>17700</v>
      </c>
      <c r="K210" s="168">
        <f t="shared" si="9"/>
        <v>17700</v>
      </c>
    </row>
    <row r="211" spans="1:11">
      <c r="A211" s="160">
        <v>69</v>
      </c>
      <c r="B211" s="179" t="s">
        <v>380</v>
      </c>
      <c r="C211" s="181" t="s">
        <v>381</v>
      </c>
      <c r="D211" s="165" t="s">
        <v>3</v>
      </c>
      <c r="E211" s="185">
        <v>1</v>
      </c>
      <c r="F211" s="2"/>
      <c r="G211" s="2"/>
      <c r="H211" s="2"/>
      <c r="I211" s="2"/>
      <c r="J211" s="189">
        <v>11800</v>
      </c>
      <c r="K211" s="168">
        <f t="shared" si="9"/>
        <v>11800</v>
      </c>
    </row>
    <row r="212" spans="1:11">
      <c r="A212" s="160">
        <v>70</v>
      </c>
      <c r="B212" s="179" t="s">
        <v>382</v>
      </c>
      <c r="C212" s="181" t="s">
        <v>383</v>
      </c>
      <c r="D212" s="165" t="s">
        <v>3</v>
      </c>
      <c r="E212" s="185">
        <v>1</v>
      </c>
      <c r="F212" s="2"/>
      <c r="G212" s="2"/>
      <c r="H212" s="2"/>
      <c r="I212" s="2"/>
      <c r="J212" s="189">
        <v>11800</v>
      </c>
      <c r="K212" s="168">
        <f t="shared" si="9"/>
        <v>11800</v>
      </c>
    </row>
    <row r="213" spans="1:11">
      <c r="A213" s="160">
        <v>71</v>
      </c>
      <c r="B213" s="190" t="s">
        <v>384</v>
      </c>
      <c r="C213" s="182" t="s">
        <v>385</v>
      </c>
      <c r="D213" s="165" t="s">
        <v>193</v>
      </c>
      <c r="E213" s="185">
        <v>460</v>
      </c>
      <c r="F213" s="191"/>
      <c r="G213" s="191"/>
      <c r="H213" s="191"/>
      <c r="I213" s="191"/>
      <c r="J213" s="188">
        <v>65</v>
      </c>
      <c r="K213" s="168">
        <f t="shared" si="9"/>
        <v>29900</v>
      </c>
    </row>
    <row r="214" spans="1:11">
      <c r="A214" s="160">
        <v>72</v>
      </c>
      <c r="B214" s="190"/>
      <c r="C214" s="182" t="s">
        <v>386</v>
      </c>
      <c r="D214" s="165" t="s">
        <v>10</v>
      </c>
      <c r="E214" s="185">
        <v>3</v>
      </c>
      <c r="F214" s="191"/>
      <c r="G214" s="191"/>
      <c r="H214" s="191"/>
      <c r="I214" s="191"/>
      <c r="J214" s="188">
        <v>1900</v>
      </c>
      <c r="K214" s="168">
        <f t="shared" si="9"/>
        <v>5700</v>
      </c>
    </row>
    <row r="215" spans="1:11">
      <c r="A215" s="160">
        <v>73</v>
      </c>
      <c r="B215" s="192"/>
      <c r="C215" s="182" t="s">
        <v>387</v>
      </c>
      <c r="D215" s="166" t="s">
        <v>9</v>
      </c>
      <c r="E215" s="185">
        <v>1</v>
      </c>
      <c r="F215" s="191"/>
      <c r="G215" s="191"/>
      <c r="H215" s="191"/>
      <c r="I215" s="191"/>
      <c r="J215" s="186">
        <v>9199.2800000000007</v>
      </c>
      <c r="K215" s="168">
        <f t="shared" si="9"/>
        <v>9199.2800000000007</v>
      </c>
    </row>
    <row r="216" spans="1:11">
      <c r="A216" s="160">
        <v>74</v>
      </c>
      <c r="B216" s="192" t="s">
        <v>388</v>
      </c>
      <c r="C216" s="182" t="s">
        <v>389</v>
      </c>
      <c r="D216" s="165" t="s">
        <v>3</v>
      </c>
      <c r="E216" s="8">
        <v>3</v>
      </c>
      <c r="F216" s="191"/>
      <c r="G216" s="191"/>
      <c r="H216" s="191"/>
      <c r="I216" s="191"/>
      <c r="J216" s="193">
        <v>2098.04</v>
      </c>
      <c r="K216" s="168">
        <f t="shared" si="9"/>
        <v>6294.12</v>
      </c>
    </row>
    <row r="217" spans="1:11">
      <c r="A217" s="160">
        <v>75</v>
      </c>
      <c r="B217" s="192" t="s">
        <v>390</v>
      </c>
      <c r="C217" s="182" t="s">
        <v>391</v>
      </c>
      <c r="D217" s="165" t="s">
        <v>3</v>
      </c>
      <c r="E217" s="8">
        <v>7</v>
      </c>
      <c r="F217" s="191"/>
      <c r="G217" s="191"/>
      <c r="H217" s="191"/>
      <c r="I217" s="191"/>
      <c r="J217" s="193">
        <v>2027.24</v>
      </c>
      <c r="K217" s="168">
        <f t="shared" si="9"/>
        <v>14190.68</v>
      </c>
    </row>
    <row r="218" spans="1:11">
      <c r="A218" s="160">
        <v>76</v>
      </c>
      <c r="B218" s="192" t="s">
        <v>392</v>
      </c>
      <c r="C218" s="182" t="s">
        <v>393</v>
      </c>
      <c r="D218" s="165" t="s">
        <v>3</v>
      </c>
      <c r="E218" s="8">
        <v>3</v>
      </c>
      <c r="F218" s="191"/>
      <c r="G218" s="191"/>
      <c r="H218" s="191"/>
      <c r="I218" s="191"/>
      <c r="J218" s="193">
        <v>1929.3</v>
      </c>
      <c r="K218" s="168">
        <f t="shared" si="9"/>
        <v>5787.9</v>
      </c>
    </row>
    <row r="219" spans="1:11">
      <c r="A219" s="160">
        <v>77</v>
      </c>
      <c r="B219" s="192" t="s">
        <v>394</v>
      </c>
      <c r="C219" s="182" t="s">
        <v>395</v>
      </c>
      <c r="D219" s="165" t="s">
        <v>3</v>
      </c>
      <c r="E219" s="8">
        <v>3</v>
      </c>
      <c r="F219" s="191"/>
      <c r="G219" s="191"/>
      <c r="H219" s="191"/>
      <c r="I219" s="191"/>
      <c r="J219" s="193">
        <v>2060.2800000000002</v>
      </c>
      <c r="K219" s="168">
        <f t="shared" si="9"/>
        <v>6180.84</v>
      </c>
    </row>
    <row r="220" spans="1:11" ht="31.5">
      <c r="A220" s="160">
        <v>78</v>
      </c>
      <c r="B220" s="176" t="s">
        <v>327</v>
      </c>
      <c r="C220" s="182" t="s">
        <v>396</v>
      </c>
      <c r="D220" s="165" t="s">
        <v>3</v>
      </c>
      <c r="E220" s="8">
        <v>3</v>
      </c>
      <c r="F220" s="191"/>
      <c r="G220" s="191"/>
      <c r="H220" s="191"/>
      <c r="I220" s="191"/>
      <c r="J220" s="193">
        <v>4327.0600000000004</v>
      </c>
      <c r="K220" s="168">
        <f t="shared" si="9"/>
        <v>12981.18</v>
      </c>
    </row>
    <row r="221" spans="1:11" ht="31.5">
      <c r="A221" s="160">
        <v>79</v>
      </c>
      <c r="B221" s="192" t="s">
        <v>397</v>
      </c>
      <c r="C221" s="182" t="s">
        <v>398</v>
      </c>
      <c r="D221" s="165" t="s">
        <v>3</v>
      </c>
      <c r="E221" s="8">
        <v>2</v>
      </c>
      <c r="F221" s="191"/>
      <c r="G221" s="191"/>
      <c r="H221" s="191"/>
      <c r="I221" s="191"/>
      <c r="J221" s="193">
        <v>4776.6400000000003</v>
      </c>
      <c r="K221" s="168">
        <f t="shared" si="9"/>
        <v>9553.2800000000007</v>
      </c>
    </row>
    <row r="222" spans="1:11" ht="31.5">
      <c r="A222" s="160">
        <v>80</v>
      </c>
      <c r="B222" s="194"/>
      <c r="C222" s="195" t="s">
        <v>399</v>
      </c>
      <c r="D222" s="196" t="s">
        <v>13</v>
      </c>
      <c r="E222" s="185">
        <v>1</v>
      </c>
      <c r="F222" s="191"/>
      <c r="G222" s="191"/>
      <c r="H222" s="191"/>
      <c r="I222" s="191"/>
      <c r="J222" s="197">
        <v>5003.2</v>
      </c>
      <c r="K222" s="168">
        <f t="shared" si="9"/>
        <v>5003.2</v>
      </c>
    </row>
    <row r="223" spans="1:11" ht="47.25">
      <c r="A223" s="160">
        <v>81</v>
      </c>
      <c r="B223" s="198"/>
      <c r="C223" s="195" t="s">
        <v>400</v>
      </c>
      <c r="D223" s="196" t="s">
        <v>13</v>
      </c>
      <c r="E223" s="196">
        <v>2</v>
      </c>
      <c r="F223" s="199"/>
      <c r="G223" s="199"/>
      <c r="H223" s="199"/>
      <c r="I223" s="199"/>
      <c r="J223" s="196">
        <v>5888.2</v>
      </c>
      <c r="K223" s="200">
        <f t="shared" si="9"/>
        <v>11776.4</v>
      </c>
    </row>
    <row r="224" spans="1:11">
      <c r="A224" s="160">
        <v>82</v>
      </c>
      <c r="B224" s="201"/>
      <c r="C224" s="202" t="s">
        <v>401</v>
      </c>
      <c r="D224" s="185" t="s">
        <v>34</v>
      </c>
      <c r="E224" s="185">
        <v>418</v>
      </c>
      <c r="F224" s="191"/>
      <c r="G224" s="191"/>
      <c r="H224" s="191"/>
      <c r="I224" s="191"/>
      <c r="J224" s="185">
        <v>73.16</v>
      </c>
      <c r="K224" s="168">
        <f t="shared" si="9"/>
        <v>30580.879999999997</v>
      </c>
    </row>
    <row r="225" spans="1:11">
      <c r="A225" s="160">
        <v>83</v>
      </c>
      <c r="B225" s="201"/>
      <c r="C225" s="195" t="s">
        <v>402</v>
      </c>
      <c r="D225" s="165" t="s">
        <v>193</v>
      </c>
      <c r="E225" s="185">
        <v>33</v>
      </c>
      <c r="F225" s="191"/>
      <c r="G225" s="191"/>
      <c r="H225" s="191"/>
      <c r="I225" s="191"/>
      <c r="J225" s="185">
        <v>6454.6</v>
      </c>
      <c r="K225" s="168">
        <f t="shared" si="9"/>
        <v>213001.80000000002</v>
      </c>
    </row>
    <row r="226" spans="1:11">
      <c r="A226" s="160">
        <v>84</v>
      </c>
      <c r="B226" s="201"/>
      <c r="C226" s="182" t="s">
        <v>403</v>
      </c>
      <c r="D226" s="165" t="s">
        <v>193</v>
      </c>
      <c r="E226" s="185">
        <v>240</v>
      </c>
      <c r="F226" s="191"/>
      <c r="G226" s="191"/>
      <c r="H226" s="191"/>
      <c r="I226" s="191"/>
      <c r="J226" s="203">
        <v>375.24</v>
      </c>
      <c r="K226" s="168">
        <f t="shared" si="9"/>
        <v>90057.600000000006</v>
      </c>
    </row>
    <row r="227" spans="1:11" ht="18.75">
      <c r="A227" s="160">
        <v>85</v>
      </c>
      <c r="B227" s="201"/>
      <c r="C227" s="204" t="s">
        <v>404</v>
      </c>
      <c r="D227" s="166" t="s">
        <v>13</v>
      </c>
      <c r="E227" s="8">
        <v>2</v>
      </c>
      <c r="F227" s="191"/>
      <c r="G227" s="191"/>
      <c r="H227" s="191"/>
      <c r="I227" s="191"/>
      <c r="J227" s="203">
        <v>5233.3</v>
      </c>
      <c r="K227" s="168">
        <f t="shared" si="9"/>
        <v>10466.6</v>
      </c>
    </row>
    <row r="228" spans="1:11" ht="18.75">
      <c r="A228" s="160">
        <v>86</v>
      </c>
      <c r="B228" s="201"/>
      <c r="C228" s="204" t="s">
        <v>405</v>
      </c>
      <c r="D228" s="166" t="s">
        <v>13</v>
      </c>
      <c r="E228" s="205">
        <v>4</v>
      </c>
      <c r="F228" s="191"/>
      <c r="G228" s="191"/>
      <c r="H228" s="191"/>
      <c r="I228" s="191"/>
      <c r="J228" s="206">
        <v>5351.3</v>
      </c>
      <c r="K228" s="168">
        <f t="shared" si="9"/>
        <v>21405.200000000001</v>
      </c>
    </row>
    <row r="229" spans="1:11" ht="18.75">
      <c r="A229" s="160">
        <v>87</v>
      </c>
      <c r="B229" s="201"/>
      <c r="C229" s="204" t="s">
        <v>406</v>
      </c>
      <c r="D229" s="166" t="s">
        <v>13</v>
      </c>
      <c r="E229" s="205">
        <v>4</v>
      </c>
      <c r="F229" s="191"/>
      <c r="G229" s="191"/>
      <c r="H229" s="191"/>
      <c r="I229" s="191"/>
      <c r="J229" s="206">
        <v>5652.2</v>
      </c>
      <c r="K229" s="168">
        <f t="shared" si="9"/>
        <v>22608.799999999999</v>
      </c>
    </row>
    <row r="230" spans="1:11" ht="18.75">
      <c r="A230" s="160">
        <v>88</v>
      </c>
      <c r="B230" s="201"/>
      <c r="C230" s="204" t="s">
        <v>407</v>
      </c>
      <c r="D230" s="207" t="s">
        <v>13</v>
      </c>
      <c r="E230" s="205">
        <v>2</v>
      </c>
      <c r="F230" s="191"/>
      <c r="G230" s="191"/>
      <c r="H230" s="191"/>
      <c r="I230" s="191"/>
      <c r="J230" s="206">
        <v>3528.2</v>
      </c>
      <c r="K230" s="168">
        <f t="shared" si="9"/>
        <v>7056.4</v>
      </c>
    </row>
    <row r="231" spans="1:11">
      <c r="A231" s="160">
        <v>89</v>
      </c>
      <c r="B231" s="194"/>
      <c r="C231" s="195" t="s">
        <v>408</v>
      </c>
      <c r="D231" s="208" t="s">
        <v>2</v>
      </c>
      <c r="E231" s="205">
        <v>3</v>
      </c>
      <c r="F231" s="191"/>
      <c r="G231" s="191"/>
      <c r="H231" s="191"/>
      <c r="I231" s="191"/>
      <c r="J231" s="206">
        <v>1000</v>
      </c>
      <c r="K231" s="168">
        <f t="shared" si="9"/>
        <v>3000</v>
      </c>
    </row>
    <row r="232" spans="1:11">
      <c r="A232" s="160">
        <v>90</v>
      </c>
      <c r="B232" s="194"/>
      <c r="C232" s="195" t="s">
        <v>409</v>
      </c>
      <c r="D232" s="207" t="s">
        <v>13</v>
      </c>
      <c r="E232" s="205">
        <v>20</v>
      </c>
      <c r="F232" s="191"/>
      <c r="G232" s="191"/>
      <c r="H232" s="191"/>
      <c r="I232" s="191"/>
      <c r="J232" s="209">
        <v>352.82</v>
      </c>
      <c r="K232" s="168">
        <f t="shared" si="9"/>
        <v>7056.4</v>
      </c>
    </row>
    <row r="233" spans="1:11">
      <c r="A233" s="160">
        <v>91</v>
      </c>
      <c r="B233" s="194"/>
      <c r="C233" s="195" t="s">
        <v>410</v>
      </c>
      <c r="D233" s="207" t="s">
        <v>13</v>
      </c>
      <c r="E233" s="205">
        <v>10</v>
      </c>
      <c r="F233" s="191"/>
      <c r="G233" s="191"/>
      <c r="H233" s="191"/>
      <c r="I233" s="191"/>
      <c r="J233" s="209">
        <v>584.1</v>
      </c>
      <c r="K233" s="168">
        <f t="shared" si="9"/>
        <v>5841</v>
      </c>
    </row>
    <row r="234" spans="1:11" ht="31.5">
      <c r="A234" s="160">
        <v>92</v>
      </c>
      <c r="B234" s="194"/>
      <c r="C234" s="195" t="s">
        <v>411</v>
      </c>
      <c r="D234" s="207" t="s">
        <v>13</v>
      </c>
      <c r="E234" s="205">
        <v>10</v>
      </c>
      <c r="F234" s="191"/>
      <c r="G234" s="191"/>
      <c r="H234" s="191"/>
      <c r="I234" s="191"/>
      <c r="J234" s="209">
        <v>2112.1999999999998</v>
      </c>
      <c r="K234" s="168">
        <f t="shared" si="9"/>
        <v>21122</v>
      </c>
    </row>
    <row r="235" spans="1:11" ht="31.5">
      <c r="A235" s="160">
        <v>93</v>
      </c>
      <c r="B235" s="194"/>
      <c r="C235" s="195" t="s">
        <v>412</v>
      </c>
      <c r="D235" s="207" t="s">
        <v>13</v>
      </c>
      <c r="E235" s="205">
        <v>13</v>
      </c>
      <c r="F235" s="191"/>
      <c r="G235" s="191"/>
      <c r="H235" s="191"/>
      <c r="I235" s="191"/>
      <c r="J235" s="209">
        <v>2578.3000000000002</v>
      </c>
      <c r="K235" s="168">
        <f t="shared" si="9"/>
        <v>33517.9</v>
      </c>
    </row>
    <row r="236" spans="1:11">
      <c r="A236" s="160">
        <v>94</v>
      </c>
      <c r="B236" s="194"/>
      <c r="C236" s="195" t="s">
        <v>413</v>
      </c>
      <c r="D236" s="207" t="s">
        <v>13</v>
      </c>
      <c r="E236" s="205">
        <v>15</v>
      </c>
      <c r="F236" s="191"/>
      <c r="G236" s="191"/>
      <c r="H236" s="191"/>
      <c r="I236" s="191"/>
      <c r="J236" s="209">
        <v>2578.3000000000002</v>
      </c>
      <c r="K236" s="168">
        <f t="shared" si="9"/>
        <v>38674.5</v>
      </c>
    </row>
    <row r="237" spans="1:11" ht="31.5">
      <c r="A237" s="160">
        <v>95</v>
      </c>
      <c r="B237" s="194"/>
      <c r="C237" s="195" t="s">
        <v>414</v>
      </c>
      <c r="D237" s="207" t="s">
        <v>13</v>
      </c>
      <c r="E237" s="205">
        <v>15</v>
      </c>
      <c r="F237" s="191"/>
      <c r="G237" s="191"/>
      <c r="H237" s="191"/>
      <c r="I237" s="191"/>
      <c r="J237" s="209">
        <v>1787.7</v>
      </c>
      <c r="K237" s="168">
        <f t="shared" si="9"/>
        <v>26815.5</v>
      </c>
    </row>
    <row r="238" spans="1:11" ht="31.5">
      <c r="A238" s="160">
        <v>96</v>
      </c>
      <c r="B238" s="194"/>
      <c r="C238" s="195" t="s">
        <v>415</v>
      </c>
      <c r="D238" s="207" t="s">
        <v>13</v>
      </c>
      <c r="E238" s="205">
        <v>15</v>
      </c>
      <c r="F238" s="191"/>
      <c r="G238" s="191"/>
      <c r="H238" s="191"/>
      <c r="I238" s="191"/>
      <c r="J238" s="209">
        <v>1787.7</v>
      </c>
      <c r="K238" s="168">
        <f t="shared" si="9"/>
        <v>26815.5</v>
      </c>
    </row>
    <row r="239" spans="1:11" ht="31.5">
      <c r="A239" s="160">
        <v>97</v>
      </c>
      <c r="B239" s="194"/>
      <c r="C239" s="195" t="s">
        <v>416</v>
      </c>
      <c r="D239" s="207" t="s">
        <v>13</v>
      </c>
      <c r="E239" s="205">
        <v>6</v>
      </c>
      <c r="F239" s="191"/>
      <c r="G239" s="191"/>
      <c r="H239" s="191"/>
      <c r="I239" s="191"/>
      <c r="J239" s="209">
        <v>4773.1000000000004</v>
      </c>
      <c r="K239" s="168">
        <f t="shared" si="9"/>
        <v>28638.600000000002</v>
      </c>
    </row>
    <row r="240" spans="1:11" ht="31.5">
      <c r="A240" s="160">
        <v>98</v>
      </c>
      <c r="B240" s="194"/>
      <c r="C240" s="195" t="s">
        <v>417</v>
      </c>
      <c r="D240" s="207" t="s">
        <v>13</v>
      </c>
      <c r="E240" s="205">
        <v>6</v>
      </c>
      <c r="F240" s="191"/>
      <c r="G240" s="191"/>
      <c r="H240" s="191"/>
      <c r="I240" s="191"/>
      <c r="J240" s="209">
        <v>4773.1000000000004</v>
      </c>
      <c r="K240" s="168">
        <f t="shared" si="9"/>
        <v>28638.600000000002</v>
      </c>
    </row>
    <row r="241" spans="1:11">
      <c r="A241" s="160">
        <v>99</v>
      </c>
      <c r="B241" s="201"/>
      <c r="C241" s="210" t="s">
        <v>418</v>
      </c>
      <c r="D241" s="207" t="s">
        <v>13</v>
      </c>
      <c r="E241" s="31">
        <v>5</v>
      </c>
      <c r="F241" s="191"/>
      <c r="G241" s="191"/>
      <c r="H241" s="191"/>
      <c r="I241" s="191"/>
      <c r="J241" s="175">
        <v>2767.1</v>
      </c>
      <c r="K241" s="168">
        <f t="shared" si="9"/>
        <v>13835.5</v>
      </c>
    </row>
    <row r="242" spans="1:11">
      <c r="A242" s="160">
        <v>100</v>
      </c>
      <c r="B242" s="201"/>
      <c r="C242" s="211" t="s">
        <v>419</v>
      </c>
      <c r="D242" s="207" t="s">
        <v>13</v>
      </c>
      <c r="E242" s="31">
        <v>4</v>
      </c>
      <c r="F242" s="191"/>
      <c r="G242" s="191"/>
      <c r="H242" s="191"/>
      <c r="I242" s="191"/>
      <c r="J242" s="185">
        <v>2590.1</v>
      </c>
      <c r="K242" s="168">
        <f t="shared" si="9"/>
        <v>10360.4</v>
      </c>
    </row>
    <row r="243" spans="1:11">
      <c r="A243" s="160">
        <v>101</v>
      </c>
      <c r="B243" s="201"/>
      <c r="C243" s="212" t="s">
        <v>420</v>
      </c>
      <c r="D243" s="166" t="s">
        <v>13</v>
      </c>
      <c r="E243" s="31">
        <v>8</v>
      </c>
      <c r="F243" s="191"/>
      <c r="G243" s="191"/>
      <c r="H243" s="191"/>
      <c r="I243" s="191"/>
      <c r="J243" s="185">
        <v>3000</v>
      </c>
      <c r="K243" s="168">
        <f t="shared" si="9"/>
        <v>24000</v>
      </c>
    </row>
    <row r="244" spans="1:11" ht="18.75">
      <c r="A244" s="213"/>
      <c r="B244" s="213"/>
      <c r="C244" s="213"/>
      <c r="D244" s="213"/>
      <c r="E244" s="213"/>
      <c r="F244" s="213"/>
      <c r="G244" s="213"/>
      <c r="H244" s="213"/>
      <c r="I244" s="213"/>
      <c r="J244" s="214"/>
      <c r="K244" s="215">
        <f>SUM(K144:K243)</f>
        <v>4789033.7784399986</v>
      </c>
    </row>
    <row r="245" spans="1:11">
      <c r="A245" s="160">
        <v>102</v>
      </c>
      <c r="B245" s="91"/>
      <c r="C245" s="181" t="s">
        <v>422</v>
      </c>
      <c r="D245" s="216" t="s">
        <v>2</v>
      </c>
      <c r="E245" s="2"/>
      <c r="F245" s="2"/>
      <c r="G245" s="217">
        <v>3</v>
      </c>
      <c r="H245" s="2"/>
      <c r="I245" s="2"/>
      <c r="J245" s="188">
        <v>4500</v>
      </c>
      <c r="K245" s="25">
        <f t="shared" ref="K245:K249" si="10">J245*G245</f>
        <v>13500</v>
      </c>
    </row>
    <row r="246" spans="1:11" ht="31.5">
      <c r="A246" s="160">
        <v>103</v>
      </c>
      <c r="B246" s="91"/>
      <c r="C246" s="182" t="s">
        <v>423</v>
      </c>
      <c r="D246" s="216" t="s">
        <v>2</v>
      </c>
      <c r="E246" s="2"/>
      <c r="F246" s="2"/>
      <c r="G246" s="217">
        <v>1</v>
      </c>
      <c r="H246" s="2"/>
      <c r="I246" s="2"/>
      <c r="J246" s="188">
        <v>4500</v>
      </c>
      <c r="K246" s="25">
        <f t="shared" si="10"/>
        <v>4500</v>
      </c>
    </row>
    <row r="247" spans="1:11">
      <c r="A247" s="160">
        <v>104</v>
      </c>
      <c r="B247" s="174" t="s">
        <v>206</v>
      </c>
      <c r="C247" s="182" t="s">
        <v>424</v>
      </c>
      <c r="D247" s="216" t="s">
        <v>2</v>
      </c>
      <c r="E247" s="2"/>
      <c r="F247" s="2"/>
      <c r="G247" s="217">
        <v>3</v>
      </c>
      <c r="H247" s="2"/>
      <c r="I247" s="2"/>
      <c r="J247" s="188">
        <v>6000</v>
      </c>
      <c r="K247" s="25">
        <f t="shared" si="10"/>
        <v>18000</v>
      </c>
    </row>
    <row r="248" spans="1:11">
      <c r="A248" s="160">
        <v>105</v>
      </c>
      <c r="B248" s="218"/>
      <c r="C248" s="195" t="s">
        <v>425</v>
      </c>
      <c r="D248" s="216" t="s">
        <v>2</v>
      </c>
      <c r="E248" s="2"/>
      <c r="F248" s="2"/>
      <c r="G248" s="217">
        <v>1</v>
      </c>
      <c r="H248" s="2"/>
      <c r="I248" s="2"/>
      <c r="J248" s="188">
        <v>8000</v>
      </c>
      <c r="K248" s="25">
        <f t="shared" si="10"/>
        <v>8000</v>
      </c>
    </row>
    <row r="249" spans="1:11">
      <c r="A249" s="160">
        <v>106</v>
      </c>
      <c r="B249" s="218"/>
      <c r="C249" s="195" t="s">
        <v>408</v>
      </c>
      <c r="D249" s="216" t="s">
        <v>2</v>
      </c>
      <c r="E249" s="2"/>
      <c r="F249" s="2"/>
      <c r="G249" s="217">
        <v>3</v>
      </c>
      <c r="H249" s="2"/>
      <c r="I249" s="2"/>
      <c r="J249" s="188">
        <v>2000</v>
      </c>
      <c r="K249" s="25">
        <f t="shared" si="10"/>
        <v>6000</v>
      </c>
    </row>
    <row r="250" spans="1:11">
      <c r="A250" s="160"/>
      <c r="B250" s="219" t="s">
        <v>421</v>
      </c>
      <c r="C250" s="219"/>
      <c r="D250" s="219"/>
      <c r="E250" s="219"/>
      <c r="F250" s="219"/>
      <c r="G250" s="219"/>
      <c r="H250" s="219"/>
      <c r="I250" s="219"/>
      <c r="J250" s="220"/>
      <c r="K250" s="221">
        <f>SUM(K245:K249)</f>
        <v>50000</v>
      </c>
    </row>
    <row r="251" spans="1:11">
      <c r="A251" s="160">
        <v>107</v>
      </c>
      <c r="B251" s="201" t="s">
        <v>426</v>
      </c>
      <c r="C251" s="222" t="s">
        <v>427</v>
      </c>
      <c r="D251" s="223" t="s">
        <v>2</v>
      </c>
      <c r="E251" s="2"/>
      <c r="F251" s="2"/>
      <c r="G251" s="2"/>
      <c r="H251" s="2"/>
      <c r="I251" s="217">
        <v>3</v>
      </c>
      <c r="J251" s="193">
        <v>100</v>
      </c>
      <c r="K251" s="25">
        <f t="shared" ref="K251:K281" si="11">J251*I251</f>
        <v>300</v>
      </c>
    </row>
    <row r="252" spans="1:11">
      <c r="A252" s="160">
        <v>108</v>
      </c>
      <c r="B252" s="171"/>
      <c r="C252" s="222" t="s">
        <v>428</v>
      </c>
      <c r="D252" s="223" t="s">
        <v>2</v>
      </c>
      <c r="E252" s="2"/>
      <c r="F252" s="2"/>
      <c r="G252" s="2"/>
      <c r="H252" s="2"/>
      <c r="I252" s="217">
        <v>1</v>
      </c>
      <c r="J252" s="193">
        <v>2000</v>
      </c>
      <c r="K252" s="25">
        <f t="shared" si="11"/>
        <v>2000</v>
      </c>
    </row>
    <row r="253" spans="1:11">
      <c r="A253" s="160">
        <v>109</v>
      </c>
      <c r="B253" s="201" t="s">
        <v>429</v>
      </c>
      <c r="C253" s="222" t="s">
        <v>430</v>
      </c>
      <c r="D253" s="223" t="s">
        <v>2</v>
      </c>
      <c r="E253" s="2"/>
      <c r="F253" s="2"/>
      <c r="G253" s="2"/>
      <c r="H253" s="2"/>
      <c r="I253" s="217">
        <v>1</v>
      </c>
      <c r="J253" s="193">
        <v>2000</v>
      </c>
      <c r="K253" s="25">
        <f t="shared" si="11"/>
        <v>2000</v>
      </c>
    </row>
    <row r="254" spans="1:11" ht="31.5">
      <c r="A254" s="160">
        <v>110</v>
      </c>
      <c r="B254" s="171" t="s">
        <v>431</v>
      </c>
      <c r="C254" s="224" t="s">
        <v>432</v>
      </c>
      <c r="D254" s="223" t="s">
        <v>433</v>
      </c>
      <c r="E254" s="2"/>
      <c r="F254" s="2"/>
      <c r="G254" s="2"/>
      <c r="H254" s="2"/>
      <c r="I254" s="217">
        <v>1</v>
      </c>
      <c r="J254" s="225">
        <v>8000</v>
      </c>
      <c r="K254" s="25">
        <f t="shared" si="11"/>
        <v>8000</v>
      </c>
    </row>
    <row r="255" spans="1:11">
      <c r="A255" s="160">
        <v>111</v>
      </c>
      <c r="B255" s="201" t="s">
        <v>434</v>
      </c>
      <c r="C255" s="224" t="s">
        <v>435</v>
      </c>
      <c r="D255" s="216" t="s">
        <v>2</v>
      </c>
      <c r="E255" s="2"/>
      <c r="F255" s="2"/>
      <c r="G255" s="2"/>
      <c r="H255" s="2"/>
      <c r="I255" s="217">
        <v>1</v>
      </c>
      <c r="J255" s="225">
        <v>1000</v>
      </c>
      <c r="K255" s="25">
        <f t="shared" si="11"/>
        <v>1000</v>
      </c>
    </row>
    <row r="256" spans="1:11">
      <c r="A256" s="160">
        <v>112</v>
      </c>
      <c r="B256" s="201" t="s">
        <v>436</v>
      </c>
      <c r="C256" s="226" t="s">
        <v>437</v>
      </c>
      <c r="D256" s="216" t="s">
        <v>2</v>
      </c>
      <c r="E256" s="2"/>
      <c r="F256" s="2"/>
      <c r="G256" s="2"/>
      <c r="H256" s="2"/>
      <c r="I256" s="217">
        <v>1</v>
      </c>
      <c r="J256" s="225">
        <v>1500</v>
      </c>
      <c r="K256" s="25">
        <f t="shared" si="11"/>
        <v>1500</v>
      </c>
    </row>
    <row r="257" spans="1:11">
      <c r="A257" s="160">
        <v>113</v>
      </c>
      <c r="B257" s="227"/>
      <c r="C257" s="222" t="s">
        <v>438</v>
      </c>
      <c r="D257" s="216" t="s">
        <v>193</v>
      </c>
      <c r="E257" s="2"/>
      <c r="F257" s="2"/>
      <c r="G257" s="2"/>
      <c r="H257" s="2"/>
      <c r="I257" s="217">
        <v>50</v>
      </c>
      <c r="J257" s="225">
        <v>25</v>
      </c>
      <c r="K257" s="25">
        <f t="shared" si="11"/>
        <v>1250</v>
      </c>
    </row>
    <row r="258" spans="1:11">
      <c r="A258" s="160">
        <v>114</v>
      </c>
      <c r="B258" s="201" t="s">
        <v>436</v>
      </c>
      <c r="C258" s="224" t="s">
        <v>439</v>
      </c>
      <c r="D258" s="216" t="s">
        <v>2</v>
      </c>
      <c r="E258" s="2"/>
      <c r="F258" s="2"/>
      <c r="G258" s="2"/>
      <c r="H258" s="2"/>
      <c r="I258" s="217">
        <v>2</v>
      </c>
      <c r="J258" s="225">
        <v>1000</v>
      </c>
      <c r="K258" s="25">
        <f t="shared" si="11"/>
        <v>2000</v>
      </c>
    </row>
    <row r="259" spans="1:11">
      <c r="A259" s="160">
        <v>115</v>
      </c>
      <c r="B259" s="201" t="s">
        <v>436</v>
      </c>
      <c r="C259" s="181" t="s">
        <v>440</v>
      </c>
      <c r="D259" s="216" t="s">
        <v>2</v>
      </c>
      <c r="E259" s="2"/>
      <c r="F259" s="2"/>
      <c r="G259" s="2"/>
      <c r="H259" s="2"/>
      <c r="I259" s="217">
        <v>1</v>
      </c>
      <c r="J259" s="225">
        <v>500</v>
      </c>
      <c r="K259" s="25">
        <f t="shared" si="11"/>
        <v>500</v>
      </c>
    </row>
    <row r="260" spans="1:11">
      <c r="A260" s="160">
        <v>116</v>
      </c>
      <c r="B260" s="201" t="s">
        <v>436</v>
      </c>
      <c r="C260" s="182" t="s">
        <v>441</v>
      </c>
      <c r="D260" s="165" t="s">
        <v>3</v>
      </c>
      <c r="E260" s="2"/>
      <c r="F260" s="2"/>
      <c r="G260" s="2"/>
      <c r="H260" s="2"/>
      <c r="I260" s="217">
        <v>1</v>
      </c>
      <c r="J260" s="225">
        <v>2500</v>
      </c>
      <c r="K260" s="25">
        <f t="shared" si="11"/>
        <v>2500</v>
      </c>
    </row>
    <row r="261" spans="1:11">
      <c r="A261" s="160">
        <v>117</v>
      </c>
      <c r="B261" s="192"/>
      <c r="C261" s="228" t="s">
        <v>442</v>
      </c>
      <c r="D261" s="165" t="s">
        <v>193</v>
      </c>
      <c r="E261" s="26"/>
      <c r="F261" s="26"/>
      <c r="G261" s="26"/>
      <c r="H261" s="2"/>
      <c r="I261" s="217">
        <v>49</v>
      </c>
      <c r="J261" s="225">
        <v>30</v>
      </c>
      <c r="K261" s="25">
        <f t="shared" si="11"/>
        <v>1470</v>
      </c>
    </row>
    <row r="262" spans="1:11">
      <c r="A262" s="160">
        <v>118</v>
      </c>
      <c r="B262" s="201"/>
      <c r="C262" s="229" t="s">
        <v>443</v>
      </c>
      <c r="D262" s="165" t="s">
        <v>193</v>
      </c>
      <c r="E262" s="2"/>
      <c r="F262" s="2"/>
      <c r="G262" s="2"/>
      <c r="H262" s="2"/>
      <c r="I262" s="217">
        <v>30</v>
      </c>
      <c r="J262" s="225">
        <v>25</v>
      </c>
      <c r="K262" s="25">
        <f t="shared" si="11"/>
        <v>750</v>
      </c>
    </row>
    <row r="263" spans="1:11">
      <c r="A263" s="160">
        <v>119</v>
      </c>
      <c r="B263" s="171" t="s">
        <v>431</v>
      </c>
      <c r="C263" s="182" t="s">
        <v>444</v>
      </c>
      <c r="D263" s="165" t="s">
        <v>3</v>
      </c>
      <c r="E263" s="2"/>
      <c r="F263" s="2"/>
      <c r="G263" s="2"/>
      <c r="H263" s="2"/>
      <c r="I263" s="217">
        <v>1</v>
      </c>
      <c r="J263" s="193">
        <v>3500</v>
      </c>
      <c r="K263" s="25">
        <f t="shared" si="11"/>
        <v>3500</v>
      </c>
    </row>
    <row r="264" spans="1:11">
      <c r="A264" s="160">
        <v>120</v>
      </c>
      <c r="B264" s="201" t="s">
        <v>436</v>
      </c>
      <c r="C264" s="182" t="s">
        <v>445</v>
      </c>
      <c r="D264" s="165" t="s">
        <v>3</v>
      </c>
      <c r="E264" s="2"/>
      <c r="F264" s="2"/>
      <c r="G264" s="2"/>
      <c r="H264" s="2"/>
      <c r="I264" s="217">
        <v>1</v>
      </c>
      <c r="J264" s="193">
        <v>1500</v>
      </c>
      <c r="K264" s="25">
        <f t="shared" si="11"/>
        <v>1500</v>
      </c>
    </row>
    <row r="265" spans="1:11">
      <c r="A265" s="160">
        <v>121</v>
      </c>
      <c r="B265" s="201" t="s">
        <v>434</v>
      </c>
      <c r="C265" s="182" t="s">
        <v>446</v>
      </c>
      <c r="D265" s="165" t="s">
        <v>3</v>
      </c>
      <c r="E265" s="2"/>
      <c r="F265" s="2"/>
      <c r="G265" s="2"/>
      <c r="H265" s="2"/>
      <c r="I265" s="217">
        <v>2</v>
      </c>
      <c r="J265" s="225">
        <v>900</v>
      </c>
      <c r="K265" s="25">
        <f t="shared" si="11"/>
        <v>1800</v>
      </c>
    </row>
    <row r="266" spans="1:11">
      <c r="A266" s="160">
        <v>122</v>
      </c>
      <c r="B266" s="194"/>
      <c r="C266" s="173" t="s">
        <v>447</v>
      </c>
      <c r="D266" s="230" t="s">
        <v>2</v>
      </c>
      <c r="E266" s="2"/>
      <c r="F266" s="2"/>
      <c r="G266" s="2"/>
      <c r="H266" s="2"/>
      <c r="I266" s="217">
        <v>1</v>
      </c>
      <c r="J266" s="225">
        <v>500</v>
      </c>
      <c r="K266" s="25">
        <f t="shared" si="11"/>
        <v>500</v>
      </c>
    </row>
    <row r="267" spans="1:11">
      <c r="A267" s="160">
        <v>123</v>
      </c>
      <c r="B267" s="194"/>
      <c r="C267" s="173" t="s">
        <v>448</v>
      </c>
      <c r="D267" s="185" t="s">
        <v>2</v>
      </c>
      <c r="E267" s="2"/>
      <c r="F267" s="2"/>
      <c r="G267" s="2"/>
      <c r="H267" s="2"/>
      <c r="I267" s="217">
        <v>1</v>
      </c>
      <c r="J267" s="225">
        <v>1500</v>
      </c>
      <c r="K267" s="25">
        <f t="shared" si="11"/>
        <v>1500</v>
      </c>
    </row>
    <row r="268" spans="1:11">
      <c r="A268" s="160">
        <v>124</v>
      </c>
      <c r="B268" s="194"/>
      <c r="C268" s="173" t="s">
        <v>449</v>
      </c>
      <c r="D268" s="185" t="s">
        <v>2</v>
      </c>
      <c r="E268" s="2"/>
      <c r="F268" s="2"/>
      <c r="G268" s="2"/>
      <c r="H268" s="2"/>
      <c r="I268" s="217">
        <v>1</v>
      </c>
      <c r="J268" s="225">
        <v>2500</v>
      </c>
      <c r="K268" s="25">
        <f t="shared" si="11"/>
        <v>2500</v>
      </c>
    </row>
    <row r="269" spans="1:11">
      <c r="A269" s="160">
        <v>125</v>
      </c>
      <c r="B269" s="201"/>
      <c r="C269" s="231" t="s">
        <v>450</v>
      </c>
      <c r="D269" s="185" t="s">
        <v>2</v>
      </c>
      <c r="E269" s="2"/>
      <c r="F269" s="2"/>
      <c r="G269" s="2"/>
      <c r="H269" s="2"/>
      <c r="I269" s="217">
        <v>1</v>
      </c>
      <c r="J269" s="225">
        <v>500</v>
      </c>
      <c r="K269" s="25">
        <f t="shared" si="11"/>
        <v>500</v>
      </c>
    </row>
    <row r="270" spans="1:11">
      <c r="A270" s="160">
        <v>126</v>
      </c>
      <c r="B270" s="201"/>
      <c r="C270" s="232" t="s">
        <v>451</v>
      </c>
      <c r="D270" s="185" t="s">
        <v>2</v>
      </c>
      <c r="E270" s="2"/>
      <c r="F270" s="2"/>
      <c r="G270" s="2"/>
      <c r="H270" s="2"/>
      <c r="I270" s="217">
        <v>1</v>
      </c>
      <c r="J270" s="225">
        <v>1000</v>
      </c>
      <c r="K270" s="25">
        <f t="shared" si="11"/>
        <v>1000</v>
      </c>
    </row>
    <row r="271" spans="1:11">
      <c r="A271" s="160">
        <v>127</v>
      </c>
      <c r="B271" s="201"/>
      <c r="C271" s="45" t="s">
        <v>452</v>
      </c>
      <c r="D271" s="185" t="s">
        <v>2</v>
      </c>
      <c r="E271" s="2"/>
      <c r="F271" s="2"/>
      <c r="G271" s="2"/>
      <c r="H271" s="2"/>
      <c r="I271" s="217">
        <v>2</v>
      </c>
      <c r="J271" s="225">
        <v>300</v>
      </c>
      <c r="K271" s="25">
        <f t="shared" si="11"/>
        <v>600</v>
      </c>
    </row>
    <row r="272" spans="1:11">
      <c r="A272" s="160">
        <v>128</v>
      </c>
      <c r="B272" s="201"/>
      <c r="C272" s="45" t="s">
        <v>452</v>
      </c>
      <c r="D272" s="185" t="s">
        <v>2</v>
      </c>
      <c r="E272" s="2"/>
      <c r="F272" s="2"/>
      <c r="G272" s="2"/>
      <c r="H272" s="2"/>
      <c r="I272" s="217">
        <v>1</v>
      </c>
      <c r="J272" s="225">
        <v>400</v>
      </c>
      <c r="K272" s="25">
        <f t="shared" si="11"/>
        <v>400</v>
      </c>
    </row>
    <row r="273" spans="1:11">
      <c r="A273" s="160">
        <v>129</v>
      </c>
      <c r="B273" s="194"/>
      <c r="C273" s="195" t="s">
        <v>453</v>
      </c>
      <c r="D273" s="165" t="s">
        <v>3</v>
      </c>
      <c r="E273" s="2"/>
      <c r="F273" s="2"/>
      <c r="G273" s="2"/>
      <c r="H273" s="2"/>
      <c r="I273" s="185">
        <v>140</v>
      </c>
      <c r="J273" s="188">
        <v>150</v>
      </c>
      <c r="K273" s="25">
        <f t="shared" si="11"/>
        <v>21000</v>
      </c>
    </row>
    <row r="274" spans="1:11">
      <c r="A274" s="160">
        <v>130</v>
      </c>
      <c r="B274" s="194"/>
      <c r="C274" s="195" t="s">
        <v>454</v>
      </c>
      <c r="D274" s="185" t="s">
        <v>455</v>
      </c>
      <c r="E274" s="2"/>
      <c r="F274" s="2"/>
      <c r="G274" s="2"/>
      <c r="H274" s="2"/>
      <c r="I274" s="185">
        <v>220</v>
      </c>
      <c r="J274" s="188">
        <v>30</v>
      </c>
      <c r="K274" s="25">
        <f t="shared" si="11"/>
        <v>6600</v>
      </c>
    </row>
    <row r="275" spans="1:11" ht="30">
      <c r="A275" s="160">
        <v>131</v>
      </c>
      <c r="B275" s="194"/>
      <c r="C275" s="210" t="s">
        <v>456</v>
      </c>
      <c r="D275" s="185" t="s">
        <v>9</v>
      </c>
      <c r="E275" s="2"/>
      <c r="F275" s="2"/>
      <c r="G275" s="2"/>
      <c r="H275" s="2"/>
      <c r="I275" s="185">
        <v>15</v>
      </c>
      <c r="J275" s="188">
        <v>30</v>
      </c>
      <c r="K275" s="25">
        <f t="shared" si="11"/>
        <v>450</v>
      </c>
    </row>
    <row r="276" spans="1:11">
      <c r="A276" s="160">
        <v>132</v>
      </c>
      <c r="B276" s="194"/>
      <c r="C276" s="210" t="s">
        <v>457</v>
      </c>
      <c r="D276" s="185" t="s">
        <v>9</v>
      </c>
      <c r="E276" s="2"/>
      <c r="F276" s="2"/>
      <c r="G276" s="2"/>
      <c r="H276" s="2"/>
      <c r="I276" s="185">
        <v>1</v>
      </c>
      <c r="J276" s="188">
        <v>2500</v>
      </c>
      <c r="K276" s="25">
        <f t="shared" si="11"/>
        <v>2500</v>
      </c>
    </row>
    <row r="277" spans="1:11">
      <c r="A277" s="160">
        <v>133</v>
      </c>
      <c r="B277" s="194"/>
      <c r="C277" s="195" t="s">
        <v>458</v>
      </c>
      <c r="D277" s="185" t="s">
        <v>9</v>
      </c>
      <c r="E277" s="2"/>
      <c r="F277" s="2"/>
      <c r="G277" s="2"/>
      <c r="H277" s="2"/>
      <c r="I277" s="185">
        <v>1</v>
      </c>
      <c r="J277" s="188">
        <v>200</v>
      </c>
      <c r="K277" s="25">
        <f t="shared" si="11"/>
        <v>200</v>
      </c>
    </row>
    <row r="278" spans="1:11" ht="31.5">
      <c r="A278" s="160">
        <v>134</v>
      </c>
      <c r="B278" s="194"/>
      <c r="C278" s="195" t="s">
        <v>459</v>
      </c>
      <c r="D278" s="165" t="s">
        <v>324</v>
      </c>
      <c r="E278" s="2"/>
      <c r="F278" s="2"/>
      <c r="G278" s="2"/>
      <c r="H278" s="2"/>
      <c r="I278" s="185">
        <v>0.9</v>
      </c>
      <c r="J278" s="188">
        <v>110000</v>
      </c>
      <c r="K278" s="25">
        <f t="shared" si="11"/>
        <v>99000</v>
      </c>
    </row>
    <row r="279" spans="1:11">
      <c r="A279" s="160">
        <v>135</v>
      </c>
      <c r="B279" s="194"/>
      <c r="C279" s="195" t="s">
        <v>460</v>
      </c>
      <c r="D279" s="165" t="s">
        <v>9</v>
      </c>
      <c r="E279" s="2"/>
      <c r="F279" s="2"/>
      <c r="G279" s="2"/>
      <c r="H279" s="2"/>
      <c r="I279" s="185">
        <v>2</v>
      </c>
      <c r="J279" s="188">
        <v>1500</v>
      </c>
      <c r="K279" s="25">
        <f t="shared" si="11"/>
        <v>3000</v>
      </c>
    </row>
    <row r="280" spans="1:11">
      <c r="A280" s="160">
        <v>136</v>
      </c>
      <c r="B280" s="194"/>
      <c r="C280" s="202" t="s">
        <v>461</v>
      </c>
      <c r="D280" s="165" t="s">
        <v>462</v>
      </c>
      <c r="E280" s="233"/>
      <c r="F280" s="2"/>
      <c r="G280" s="2"/>
      <c r="H280" s="2"/>
      <c r="I280" s="185">
        <v>820</v>
      </c>
      <c r="J280" s="188">
        <v>30</v>
      </c>
      <c r="K280" s="25">
        <f t="shared" si="11"/>
        <v>24600</v>
      </c>
    </row>
    <row r="281" spans="1:11">
      <c r="A281" s="160">
        <v>137</v>
      </c>
      <c r="B281" s="194"/>
      <c r="C281" s="202" t="s">
        <v>463</v>
      </c>
      <c r="D281" s="185" t="s">
        <v>13</v>
      </c>
      <c r="E281" s="233"/>
      <c r="F281" s="2"/>
      <c r="G281" s="2"/>
      <c r="H281" s="2"/>
      <c r="I281" s="185">
        <v>1</v>
      </c>
      <c r="J281" s="188">
        <v>3500</v>
      </c>
      <c r="K281" s="25">
        <f t="shared" si="11"/>
        <v>3500</v>
      </c>
    </row>
    <row r="282" spans="1:11">
      <c r="A282" s="2"/>
      <c r="B282" s="234" t="s">
        <v>421</v>
      </c>
      <c r="C282" s="234"/>
      <c r="D282" s="234"/>
      <c r="E282" s="234"/>
      <c r="F282" s="234"/>
      <c r="G282" s="234"/>
      <c r="H282" s="234"/>
      <c r="I282" s="234"/>
      <c r="J282" s="235"/>
      <c r="K282" s="236">
        <f>SUM(K251:K281)</f>
        <v>197920</v>
      </c>
    </row>
    <row r="283" spans="1:11" ht="18.75">
      <c r="A283" s="237"/>
      <c r="B283" s="237"/>
      <c r="C283" s="237"/>
      <c r="D283" s="237"/>
      <c r="E283" s="237"/>
      <c r="F283" s="237"/>
      <c r="G283" s="237"/>
      <c r="H283" s="237"/>
      <c r="I283" s="237"/>
      <c r="J283" s="237"/>
      <c r="K283" s="238"/>
    </row>
    <row r="284" spans="1:11">
      <c r="A284" s="239">
        <v>138</v>
      </c>
      <c r="B284" s="240"/>
      <c r="C284" s="241" t="s">
        <v>464</v>
      </c>
      <c r="D284" s="242" t="s">
        <v>3</v>
      </c>
      <c r="E284" s="242">
        <v>3</v>
      </c>
      <c r="F284" s="243"/>
      <c r="G284" s="243"/>
      <c r="H284" s="243"/>
      <c r="I284" s="243"/>
      <c r="J284" s="244">
        <v>70202.92</v>
      </c>
      <c r="K284" s="245">
        <f t="shared" ref="K284:K301" si="12">J284*E284</f>
        <v>210608.76</v>
      </c>
    </row>
    <row r="285" spans="1:11">
      <c r="A285" s="160">
        <v>139</v>
      </c>
      <c r="B285" s="201"/>
      <c r="C285" s="182" t="s">
        <v>465</v>
      </c>
      <c r="D285" s="185" t="s">
        <v>3</v>
      </c>
      <c r="E285" s="185">
        <v>2</v>
      </c>
      <c r="F285" s="191"/>
      <c r="G285" s="191"/>
      <c r="H285" s="191"/>
      <c r="I285" s="191"/>
      <c r="J285" s="186">
        <v>57650.080000000002</v>
      </c>
      <c r="K285" s="168">
        <f t="shared" si="12"/>
        <v>115300.16</v>
      </c>
    </row>
    <row r="286" spans="1:11">
      <c r="A286" s="239">
        <v>140</v>
      </c>
      <c r="B286" s="201"/>
      <c r="C286" s="182" t="s">
        <v>466</v>
      </c>
      <c r="D286" s="185" t="s">
        <v>3</v>
      </c>
      <c r="E286" s="185">
        <v>2</v>
      </c>
      <c r="F286" s="191"/>
      <c r="G286" s="191"/>
      <c r="H286" s="191"/>
      <c r="I286" s="191"/>
      <c r="J286" s="186">
        <v>61834.36</v>
      </c>
      <c r="K286" s="168">
        <f t="shared" si="12"/>
        <v>123668.72</v>
      </c>
    </row>
    <row r="287" spans="1:11">
      <c r="A287" s="160">
        <v>141</v>
      </c>
      <c r="B287" s="201"/>
      <c r="C287" s="182" t="s">
        <v>467</v>
      </c>
      <c r="D287" s="185" t="s">
        <v>3</v>
      </c>
      <c r="E287" s="185">
        <v>3</v>
      </c>
      <c r="F287" s="191"/>
      <c r="G287" s="191"/>
      <c r="H287" s="191"/>
      <c r="I287" s="191"/>
      <c r="J287" s="186">
        <v>16853.349999999999</v>
      </c>
      <c r="K287" s="168">
        <f t="shared" si="12"/>
        <v>50560.049999999996</v>
      </c>
    </row>
    <row r="288" spans="1:11">
      <c r="A288" s="239">
        <v>142</v>
      </c>
      <c r="B288" s="201"/>
      <c r="C288" s="182" t="s">
        <v>468</v>
      </c>
      <c r="D288" s="185" t="s">
        <v>3</v>
      </c>
      <c r="E288" s="185">
        <v>6</v>
      </c>
      <c r="F288" s="191"/>
      <c r="G288" s="191"/>
      <c r="H288" s="191"/>
      <c r="I288" s="191"/>
      <c r="J288" s="186">
        <v>9879.5499999999993</v>
      </c>
      <c r="K288" s="168">
        <f t="shared" si="12"/>
        <v>59277.299999999996</v>
      </c>
    </row>
    <row r="289" spans="1:11">
      <c r="A289" s="160">
        <v>143</v>
      </c>
      <c r="B289" s="201"/>
      <c r="C289" s="182" t="s">
        <v>469</v>
      </c>
      <c r="D289" s="185" t="s">
        <v>3</v>
      </c>
      <c r="E289" s="185">
        <v>1</v>
      </c>
      <c r="F289" s="191"/>
      <c r="G289" s="191"/>
      <c r="H289" s="191"/>
      <c r="I289" s="191"/>
      <c r="J289" s="188">
        <v>5172.2349999999997</v>
      </c>
      <c r="K289" s="168">
        <f t="shared" si="12"/>
        <v>5172.2349999999997</v>
      </c>
    </row>
    <row r="290" spans="1:11">
      <c r="A290" s="239">
        <v>144</v>
      </c>
      <c r="B290" s="201"/>
      <c r="C290" s="182" t="s">
        <v>470</v>
      </c>
      <c r="D290" s="185" t="s">
        <v>3</v>
      </c>
      <c r="E290" s="185">
        <v>2</v>
      </c>
      <c r="F290" s="191"/>
      <c r="G290" s="191"/>
      <c r="H290" s="191"/>
      <c r="I290" s="191"/>
      <c r="J290" s="188">
        <v>5288.4650000000001</v>
      </c>
      <c r="K290" s="168">
        <f t="shared" si="12"/>
        <v>10576.93</v>
      </c>
    </row>
    <row r="291" spans="1:11" ht="31.5">
      <c r="A291" s="160">
        <v>145</v>
      </c>
      <c r="B291" s="201"/>
      <c r="C291" s="228" t="s">
        <v>471</v>
      </c>
      <c r="D291" s="185" t="s">
        <v>3</v>
      </c>
      <c r="E291" s="166">
        <v>2</v>
      </c>
      <c r="F291" s="191"/>
      <c r="G291" s="191"/>
      <c r="H291" s="191"/>
      <c r="I291" s="191"/>
      <c r="J291" s="186">
        <v>380780.1</v>
      </c>
      <c r="K291" s="168">
        <f t="shared" si="12"/>
        <v>761560.2</v>
      </c>
    </row>
    <row r="292" spans="1:11" ht="31.5">
      <c r="A292" s="239">
        <v>146</v>
      </c>
      <c r="B292" s="201"/>
      <c r="C292" s="182" t="s">
        <v>472</v>
      </c>
      <c r="D292" s="185" t="s">
        <v>367</v>
      </c>
      <c r="E292" s="166">
        <v>0.5</v>
      </c>
      <c r="F292" s="191"/>
      <c r="G292" s="191"/>
      <c r="H292" s="191"/>
      <c r="I292" s="191"/>
      <c r="J292" s="186">
        <v>659661.30000000005</v>
      </c>
      <c r="K292" s="168">
        <f t="shared" si="12"/>
        <v>329830.65000000002</v>
      </c>
    </row>
    <row r="293" spans="1:11">
      <c r="A293" s="160">
        <v>147</v>
      </c>
      <c r="B293" s="201"/>
      <c r="C293" s="182" t="s">
        <v>473</v>
      </c>
      <c r="D293" s="185" t="s">
        <v>3</v>
      </c>
      <c r="E293" s="166">
        <v>2</v>
      </c>
      <c r="F293" s="191"/>
      <c r="G293" s="191"/>
      <c r="H293" s="191"/>
      <c r="I293" s="191"/>
      <c r="J293" s="246">
        <v>290563.20000000001</v>
      </c>
      <c r="K293" s="168">
        <f t="shared" si="12"/>
        <v>581126.40000000002</v>
      </c>
    </row>
    <row r="294" spans="1:11">
      <c r="A294" s="239">
        <v>148</v>
      </c>
      <c r="B294" s="201"/>
      <c r="C294" s="182" t="s">
        <v>474</v>
      </c>
      <c r="D294" s="185" t="s">
        <v>3</v>
      </c>
      <c r="E294" s="166">
        <v>1</v>
      </c>
      <c r="F294" s="191"/>
      <c r="G294" s="191"/>
      <c r="H294" s="191"/>
      <c r="I294" s="191"/>
      <c r="J294" s="186">
        <v>84110.399999999994</v>
      </c>
      <c r="K294" s="168">
        <f t="shared" si="12"/>
        <v>84110.399999999994</v>
      </c>
    </row>
    <row r="295" spans="1:11">
      <c r="A295" s="160">
        <v>149</v>
      </c>
      <c r="B295" s="201"/>
      <c r="C295" s="182" t="s">
        <v>475</v>
      </c>
      <c r="D295" s="185" t="s">
        <v>367</v>
      </c>
      <c r="E295" s="166">
        <v>1</v>
      </c>
      <c r="F295" s="191"/>
      <c r="G295" s="191"/>
      <c r="H295" s="191"/>
      <c r="I295" s="191"/>
      <c r="J295" s="186">
        <v>484744</v>
      </c>
      <c r="K295" s="168">
        <f t="shared" si="12"/>
        <v>484744</v>
      </c>
    </row>
    <row r="296" spans="1:11">
      <c r="A296" s="239">
        <v>150</v>
      </c>
      <c r="B296" s="201"/>
      <c r="C296" s="182" t="s">
        <v>321</v>
      </c>
      <c r="D296" s="185" t="s">
        <v>3</v>
      </c>
      <c r="E296" s="166">
        <v>20</v>
      </c>
      <c r="F296" s="191"/>
      <c r="G296" s="191"/>
      <c r="H296" s="191"/>
      <c r="I296" s="191"/>
      <c r="J296" s="186">
        <v>2867.4</v>
      </c>
      <c r="K296" s="168">
        <f t="shared" si="12"/>
        <v>57348</v>
      </c>
    </row>
    <row r="297" spans="1:11">
      <c r="A297" s="160">
        <v>151</v>
      </c>
      <c r="B297" s="201"/>
      <c r="C297" s="202" t="s">
        <v>476</v>
      </c>
      <c r="D297" s="185" t="s">
        <v>367</v>
      </c>
      <c r="E297" s="166">
        <v>1</v>
      </c>
      <c r="F297" s="191"/>
      <c r="G297" s="191"/>
      <c r="H297" s="191"/>
      <c r="I297" s="191"/>
      <c r="J297" s="246">
        <v>122720</v>
      </c>
      <c r="K297" s="168">
        <f t="shared" si="12"/>
        <v>122720</v>
      </c>
    </row>
    <row r="298" spans="1:11">
      <c r="A298" s="239">
        <v>152</v>
      </c>
      <c r="B298" s="201"/>
      <c r="C298" s="202" t="s">
        <v>477</v>
      </c>
      <c r="D298" s="185" t="s">
        <v>367</v>
      </c>
      <c r="E298" s="166">
        <v>1</v>
      </c>
      <c r="F298" s="191"/>
      <c r="G298" s="191"/>
      <c r="H298" s="191"/>
      <c r="I298" s="191"/>
      <c r="J298" s="246">
        <v>208624</v>
      </c>
      <c r="K298" s="168">
        <f t="shared" si="12"/>
        <v>208624</v>
      </c>
    </row>
    <row r="299" spans="1:11">
      <c r="A299" s="160">
        <v>153</v>
      </c>
      <c r="B299" s="201"/>
      <c r="C299" s="202" t="s">
        <v>478</v>
      </c>
      <c r="D299" s="185" t="s">
        <v>367</v>
      </c>
      <c r="E299" s="166">
        <v>1</v>
      </c>
      <c r="F299" s="191"/>
      <c r="G299" s="191"/>
      <c r="H299" s="191"/>
      <c r="I299" s="191"/>
      <c r="J299" s="246">
        <v>306800</v>
      </c>
      <c r="K299" s="168">
        <f t="shared" si="12"/>
        <v>306800</v>
      </c>
    </row>
    <row r="300" spans="1:11">
      <c r="A300" s="239">
        <v>154</v>
      </c>
      <c r="B300" s="201"/>
      <c r="C300" s="202" t="s">
        <v>479</v>
      </c>
      <c r="D300" s="185" t="s">
        <v>3</v>
      </c>
      <c r="E300" s="166">
        <v>3</v>
      </c>
      <c r="F300" s="191"/>
      <c r="G300" s="191"/>
      <c r="H300" s="191"/>
      <c r="I300" s="191"/>
      <c r="J300" s="186">
        <v>101898.9</v>
      </c>
      <c r="K300" s="168">
        <f t="shared" si="12"/>
        <v>305696.69999999995</v>
      </c>
    </row>
    <row r="301" spans="1:11">
      <c r="A301" s="160">
        <v>155</v>
      </c>
      <c r="B301" s="201"/>
      <c r="C301" s="202" t="s">
        <v>480</v>
      </c>
      <c r="D301" s="185" t="s">
        <v>34</v>
      </c>
      <c r="E301" s="166">
        <v>3135</v>
      </c>
      <c r="F301" s="191"/>
      <c r="G301" s="191"/>
      <c r="H301" s="191"/>
      <c r="I301" s="191"/>
      <c r="J301" s="186">
        <v>0</v>
      </c>
      <c r="K301" s="168">
        <f t="shared" si="12"/>
        <v>0</v>
      </c>
    </row>
    <row r="302" spans="1:11">
      <c r="A302" s="2"/>
      <c r="B302" s="247" t="s">
        <v>421</v>
      </c>
      <c r="C302" s="248"/>
      <c r="D302" s="248"/>
      <c r="E302" s="248"/>
      <c r="F302" s="248"/>
      <c r="G302" s="248"/>
      <c r="H302" s="248"/>
      <c r="I302" s="248"/>
      <c r="J302" s="249"/>
      <c r="K302" s="250">
        <f>SUM(K284:K301)</f>
        <v>3817724.5049999999</v>
      </c>
    </row>
    <row r="303" spans="1:11">
      <c r="A303" s="251" t="s">
        <v>481</v>
      </c>
      <c r="B303" s="252"/>
      <c r="C303" s="252"/>
      <c r="D303" s="252"/>
      <c r="E303" s="252"/>
      <c r="F303" s="252"/>
      <c r="G303" s="252"/>
      <c r="H303" s="252"/>
      <c r="I303" s="252"/>
      <c r="J303" s="252"/>
      <c r="K303" s="253"/>
    </row>
    <row r="304" spans="1:11">
      <c r="A304" s="160">
        <v>156</v>
      </c>
      <c r="B304" s="254"/>
      <c r="C304" s="255" t="s">
        <v>482</v>
      </c>
      <c r="D304" s="230" t="s">
        <v>2</v>
      </c>
      <c r="E304" s="256">
        <v>4</v>
      </c>
      <c r="F304" s="257"/>
      <c r="G304" s="257"/>
      <c r="H304" s="257"/>
      <c r="I304" s="257"/>
      <c r="J304" s="256">
        <v>179286.22</v>
      </c>
      <c r="K304" s="258">
        <f>J304*E304</f>
        <v>717144.88</v>
      </c>
    </row>
    <row r="305" spans="1:11">
      <c r="A305" s="259" t="s">
        <v>421</v>
      </c>
      <c r="B305" s="259"/>
      <c r="C305" s="259"/>
      <c r="D305" s="259"/>
      <c r="E305" s="259"/>
      <c r="F305" s="259"/>
      <c r="G305" s="259"/>
      <c r="H305" s="259"/>
      <c r="I305" s="259"/>
      <c r="J305" s="259"/>
      <c r="K305" s="260">
        <f>SUM(K304:K304)</f>
        <v>717144.88</v>
      </c>
    </row>
    <row r="306" spans="1:11">
      <c r="A306" s="26"/>
      <c r="B306" s="144"/>
      <c r="C306" s="145"/>
      <c r="D306" s="145"/>
      <c r="E306" s="26"/>
      <c r="F306" s="26"/>
      <c r="G306" s="26"/>
      <c r="H306" s="26"/>
      <c r="I306" s="26"/>
      <c r="J306" s="261"/>
      <c r="K306" s="26"/>
    </row>
    <row r="307" spans="1:11">
      <c r="A307" s="262" t="s">
        <v>483</v>
      </c>
      <c r="B307" s="262"/>
      <c r="C307" s="262"/>
      <c r="D307" s="262"/>
      <c r="E307" s="262"/>
      <c r="F307" s="262"/>
      <c r="G307" s="262"/>
      <c r="H307" s="262"/>
      <c r="I307" s="262"/>
      <c r="J307" s="262"/>
      <c r="K307" s="262"/>
    </row>
    <row r="308" spans="1:11">
      <c r="A308" s="263">
        <v>1</v>
      </c>
      <c r="B308" s="264"/>
      <c r="C308" s="164" t="s">
        <v>484</v>
      </c>
      <c r="D308" s="165" t="s">
        <v>2</v>
      </c>
      <c r="E308" s="265">
        <v>1</v>
      </c>
      <c r="F308" s="266"/>
      <c r="G308" s="266"/>
      <c r="H308" s="266"/>
      <c r="I308" s="266"/>
      <c r="J308" s="267">
        <v>2000</v>
      </c>
      <c r="K308" s="268">
        <f>J308*E308</f>
        <v>2000</v>
      </c>
    </row>
    <row r="309" spans="1:11">
      <c r="A309" s="269">
        <v>2</v>
      </c>
      <c r="B309" s="171" t="s">
        <v>122</v>
      </c>
      <c r="C309" s="164" t="s">
        <v>485</v>
      </c>
      <c r="D309" s="165" t="s">
        <v>2</v>
      </c>
      <c r="E309" s="265">
        <v>6</v>
      </c>
      <c r="F309" s="266"/>
      <c r="G309" s="266"/>
      <c r="H309" s="266"/>
      <c r="I309" s="266"/>
      <c r="J309" s="267">
        <v>681.68</v>
      </c>
      <c r="K309" s="268">
        <f t="shared" ref="K309:K337" si="13">J309*E309</f>
        <v>4090.08</v>
      </c>
    </row>
    <row r="310" spans="1:11">
      <c r="A310" s="269">
        <v>3</v>
      </c>
      <c r="B310" s="171" t="s">
        <v>486</v>
      </c>
      <c r="C310" s="164" t="s">
        <v>487</v>
      </c>
      <c r="D310" s="165" t="s">
        <v>2</v>
      </c>
      <c r="E310" s="265">
        <v>6</v>
      </c>
      <c r="F310" s="266"/>
      <c r="G310" s="266"/>
      <c r="H310" s="266"/>
      <c r="I310" s="266"/>
      <c r="J310" s="267">
        <v>826.82</v>
      </c>
      <c r="K310" s="268">
        <f t="shared" si="13"/>
        <v>4960.92</v>
      </c>
    </row>
    <row r="311" spans="1:11">
      <c r="A311" s="269">
        <v>4</v>
      </c>
      <c r="B311" s="171" t="s">
        <v>123</v>
      </c>
      <c r="C311" s="164"/>
      <c r="D311" s="165" t="s">
        <v>2</v>
      </c>
      <c r="E311" s="265">
        <v>6</v>
      </c>
      <c r="F311" s="266"/>
      <c r="G311" s="266"/>
      <c r="H311" s="266"/>
      <c r="I311" s="266"/>
      <c r="J311" s="267">
        <v>1755.85</v>
      </c>
      <c r="K311" s="268">
        <f t="shared" si="13"/>
        <v>10535.099999999999</v>
      </c>
    </row>
    <row r="312" spans="1:11">
      <c r="A312" s="269">
        <v>5</v>
      </c>
      <c r="B312" s="171" t="s">
        <v>488</v>
      </c>
      <c r="C312" s="164" t="s">
        <v>489</v>
      </c>
      <c r="D312" s="165" t="s">
        <v>490</v>
      </c>
      <c r="E312" s="270">
        <v>3</v>
      </c>
      <c r="F312" s="266"/>
      <c r="G312" s="266"/>
      <c r="H312" s="266"/>
      <c r="I312" s="266"/>
      <c r="J312" s="267">
        <v>749.47</v>
      </c>
      <c r="K312" s="268">
        <f t="shared" si="13"/>
        <v>2248.41</v>
      </c>
    </row>
    <row r="313" spans="1:11">
      <c r="A313" s="269">
        <v>6</v>
      </c>
      <c r="B313" s="201" t="s">
        <v>491</v>
      </c>
      <c r="C313" s="164" t="s">
        <v>492</v>
      </c>
      <c r="D313" s="165" t="s">
        <v>2</v>
      </c>
      <c r="E313" s="270">
        <v>2</v>
      </c>
      <c r="F313" s="266"/>
      <c r="G313" s="266"/>
      <c r="H313" s="266"/>
      <c r="I313" s="266"/>
      <c r="J313" s="267">
        <v>2840</v>
      </c>
      <c r="K313" s="268">
        <f t="shared" si="13"/>
        <v>5680</v>
      </c>
    </row>
    <row r="314" spans="1:11">
      <c r="A314" s="269">
        <v>7</v>
      </c>
      <c r="B314" s="171"/>
      <c r="C314" s="164" t="s">
        <v>493</v>
      </c>
      <c r="D314" s="165" t="s">
        <v>2</v>
      </c>
      <c r="E314" s="270">
        <v>4</v>
      </c>
      <c r="F314" s="266"/>
      <c r="G314" s="266"/>
      <c r="H314" s="266"/>
      <c r="I314" s="266"/>
      <c r="J314" s="267">
        <v>1817.82</v>
      </c>
      <c r="K314" s="268">
        <f t="shared" si="13"/>
        <v>7271.28</v>
      </c>
    </row>
    <row r="315" spans="1:11">
      <c r="A315" s="269">
        <v>8</v>
      </c>
      <c r="B315" s="271"/>
      <c r="C315" s="164" t="s">
        <v>494</v>
      </c>
      <c r="D315" s="165" t="s">
        <v>2</v>
      </c>
      <c r="E315" s="270">
        <v>1</v>
      </c>
      <c r="F315" s="266"/>
      <c r="G315" s="266"/>
      <c r="H315" s="266"/>
      <c r="I315" s="266"/>
      <c r="J315" s="267">
        <v>8437</v>
      </c>
      <c r="K315" s="268">
        <f t="shared" si="13"/>
        <v>8437</v>
      </c>
    </row>
    <row r="316" spans="1:11">
      <c r="A316" s="269">
        <v>9</v>
      </c>
      <c r="B316" s="201" t="s">
        <v>495</v>
      </c>
      <c r="C316" s="164" t="s">
        <v>496</v>
      </c>
      <c r="D316" s="165" t="s">
        <v>2</v>
      </c>
      <c r="E316" s="270">
        <v>1</v>
      </c>
      <c r="F316" s="266"/>
      <c r="G316" s="266"/>
      <c r="H316" s="266"/>
      <c r="I316" s="266"/>
      <c r="J316" s="267">
        <v>18000</v>
      </c>
      <c r="K316" s="268">
        <f t="shared" si="13"/>
        <v>18000</v>
      </c>
    </row>
    <row r="317" spans="1:11">
      <c r="A317" s="269">
        <v>10</v>
      </c>
      <c r="B317" s="271"/>
      <c r="C317" s="164" t="s">
        <v>95</v>
      </c>
      <c r="D317" s="165" t="s">
        <v>2</v>
      </c>
      <c r="E317" s="270">
        <v>2</v>
      </c>
      <c r="F317" s="266"/>
      <c r="G317" s="266"/>
      <c r="H317" s="266"/>
      <c r="I317" s="266"/>
      <c r="J317" s="267">
        <v>3375</v>
      </c>
      <c r="K317" s="268">
        <f t="shared" si="13"/>
        <v>6750</v>
      </c>
    </row>
    <row r="318" spans="1:11">
      <c r="A318" s="269">
        <v>11</v>
      </c>
      <c r="B318" s="171" t="s">
        <v>497</v>
      </c>
      <c r="C318" s="164" t="s">
        <v>498</v>
      </c>
      <c r="D318" s="165" t="s">
        <v>490</v>
      </c>
      <c r="E318" s="270">
        <v>5</v>
      </c>
      <c r="F318" s="266"/>
      <c r="G318" s="266"/>
      <c r="H318" s="266"/>
      <c r="I318" s="266"/>
      <c r="J318" s="267">
        <v>749.47</v>
      </c>
      <c r="K318" s="268">
        <f t="shared" si="13"/>
        <v>3747.3500000000004</v>
      </c>
    </row>
    <row r="319" spans="1:11">
      <c r="A319" s="269">
        <v>12</v>
      </c>
      <c r="B319" s="272"/>
      <c r="C319" s="173" t="s">
        <v>499</v>
      </c>
      <c r="D319" s="165" t="s">
        <v>2</v>
      </c>
      <c r="E319" s="270">
        <v>1</v>
      </c>
      <c r="F319" s="266"/>
      <c r="G319" s="266"/>
      <c r="H319" s="266"/>
      <c r="I319" s="266"/>
      <c r="J319" s="267">
        <v>14142.1</v>
      </c>
      <c r="K319" s="268">
        <f t="shared" si="13"/>
        <v>14142.1</v>
      </c>
    </row>
    <row r="320" spans="1:11">
      <c r="A320" s="269">
        <v>13</v>
      </c>
      <c r="B320" s="192" t="s">
        <v>214</v>
      </c>
      <c r="C320" s="173" t="s">
        <v>500</v>
      </c>
      <c r="D320" s="165" t="s">
        <v>2</v>
      </c>
      <c r="E320" s="270">
        <v>1</v>
      </c>
      <c r="F320" s="266"/>
      <c r="G320" s="266"/>
      <c r="H320" s="266"/>
      <c r="I320" s="266"/>
      <c r="J320" s="267">
        <v>3359.6</v>
      </c>
      <c r="K320" s="268">
        <f t="shared" si="13"/>
        <v>3359.6</v>
      </c>
    </row>
    <row r="321" spans="1:11">
      <c r="A321" s="269">
        <v>14</v>
      </c>
      <c r="B321" s="192" t="s">
        <v>501</v>
      </c>
      <c r="C321" s="173" t="s">
        <v>502</v>
      </c>
      <c r="D321" s="165" t="s">
        <v>2</v>
      </c>
      <c r="E321" s="270">
        <v>2</v>
      </c>
      <c r="F321" s="266"/>
      <c r="G321" s="266"/>
      <c r="H321" s="266"/>
      <c r="I321" s="266"/>
      <c r="J321" s="267">
        <v>12689.3</v>
      </c>
      <c r="K321" s="268">
        <f t="shared" si="13"/>
        <v>25378.6</v>
      </c>
    </row>
    <row r="322" spans="1:11">
      <c r="A322" s="269">
        <v>15</v>
      </c>
      <c r="B322" s="272"/>
      <c r="C322" s="173" t="s">
        <v>503</v>
      </c>
      <c r="D322" s="165" t="s">
        <v>2</v>
      </c>
      <c r="E322" s="270">
        <v>3</v>
      </c>
      <c r="F322" s="266"/>
      <c r="G322" s="266"/>
      <c r="H322" s="266"/>
      <c r="I322" s="266"/>
      <c r="J322" s="267">
        <v>9624.7999999999993</v>
      </c>
      <c r="K322" s="268">
        <f t="shared" si="13"/>
        <v>28874.399999999998</v>
      </c>
    </row>
    <row r="323" spans="1:11">
      <c r="A323" s="269">
        <v>16</v>
      </c>
      <c r="B323" s="192" t="s">
        <v>504</v>
      </c>
      <c r="C323" s="173" t="s">
        <v>505</v>
      </c>
      <c r="D323" s="165" t="s">
        <v>2</v>
      </c>
      <c r="E323" s="270">
        <v>1</v>
      </c>
      <c r="F323" s="266"/>
      <c r="G323" s="266"/>
      <c r="H323" s="266"/>
      <c r="I323" s="266"/>
      <c r="J323" s="267">
        <v>7888.25</v>
      </c>
      <c r="K323" s="268">
        <f t="shared" si="13"/>
        <v>7888.25</v>
      </c>
    </row>
    <row r="324" spans="1:11">
      <c r="A324" s="269">
        <v>17</v>
      </c>
      <c r="B324" s="192" t="s">
        <v>226</v>
      </c>
      <c r="C324" s="173" t="s">
        <v>506</v>
      </c>
      <c r="D324" s="165" t="s">
        <v>2</v>
      </c>
      <c r="E324" s="270">
        <v>2</v>
      </c>
      <c r="F324" s="266"/>
      <c r="G324" s="266"/>
      <c r="H324" s="266"/>
      <c r="I324" s="266"/>
      <c r="J324" s="267">
        <v>5606.9</v>
      </c>
      <c r="K324" s="268">
        <f t="shared" si="13"/>
        <v>11213.8</v>
      </c>
    </row>
    <row r="325" spans="1:11">
      <c r="A325" s="269">
        <v>18</v>
      </c>
      <c r="B325" s="201" t="s">
        <v>507</v>
      </c>
      <c r="C325" s="164" t="s">
        <v>508</v>
      </c>
      <c r="D325" s="165" t="s">
        <v>2</v>
      </c>
      <c r="E325" s="270">
        <v>10</v>
      </c>
      <c r="F325" s="266"/>
      <c r="G325" s="266"/>
      <c r="H325" s="266"/>
      <c r="I325" s="266"/>
      <c r="J325" s="267">
        <v>2814.8</v>
      </c>
      <c r="K325" s="268">
        <f t="shared" si="13"/>
        <v>28148</v>
      </c>
    </row>
    <row r="326" spans="1:11">
      <c r="A326" s="269">
        <v>19</v>
      </c>
      <c r="B326" s="271"/>
      <c r="C326" s="164" t="s">
        <v>509</v>
      </c>
      <c r="D326" s="165" t="s">
        <v>2</v>
      </c>
      <c r="E326" s="270">
        <v>1</v>
      </c>
      <c r="F326" s="266"/>
      <c r="G326" s="266"/>
      <c r="H326" s="266"/>
      <c r="I326" s="266"/>
      <c r="J326" s="267">
        <v>11741</v>
      </c>
      <c r="K326" s="188">
        <f t="shared" si="13"/>
        <v>11741</v>
      </c>
    </row>
    <row r="327" spans="1:11">
      <c r="A327" s="269">
        <v>20</v>
      </c>
      <c r="B327" s="271"/>
      <c r="C327" s="202" t="s">
        <v>510</v>
      </c>
      <c r="D327" s="185" t="s">
        <v>2</v>
      </c>
      <c r="E327" s="185">
        <v>1</v>
      </c>
      <c r="F327" s="266"/>
      <c r="G327" s="266"/>
      <c r="H327" s="266"/>
      <c r="I327" s="266"/>
      <c r="J327" s="206">
        <v>353850.59783999994</v>
      </c>
      <c r="K327" s="188">
        <f t="shared" si="13"/>
        <v>353850.59783999994</v>
      </c>
    </row>
    <row r="328" spans="1:11">
      <c r="A328" s="269">
        <v>21</v>
      </c>
      <c r="B328" s="271"/>
      <c r="C328" s="202" t="s">
        <v>511</v>
      </c>
      <c r="D328" s="185" t="s">
        <v>2</v>
      </c>
      <c r="E328" s="185">
        <v>1</v>
      </c>
      <c r="F328" s="266"/>
      <c r="G328" s="266"/>
      <c r="H328" s="266"/>
      <c r="I328" s="266"/>
      <c r="J328" s="209">
        <v>49263.15</v>
      </c>
      <c r="K328" s="188">
        <f t="shared" si="13"/>
        <v>49263.15</v>
      </c>
    </row>
    <row r="329" spans="1:11">
      <c r="A329" s="269">
        <v>22</v>
      </c>
      <c r="B329" s="271"/>
      <c r="C329" s="273" t="s">
        <v>512</v>
      </c>
      <c r="D329" s="187" t="s">
        <v>10</v>
      </c>
      <c r="E329" s="185">
        <v>1</v>
      </c>
      <c r="F329" s="266"/>
      <c r="G329" s="266"/>
      <c r="H329" s="266"/>
      <c r="I329" s="266"/>
      <c r="J329" s="209">
        <v>35385.06</v>
      </c>
      <c r="K329" s="188">
        <f t="shared" si="13"/>
        <v>35385.06</v>
      </c>
    </row>
    <row r="330" spans="1:11">
      <c r="A330" s="269">
        <v>23</v>
      </c>
      <c r="B330" s="271"/>
      <c r="C330" s="273" t="s">
        <v>513</v>
      </c>
      <c r="D330" s="187" t="s">
        <v>10</v>
      </c>
      <c r="E330" s="185">
        <v>4</v>
      </c>
      <c r="F330" s="266"/>
      <c r="G330" s="266"/>
      <c r="H330" s="266"/>
      <c r="I330" s="266"/>
      <c r="J330" s="209">
        <v>3570.97</v>
      </c>
      <c r="K330" s="188">
        <f t="shared" si="13"/>
        <v>14283.88</v>
      </c>
    </row>
    <row r="331" spans="1:11">
      <c r="A331" s="269">
        <v>24</v>
      </c>
      <c r="B331" s="271"/>
      <c r="C331" s="195" t="s">
        <v>514</v>
      </c>
      <c r="D331" s="185" t="s">
        <v>2</v>
      </c>
      <c r="E331" s="274">
        <v>1</v>
      </c>
      <c r="F331" s="266"/>
      <c r="G331" s="266"/>
      <c r="H331" s="266"/>
      <c r="I331" s="266"/>
      <c r="J331" s="185">
        <v>696031.26</v>
      </c>
      <c r="K331" s="188">
        <f t="shared" si="13"/>
        <v>696031.26</v>
      </c>
    </row>
    <row r="332" spans="1:11" ht="31.5">
      <c r="A332" s="269">
        <v>25</v>
      </c>
      <c r="B332" s="271"/>
      <c r="C332" s="195" t="s">
        <v>515</v>
      </c>
      <c r="D332" s="185" t="s">
        <v>10</v>
      </c>
      <c r="E332" s="185">
        <v>1</v>
      </c>
      <c r="F332" s="266"/>
      <c r="G332" s="266"/>
      <c r="H332" s="266"/>
      <c r="I332" s="266"/>
      <c r="J332" s="185">
        <v>174498.4</v>
      </c>
      <c r="K332" s="188">
        <f t="shared" si="13"/>
        <v>174498.4</v>
      </c>
    </row>
    <row r="333" spans="1:11">
      <c r="A333" s="269">
        <v>26</v>
      </c>
      <c r="B333" s="271"/>
      <c r="C333" s="195" t="s">
        <v>516</v>
      </c>
      <c r="D333" s="185" t="s">
        <v>9</v>
      </c>
      <c r="E333" s="185">
        <v>1</v>
      </c>
      <c r="F333" s="266"/>
      <c r="G333" s="266"/>
      <c r="H333" s="266"/>
      <c r="I333" s="266"/>
      <c r="J333" s="185">
        <v>176509.12</v>
      </c>
      <c r="K333" s="188">
        <f t="shared" si="13"/>
        <v>176509.12</v>
      </c>
    </row>
    <row r="334" spans="1:11">
      <c r="A334" s="269">
        <v>27</v>
      </c>
      <c r="B334" s="271"/>
      <c r="C334" s="195" t="s">
        <v>517</v>
      </c>
      <c r="D334" s="185" t="s">
        <v>9</v>
      </c>
      <c r="E334" s="185">
        <v>1</v>
      </c>
      <c r="F334" s="266"/>
      <c r="G334" s="266"/>
      <c r="H334" s="266"/>
      <c r="I334" s="266"/>
      <c r="J334" s="185">
        <v>55806.92</v>
      </c>
      <c r="K334" s="188">
        <f t="shared" si="13"/>
        <v>55806.92</v>
      </c>
    </row>
    <row r="335" spans="1:11">
      <c r="A335" s="269">
        <v>28</v>
      </c>
      <c r="B335" s="271"/>
      <c r="C335" s="195" t="s">
        <v>518</v>
      </c>
      <c r="D335" s="185" t="s">
        <v>10</v>
      </c>
      <c r="E335" s="185">
        <v>3</v>
      </c>
      <c r="F335" s="266"/>
      <c r="G335" s="266"/>
      <c r="H335" s="266"/>
      <c r="I335" s="266"/>
      <c r="J335" s="185">
        <v>11633.62</v>
      </c>
      <c r="K335" s="188">
        <f t="shared" si="13"/>
        <v>34900.86</v>
      </c>
    </row>
    <row r="336" spans="1:11">
      <c r="A336" s="269">
        <v>29</v>
      </c>
      <c r="B336" s="271"/>
      <c r="C336" s="195" t="s">
        <v>519</v>
      </c>
      <c r="D336" s="185" t="s">
        <v>10</v>
      </c>
      <c r="E336" s="185">
        <v>6</v>
      </c>
      <c r="F336" s="266"/>
      <c r="G336" s="266"/>
      <c r="H336" s="266"/>
      <c r="I336" s="266"/>
      <c r="J336" s="185">
        <v>4652.74</v>
      </c>
      <c r="K336" s="188">
        <f t="shared" si="13"/>
        <v>27916.44</v>
      </c>
    </row>
    <row r="337" spans="1:11">
      <c r="A337" s="269">
        <v>30</v>
      </c>
      <c r="B337" s="271"/>
      <c r="C337" s="195" t="s">
        <v>520</v>
      </c>
      <c r="D337" s="185" t="s">
        <v>10</v>
      </c>
      <c r="E337" s="185">
        <v>4</v>
      </c>
      <c r="F337" s="266"/>
      <c r="G337" s="266"/>
      <c r="H337" s="266"/>
      <c r="I337" s="266"/>
      <c r="J337" s="185">
        <v>25016</v>
      </c>
      <c r="K337" s="188">
        <f t="shared" si="13"/>
        <v>100064</v>
      </c>
    </row>
    <row r="338" spans="1:11">
      <c r="A338" s="275"/>
      <c r="B338" s="276" t="s">
        <v>421</v>
      </c>
      <c r="C338" s="276"/>
      <c r="D338" s="276"/>
      <c r="E338" s="276"/>
      <c r="F338" s="276"/>
      <c r="G338" s="276"/>
      <c r="H338" s="276"/>
      <c r="I338" s="276"/>
      <c r="J338" s="276"/>
      <c r="K338" s="277">
        <f>SUM(K308:K337)</f>
        <v>1922975.5778400002</v>
      </c>
    </row>
    <row r="339" spans="1:11">
      <c r="A339" s="269">
        <v>24</v>
      </c>
      <c r="B339" s="278" t="s">
        <v>521</v>
      </c>
      <c r="C339" s="279" t="s">
        <v>522</v>
      </c>
      <c r="D339" s="280" t="s">
        <v>2</v>
      </c>
      <c r="E339" s="281"/>
      <c r="F339" s="282"/>
      <c r="G339" s="282"/>
      <c r="H339" s="282"/>
      <c r="I339" s="283">
        <v>1</v>
      </c>
      <c r="J339" s="284">
        <v>10000</v>
      </c>
      <c r="K339" s="268">
        <f>J339*I339</f>
        <v>10000</v>
      </c>
    </row>
    <row r="340" spans="1:11">
      <c r="A340" s="269">
        <v>25</v>
      </c>
      <c r="B340" s="285" t="s">
        <v>523</v>
      </c>
      <c r="C340" s="164" t="s">
        <v>524</v>
      </c>
      <c r="D340" s="286" t="s">
        <v>2</v>
      </c>
      <c r="E340" s="281"/>
      <c r="F340" s="282"/>
      <c r="G340" s="282"/>
      <c r="H340" s="282"/>
      <c r="I340" s="165">
        <v>1</v>
      </c>
      <c r="J340" s="267">
        <v>3000</v>
      </c>
      <c r="K340" s="268">
        <f t="shared" ref="K340:K349" si="14">J340*I340</f>
        <v>3000</v>
      </c>
    </row>
    <row r="341" spans="1:11">
      <c r="A341" s="269">
        <v>26</v>
      </c>
      <c r="B341" s="271"/>
      <c r="C341" s="164" t="s">
        <v>525</v>
      </c>
      <c r="D341" s="286" t="s">
        <v>10</v>
      </c>
      <c r="E341" s="281"/>
      <c r="F341" s="282"/>
      <c r="G341" s="282"/>
      <c r="H341" s="282"/>
      <c r="I341" s="165">
        <v>1</v>
      </c>
      <c r="J341" s="267">
        <v>500</v>
      </c>
      <c r="K341" s="268">
        <f t="shared" si="14"/>
        <v>500</v>
      </c>
    </row>
    <row r="342" spans="1:11">
      <c r="A342" s="269">
        <v>27</v>
      </c>
      <c r="B342" s="171" t="s">
        <v>526</v>
      </c>
      <c r="C342" s="164" t="s">
        <v>527</v>
      </c>
      <c r="D342" s="286" t="s">
        <v>2</v>
      </c>
      <c r="E342" s="281"/>
      <c r="F342" s="282"/>
      <c r="G342" s="282"/>
      <c r="H342" s="282"/>
      <c r="I342" s="165">
        <v>1</v>
      </c>
      <c r="J342" s="267">
        <v>5000</v>
      </c>
      <c r="K342" s="268">
        <f t="shared" si="14"/>
        <v>5000</v>
      </c>
    </row>
    <row r="343" spans="1:11">
      <c r="A343" s="269">
        <v>28</v>
      </c>
      <c r="B343" s="278" t="s">
        <v>528</v>
      </c>
      <c r="C343" s="164" t="s">
        <v>529</v>
      </c>
      <c r="D343" s="286" t="s">
        <v>2</v>
      </c>
      <c r="E343" s="281"/>
      <c r="F343" s="282"/>
      <c r="G343" s="282"/>
      <c r="H343" s="282"/>
      <c r="I343" s="165">
        <v>1</v>
      </c>
      <c r="J343" s="267">
        <v>50</v>
      </c>
      <c r="K343" s="268">
        <f t="shared" si="14"/>
        <v>50</v>
      </c>
    </row>
    <row r="344" spans="1:11">
      <c r="A344" s="269">
        <v>29</v>
      </c>
      <c r="B344" s="278" t="s">
        <v>530</v>
      </c>
      <c r="C344" s="164" t="s">
        <v>531</v>
      </c>
      <c r="D344" s="286" t="s">
        <v>2</v>
      </c>
      <c r="E344" s="281"/>
      <c r="F344" s="282"/>
      <c r="G344" s="282"/>
      <c r="H344" s="282"/>
      <c r="I344" s="165">
        <v>1</v>
      </c>
      <c r="J344" s="267">
        <v>5</v>
      </c>
      <c r="K344" s="268">
        <f t="shared" si="14"/>
        <v>5</v>
      </c>
    </row>
    <row r="345" spans="1:11">
      <c r="A345" s="269">
        <v>30</v>
      </c>
      <c r="B345" s="271"/>
      <c r="C345" s="164" t="s">
        <v>532</v>
      </c>
      <c r="D345" s="165" t="s">
        <v>2</v>
      </c>
      <c r="E345" s="281"/>
      <c r="F345" s="282"/>
      <c r="G345" s="282"/>
      <c r="H345" s="282"/>
      <c r="I345" s="165">
        <v>1</v>
      </c>
      <c r="J345" s="267">
        <v>150</v>
      </c>
      <c r="K345" s="268">
        <f t="shared" si="14"/>
        <v>150</v>
      </c>
    </row>
    <row r="346" spans="1:11">
      <c r="A346" s="269">
        <v>31</v>
      </c>
      <c r="B346" s="271"/>
      <c r="C346" s="164" t="s">
        <v>533</v>
      </c>
      <c r="D346" s="165" t="s">
        <v>2</v>
      </c>
      <c r="E346" s="281"/>
      <c r="F346" s="282"/>
      <c r="G346" s="282"/>
      <c r="H346" s="282"/>
      <c r="I346" s="165">
        <v>1</v>
      </c>
      <c r="J346" s="267">
        <v>100</v>
      </c>
      <c r="K346" s="268">
        <f t="shared" si="14"/>
        <v>100</v>
      </c>
    </row>
    <row r="347" spans="1:11">
      <c r="A347" s="269">
        <v>32</v>
      </c>
      <c r="B347" s="171" t="s">
        <v>488</v>
      </c>
      <c r="C347" s="164" t="s">
        <v>489</v>
      </c>
      <c r="D347" s="165" t="s">
        <v>490</v>
      </c>
      <c r="E347" s="281"/>
      <c r="F347" s="282"/>
      <c r="G347" s="282"/>
      <c r="H347" s="282"/>
      <c r="I347" s="270">
        <v>3</v>
      </c>
      <c r="J347" s="267">
        <v>749.47</v>
      </c>
      <c r="K347" s="268">
        <f t="shared" si="14"/>
        <v>2248.41</v>
      </c>
    </row>
    <row r="348" spans="1:11">
      <c r="A348" s="269">
        <v>33</v>
      </c>
      <c r="B348" s="171"/>
      <c r="C348" s="164" t="s">
        <v>493</v>
      </c>
      <c r="D348" s="165" t="s">
        <v>2</v>
      </c>
      <c r="E348" s="282"/>
      <c r="F348" s="282"/>
      <c r="G348" s="282"/>
      <c r="H348" s="282"/>
      <c r="I348" s="270">
        <v>2</v>
      </c>
      <c r="J348" s="267">
        <v>1817.82</v>
      </c>
      <c r="K348" s="268">
        <f t="shared" si="14"/>
        <v>3635.64</v>
      </c>
    </row>
    <row r="349" spans="1:11">
      <c r="A349" s="269">
        <v>34</v>
      </c>
      <c r="B349" s="171" t="s">
        <v>497</v>
      </c>
      <c r="C349" s="164" t="s">
        <v>498</v>
      </c>
      <c r="D349" s="165" t="s">
        <v>490</v>
      </c>
      <c r="E349" s="282"/>
      <c r="F349" s="282"/>
      <c r="G349" s="282"/>
      <c r="H349" s="282"/>
      <c r="I349" s="270">
        <v>1</v>
      </c>
      <c r="J349" s="267">
        <v>749.47</v>
      </c>
      <c r="K349" s="268">
        <f t="shared" si="14"/>
        <v>749.47</v>
      </c>
    </row>
    <row r="350" spans="1:11">
      <c r="A350" s="287" t="s">
        <v>421</v>
      </c>
      <c r="B350" s="219"/>
      <c r="C350" s="219"/>
      <c r="D350" s="219"/>
      <c r="E350" s="219"/>
      <c r="F350" s="219"/>
      <c r="G350" s="219"/>
      <c r="H350" s="219"/>
      <c r="I350" s="219"/>
      <c r="J350" s="220"/>
      <c r="K350" s="236">
        <f>SUM(K339:K349)</f>
        <v>25438.52</v>
      </c>
    </row>
    <row r="351" spans="1:11">
      <c r="A351" s="26"/>
      <c r="B351" s="144"/>
      <c r="C351" s="145"/>
      <c r="D351" s="145"/>
      <c r="E351" s="26"/>
      <c r="F351" s="26"/>
      <c r="G351" s="26"/>
      <c r="H351" s="26"/>
      <c r="I351" s="26"/>
      <c r="J351" s="26"/>
      <c r="K351" s="26"/>
    </row>
    <row r="352" spans="1:11">
      <c r="A352" s="26"/>
      <c r="B352" s="144"/>
      <c r="C352" s="145"/>
      <c r="D352" s="145"/>
      <c r="E352" s="26"/>
      <c r="F352" s="26"/>
      <c r="G352" s="26"/>
      <c r="H352" s="26"/>
      <c r="I352" s="26"/>
      <c r="J352" s="26"/>
      <c r="K352" s="26"/>
    </row>
    <row r="353" spans="1:11">
      <c r="A353" s="26"/>
      <c r="B353" s="144"/>
      <c r="C353" s="145" t="s">
        <v>534</v>
      </c>
      <c r="D353" s="145"/>
      <c r="E353" s="26"/>
      <c r="F353" s="26" t="s">
        <v>535</v>
      </c>
      <c r="G353" s="26"/>
      <c r="H353" s="26"/>
      <c r="I353" s="26"/>
      <c r="J353" s="26" t="s">
        <v>536</v>
      </c>
      <c r="K353" s="26"/>
    </row>
    <row r="354" spans="1:11">
      <c r="A354" s="26"/>
      <c r="B354" s="144"/>
      <c r="C354" s="145"/>
      <c r="D354" s="145"/>
      <c r="E354" s="26"/>
      <c r="F354" s="26"/>
      <c r="G354" s="26"/>
      <c r="H354" s="26"/>
      <c r="I354" s="26"/>
      <c r="J354" s="26"/>
      <c r="K354" s="26"/>
    </row>
    <row r="356" spans="1:11">
      <c r="A356" s="288" t="s">
        <v>253</v>
      </c>
      <c r="B356" s="288"/>
      <c r="C356" s="288"/>
      <c r="D356" s="288"/>
      <c r="E356" s="288"/>
      <c r="F356" s="288"/>
      <c r="G356" s="288"/>
      <c r="H356" s="288"/>
      <c r="I356" s="288"/>
      <c r="J356" s="288"/>
      <c r="K356" s="288"/>
    </row>
    <row r="357" spans="1:11">
      <c r="A357" s="288"/>
      <c r="B357" s="288"/>
      <c r="C357" s="288"/>
      <c r="D357" s="288"/>
      <c r="E357" s="288"/>
      <c r="F357" s="288"/>
      <c r="G357" s="288"/>
      <c r="H357" s="288"/>
      <c r="I357" s="288"/>
      <c r="J357" s="288"/>
      <c r="K357" s="288"/>
    </row>
    <row r="358" spans="1:11">
      <c r="A358" s="289"/>
      <c r="B358" s="290"/>
      <c r="C358" s="290"/>
      <c r="D358" s="290"/>
      <c r="E358" s="290"/>
      <c r="F358" s="290"/>
      <c r="G358" s="290"/>
      <c r="H358" s="290"/>
      <c r="I358" s="290"/>
      <c r="J358" s="290"/>
      <c r="K358" s="290"/>
    </row>
    <row r="359" spans="1:11">
      <c r="A359" s="291" t="s">
        <v>537</v>
      </c>
      <c r="B359" s="291"/>
      <c r="C359" s="291"/>
      <c r="D359" s="292"/>
      <c r="E359" s="290"/>
      <c r="F359" s="290"/>
      <c r="G359" s="290"/>
      <c r="H359" s="290" t="s">
        <v>255</v>
      </c>
      <c r="I359" s="290"/>
      <c r="J359" s="290"/>
      <c r="K359" s="290" t="s">
        <v>538</v>
      </c>
    </row>
    <row r="360" spans="1:11">
      <c r="A360" s="293" t="s">
        <v>539</v>
      </c>
      <c r="B360" s="293"/>
      <c r="C360" s="293"/>
      <c r="D360" s="294"/>
      <c r="E360" s="290"/>
      <c r="F360" s="290"/>
      <c r="G360" s="290"/>
      <c r="H360" s="295" t="s">
        <v>540</v>
      </c>
      <c r="I360" s="295"/>
      <c r="J360" s="295"/>
      <c r="K360" s="295"/>
    </row>
    <row r="361" spans="1:11">
      <c r="A361" s="296" t="s">
        <v>261</v>
      </c>
      <c r="B361" s="297" t="s">
        <v>262</v>
      </c>
      <c r="C361" s="297" t="s">
        <v>263</v>
      </c>
      <c r="D361" s="298" t="s">
        <v>8</v>
      </c>
      <c r="E361" s="297" t="s">
        <v>264</v>
      </c>
      <c r="F361" s="297"/>
      <c r="G361" s="297"/>
      <c r="H361" s="297"/>
      <c r="I361" s="297"/>
      <c r="J361" s="290"/>
      <c r="K361" s="297" t="s">
        <v>541</v>
      </c>
    </row>
    <row r="362" spans="1:11">
      <c r="A362" s="297"/>
      <c r="B362" s="297"/>
      <c r="C362" s="297"/>
      <c r="D362" s="299"/>
      <c r="E362" s="300" t="s">
        <v>18</v>
      </c>
      <c r="F362" s="300" t="s">
        <v>266</v>
      </c>
      <c r="G362" s="300" t="s">
        <v>11</v>
      </c>
      <c r="H362" s="300" t="s">
        <v>267</v>
      </c>
      <c r="I362" s="300" t="s">
        <v>268</v>
      </c>
      <c r="J362" s="300" t="s">
        <v>542</v>
      </c>
      <c r="K362" s="297"/>
    </row>
    <row r="363" spans="1:11" ht="18.75">
      <c r="A363" s="300">
        <v>1</v>
      </c>
      <c r="B363" s="301" t="s">
        <v>168</v>
      </c>
      <c r="C363" s="302" t="s">
        <v>543</v>
      </c>
      <c r="D363" s="303" t="s">
        <v>10</v>
      </c>
      <c r="E363" s="304">
        <v>4</v>
      </c>
      <c r="F363" s="300"/>
      <c r="G363" s="300"/>
      <c r="H363" s="300"/>
      <c r="I363" s="300"/>
      <c r="J363" s="305">
        <v>3230</v>
      </c>
      <c r="K363" s="306">
        <f>J363*E363</f>
        <v>12920</v>
      </c>
    </row>
    <row r="364" spans="1:11" ht="18.75">
      <c r="A364" s="300">
        <v>2</v>
      </c>
      <c r="B364" s="301" t="s">
        <v>544</v>
      </c>
      <c r="C364" s="302" t="s">
        <v>545</v>
      </c>
      <c r="D364" s="303" t="s">
        <v>10</v>
      </c>
      <c r="E364" s="304">
        <v>3</v>
      </c>
      <c r="F364" s="300"/>
      <c r="G364" s="300"/>
      <c r="H364" s="300"/>
      <c r="I364" s="300"/>
      <c r="J364" s="305">
        <v>910</v>
      </c>
      <c r="K364" s="306">
        <f>J364*E364</f>
        <v>2730</v>
      </c>
    </row>
    <row r="365" spans="1:11" ht="18.75">
      <c r="A365" s="300">
        <v>3</v>
      </c>
      <c r="B365" s="301" t="s">
        <v>546</v>
      </c>
      <c r="C365" s="302" t="s">
        <v>547</v>
      </c>
      <c r="D365" s="303" t="s">
        <v>2</v>
      </c>
      <c r="E365" s="304">
        <v>58</v>
      </c>
      <c r="F365" s="300"/>
      <c r="G365" s="300"/>
      <c r="H365" s="300"/>
      <c r="I365" s="300"/>
      <c r="J365" s="305">
        <v>410</v>
      </c>
      <c r="K365" s="306">
        <f>J365*E365</f>
        <v>23780</v>
      </c>
    </row>
    <row r="366" spans="1:11" ht="18.75">
      <c r="A366" s="300">
        <v>4</v>
      </c>
      <c r="B366" s="301" t="s">
        <v>170</v>
      </c>
      <c r="C366" s="302" t="s">
        <v>548</v>
      </c>
      <c r="D366" s="303" t="s">
        <v>2</v>
      </c>
      <c r="E366" s="304">
        <v>16</v>
      </c>
      <c r="F366" s="300"/>
      <c r="G366" s="300"/>
      <c r="H366" s="300"/>
      <c r="I366" s="300"/>
      <c r="J366" s="307">
        <v>510</v>
      </c>
      <c r="K366" s="306">
        <f>J366*E366</f>
        <v>8160</v>
      </c>
    </row>
    <row r="367" spans="1:11" ht="18.75">
      <c r="A367" s="300">
        <v>5</v>
      </c>
      <c r="B367" s="301" t="s">
        <v>171</v>
      </c>
      <c r="C367" s="302" t="s">
        <v>549</v>
      </c>
      <c r="D367" s="303" t="s">
        <v>2</v>
      </c>
      <c r="E367" s="304">
        <v>2</v>
      </c>
      <c r="F367" s="300"/>
      <c r="G367" s="300"/>
      <c r="H367" s="300"/>
      <c r="I367" s="300"/>
      <c r="J367" s="305">
        <v>185</v>
      </c>
      <c r="K367" s="308">
        <f>J367*E367</f>
        <v>370</v>
      </c>
    </row>
    <row r="368" spans="1:11">
      <c r="A368" s="300">
        <v>6</v>
      </c>
      <c r="B368" s="301" t="s">
        <v>550</v>
      </c>
      <c r="C368" s="302" t="s">
        <v>551</v>
      </c>
      <c r="D368" s="309" t="s">
        <v>552</v>
      </c>
      <c r="E368" s="310">
        <v>379</v>
      </c>
      <c r="F368" s="300"/>
      <c r="G368" s="300"/>
      <c r="H368" s="300"/>
      <c r="I368" s="300"/>
      <c r="J368" s="307">
        <v>66.2</v>
      </c>
      <c r="K368" s="306">
        <f t="shared" ref="K368:K381" si="15">J368*E368</f>
        <v>25089.8</v>
      </c>
    </row>
    <row r="369" spans="1:11" ht="18.75">
      <c r="A369" s="300">
        <v>7</v>
      </c>
      <c r="B369" s="311" t="s">
        <v>166</v>
      </c>
      <c r="C369" s="312" t="s">
        <v>553</v>
      </c>
      <c r="D369" s="309" t="s">
        <v>9</v>
      </c>
      <c r="E369" s="310">
        <v>32</v>
      </c>
      <c r="F369" s="300"/>
      <c r="G369" s="300"/>
      <c r="H369" s="300"/>
      <c r="I369" s="300"/>
      <c r="J369" s="307">
        <v>120</v>
      </c>
      <c r="K369" s="308">
        <f t="shared" si="15"/>
        <v>3840</v>
      </c>
    </row>
    <row r="370" spans="1:11">
      <c r="A370" s="300">
        <v>8</v>
      </c>
      <c r="B370" s="313" t="s">
        <v>164</v>
      </c>
      <c r="C370" s="302" t="s">
        <v>554</v>
      </c>
      <c r="D370" s="309" t="s">
        <v>555</v>
      </c>
      <c r="E370" s="310">
        <f>1.4-0.53-0.03</f>
        <v>0.83999999999999986</v>
      </c>
      <c r="F370" s="300"/>
      <c r="G370" s="300"/>
      <c r="H370" s="300"/>
      <c r="I370" s="300"/>
      <c r="J370" s="307">
        <v>18000</v>
      </c>
      <c r="K370" s="308">
        <f t="shared" si="15"/>
        <v>15119.999999999998</v>
      </c>
    </row>
    <row r="371" spans="1:11" ht="18.75">
      <c r="A371" s="300">
        <v>9</v>
      </c>
      <c r="B371" s="314" t="s">
        <v>167</v>
      </c>
      <c r="C371" s="312" t="s">
        <v>556</v>
      </c>
      <c r="D371" s="309" t="s">
        <v>3</v>
      </c>
      <c r="E371" s="315">
        <v>6</v>
      </c>
      <c r="F371" s="300"/>
      <c r="G371" s="300"/>
      <c r="H371" s="300"/>
      <c r="I371" s="300"/>
      <c r="J371" s="315">
        <v>3376.63</v>
      </c>
      <c r="K371" s="306">
        <f t="shared" si="15"/>
        <v>20259.78</v>
      </c>
    </row>
    <row r="372" spans="1:11">
      <c r="A372" s="300">
        <v>10</v>
      </c>
      <c r="B372" s="313" t="s">
        <v>171</v>
      </c>
      <c r="C372" s="312" t="s">
        <v>557</v>
      </c>
      <c r="D372" s="309" t="s">
        <v>3</v>
      </c>
      <c r="E372" s="315">
        <v>1</v>
      </c>
      <c r="F372" s="300"/>
      <c r="G372" s="300"/>
      <c r="H372" s="300"/>
      <c r="I372" s="300"/>
      <c r="J372" s="315">
        <v>900</v>
      </c>
      <c r="K372" s="316">
        <f t="shared" si="15"/>
        <v>900</v>
      </c>
    </row>
    <row r="373" spans="1:11" ht="18.75">
      <c r="A373" s="300">
        <v>11</v>
      </c>
      <c r="B373" s="314" t="s">
        <v>167</v>
      </c>
      <c r="C373" s="312" t="s">
        <v>556</v>
      </c>
      <c r="D373" s="309" t="s">
        <v>3</v>
      </c>
      <c r="E373" s="317">
        <v>4</v>
      </c>
      <c r="F373" s="300"/>
      <c r="G373" s="300"/>
      <c r="H373" s="300"/>
      <c r="I373" s="300"/>
      <c r="J373" s="315">
        <v>7003.3</v>
      </c>
      <c r="K373" s="316">
        <f t="shared" si="15"/>
        <v>28013.200000000001</v>
      </c>
    </row>
    <row r="374" spans="1:11" ht="18.75">
      <c r="A374" s="300">
        <v>12</v>
      </c>
      <c r="B374" s="311" t="s">
        <v>558</v>
      </c>
      <c r="C374" s="312" t="s">
        <v>559</v>
      </c>
      <c r="D374" s="309" t="s">
        <v>3</v>
      </c>
      <c r="E374" s="315">
        <v>11</v>
      </c>
      <c r="F374" s="300"/>
      <c r="G374" s="300"/>
      <c r="H374" s="300"/>
      <c r="I374" s="300"/>
      <c r="J374" s="315">
        <v>5835.1</v>
      </c>
      <c r="K374" s="306">
        <f t="shared" si="15"/>
        <v>64186.100000000006</v>
      </c>
    </row>
    <row r="375" spans="1:11">
      <c r="A375" s="300">
        <v>13</v>
      </c>
      <c r="B375" s="313" t="s">
        <v>171</v>
      </c>
      <c r="C375" s="312" t="s">
        <v>560</v>
      </c>
      <c r="D375" s="309" t="s">
        <v>3</v>
      </c>
      <c r="E375" s="315">
        <v>12</v>
      </c>
      <c r="F375" s="300"/>
      <c r="G375" s="300"/>
      <c r="H375" s="300"/>
      <c r="I375" s="300"/>
      <c r="J375" s="315">
        <v>690.3</v>
      </c>
      <c r="K375" s="316">
        <f t="shared" si="15"/>
        <v>8283.5999999999985</v>
      </c>
    </row>
    <row r="376" spans="1:11">
      <c r="A376" s="300">
        <v>14</v>
      </c>
      <c r="B376" s="313" t="s">
        <v>561</v>
      </c>
      <c r="C376" s="312" t="s">
        <v>562</v>
      </c>
      <c r="D376" s="309" t="s">
        <v>3</v>
      </c>
      <c r="E376" s="315">
        <v>8</v>
      </c>
      <c r="F376" s="300"/>
      <c r="G376" s="300"/>
      <c r="H376" s="300"/>
      <c r="I376" s="300"/>
      <c r="J376" s="315">
        <v>672.6</v>
      </c>
      <c r="K376" s="306">
        <f t="shared" si="15"/>
        <v>5380.8</v>
      </c>
    </row>
    <row r="377" spans="1:11">
      <c r="A377" s="300">
        <v>15</v>
      </c>
      <c r="B377" s="313" t="s">
        <v>563</v>
      </c>
      <c r="C377" s="312" t="s">
        <v>564</v>
      </c>
      <c r="D377" s="309" t="s">
        <v>3</v>
      </c>
      <c r="E377" s="315">
        <v>8</v>
      </c>
      <c r="F377" s="300"/>
      <c r="G377" s="300"/>
      <c r="H377" s="300"/>
      <c r="I377" s="300"/>
      <c r="J377" s="315">
        <v>2171.1999999999998</v>
      </c>
      <c r="K377" s="306">
        <f t="shared" si="15"/>
        <v>17369.599999999999</v>
      </c>
    </row>
    <row r="378" spans="1:11">
      <c r="A378" s="300">
        <v>16</v>
      </c>
      <c r="B378" s="313" t="s">
        <v>565</v>
      </c>
      <c r="C378" s="312" t="s">
        <v>566</v>
      </c>
      <c r="D378" s="309" t="s">
        <v>3</v>
      </c>
      <c r="E378" s="315">
        <v>8</v>
      </c>
      <c r="F378" s="300"/>
      <c r="G378" s="300"/>
      <c r="H378" s="300"/>
      <c r="I378" s="300"/>
      <c r="J378" s="315">
        <v>1823.1</v>
      </c>
      <c r="K378" s="306">
        <f t="shared" si="15"/>
        <v>14584.8</v>
      </c>
    </row>
    <row r="379" spans="1:11">
      <c r="A379" s="300">
        <v>17</v>
      </c>
      <c r="B379" s="318" t="s">
        <v>567</v>
      </c>
      <c r="C379" s="312" t="s">
        <v>568</v>
      </c>
      <c r="D379" s="309" t="s">
        <v>3</v>
      </c>
      <c r="E379" s="315">
        <v>6</v>
      </c>
      <c r="F379" s="300"/>
      <c r="G379" s="300"/>
      <c r="H379" s="300"/>
      <c r="I379" s="300"/>
      <c r="J379" s="315">
        <v>1085.5999999999999</v>
      </c>
      <c r="K379" s="306">
        <f t="shared" si="15"/>
        <v>6513.5999999999995</v>
      </c>
    </row>
    <row r="380" spans="1:11">
      <c r="A380" s="300">
        <v>18</v>
      </c>
      <c r="B380" s="313" t="s">
        <v>169</v>
      </c>
      <c r="C380" s="312" t="s">
        <v>569</v>
      </c>
      <c r="D380" s="309" t="s">
        <v>3</v>
      </c>
      <c r="E380" s="315">
        <v>8</v>
      </c>
      <c r="F380" s="300"/>
      <c r="G380" s="300"/>
      <c r="H380" s="300"/>
      <c r="I380" s="300"/>
      <c r="J380" s="315">
        <v>1616.6</v>
      </c>
      <c r="K380" s="306">
        <f t="shared" si="15"/>
        <v>12932.8</v>
      </c>
    </row>
    <row r="381" spans="1:11">
      <c r="A381" s="300">
        <v>19</v>
      </c>
      <c r="B381" s="313" t="s">
        <v>570</v>
      </c>
      <c r="C381" s="312" t="s">
        <v>571</v>
      </c>
      <c r="D381" s="309" t="s">
        <v>3</v>
      </c>
      <c r="E381" s="315">
        <v>8</v>
      </c>
      <c r="F381" s="300"/>
      <c r="G381" s="300"/>
      <c r="H381" s="300"/>
      <c r="I381" s="300"/>
      <c r="J381" s="315">
        <v>1858.5</v>
      </c>
      <c r="K381" s="306">
        <f t="shared" si="15"/>
        <v>14868</v>
      </c>
    </row>
    <row r="382" spans="1:11">
      <c r="A382" s="300"/>
      <c r="B382" s="319"/>
      <c r="C382" s="320"/>
      <c r="D382" s="320"/>
      <c r="E382" s="320"/>
      <c r="F382" s="320"/>
      <c r="G382" s="320"/>
      <c r="H382" s="321" t="s">
        <v>421</v>
      </c>
      <c r="I382" s="322"/>
      <c r="J382" s="308"/>
      <c r="K382" s="323">
        <f>SUM(K363:K381)</f>
        <v>285302.08</v>
      </c>
    </row>
    <row r="383" spans="1:11" ht="18.75">
      <c r="A383" s="324"/>
      <c r="B383" s="325" t="s">
        <v>572</v>
      </c>
      <c r="C383" s="325"/>
      <c r="D383" s="325"/>
      <c r="E383" s="325"/>
      <c r="F383" s="325"/>
      <c r="G383" s="325"/>
      <c r="H383" s="325"/>
      <c r="I383" s="325"/>
      <c r="J383" s="325"/>
      <c r="K383" s="325"/>
    </row>
    <row r="384" spans="1:11">
      <c r="A384" s="296" t="s">
        <v>261</v>
      </c>
      <c r="B384" s="297" t="s">
        <v>262</v>
      </c>
      <c r="C384" s="297" t="s">
        <v>263</v>
      </c>
      <c r="D384" s="298" t="s">
        <v>8</v>
      </c>
      <c r="E384" s="297" t="s">
        <v>264</v>
      </c>
      <c r="F384" s="297"/>
      <c r="G384" s="297"/>
      <c r="H384" s="297"/>
      <c r="I384" s="297"/>
      <c r="J384" s="300"/>
      <c r="K384" s="297" t="s">
        <v>541</v>
      </c>
    </row>
    <row r="385" spans="1:11">
      <c r="A385" s="297"/>
      <c r="B385" s="297"/>
      <c r="C385" s="297"/>
      <c r="D385" s="299"/>
      <c r="E385" s="300" t="s">
        <v>18</v>
      </c>
      <c r="F385" s="300" t="s">
        <v>266</v>
      </c>
      <c r="G385" s="300" t="s">
        <v>11</v>
      </c>
      <c r="H385" s="300" t="s">
        <v>267</v>
      </c>
      <c r="I385" s="300" t="s">
        <v>268</v>
      </c>
      <c r="J385" s="300"/>
      <c r="K385" s="297"/>
    </row>
    <row r="386" spans="1:11" ht="18.75">
      <c r="A386" s="300">
        <v>1</v>
      </c>
      <c r="B386" s="311" t="s">
        <v>573</v>
      </c>
      <c r="C386" s="326" t="s">
        <v>574</v>
      </c>
      <c r="D386" s="327" t="s">
        <v>552</v>
      </c>
      <c r="E386" s="300"/>
      <c r="F386" s="300"/>
      <c r="G386" s="300"/>
      <c r="H386" s="300"/>
      <c r="I386" s="328">
        <v>410</v>
      </c>
      <c r="J386" s="329">
        <v>35</v>
      </c>
      <c r="K386" s="323">
        <f t="shared" ref="K386:K387" si="16">J386*I386</f>
        <v>14350</v>
      </c>
    </row>
    <row r="387" spans="1:11">
      <c r="A387" s="300">
        <v>2</v>
      </c>
      <c r="B387" s="313" t="s">
        <v>294</v>
      </c>
      <c r="C387" s="302" t="s">
        <v>575</v>
      </c>
      <c r="D387" s="309" t="s">
        <v>9</v>
      </c>
      <c r="E387" s="315"/>
      <c r="F387" s="300"/>
      <c r="G387" s="300"/>
      <c r="H387" s="300"/>
      <c r="I387" s="328">
        <v>36</v>
      </c>
      <c r="J387" s="329">
        <v>100</v>
      </c>
      <c r="K387" s="323">
        <f t="shared" si="16"/>
        <v>3600</v>
      </c>
    </row>
    <row r="388" spans="1:11">
      <c r="A388" s="320"/>
      <c r="B388" s="320"/>
      <c r="C388" s="320"/>
      <c r="D388" s="320"/>
      <c r="E388" s="320"/>
      <c r="F388" s="320"/>
      <c r="G388" s="320"/>
      <c r="H388" s="330" t="s">
        <v>421</v>
      </c>
      <c r="I388" s="330"/>
      <c r="J388" s="319"/>
      <c r="K388" s="323">
        <f>SUM(K386:K387)</f>
        <v>17950</v>
      </c>
    </row>
    <row r="389" spans="1:11" ht="18.75">
      <c r="A389" s="324"/>
      <c r="B389" s="325" t="s">
        <v>576</v>
      </c>
      <c r="C389" s="325"/>
      <c r="D389" s="325"/>
      <c r="E389" s="325"/>
      <c r="F389" s="325"/>
      <c r="G389" s="325"/>
      <c r="H389" s="325"/>
      <c r="I389" s="325"/>
      <c r="J389" s="325"/>
      <c r="K389" s="325"/>
    </row>
    <row r="390" spans="1:11">
      <c r="A390" s="296" t="s">
        <v>261</v>
      </c>
      <c r="B390" s="297" t="s">
        <v>262</v>
      </c>
      <c r="C390" s="297" t="s">
        <v>263</v>
      </c>
      <c r="D390" s="298" t="s">
        <v>8</v>
      </c>
      <c r="E390" s="297" t="s">
        <v>264</v>
      </c>
      <c r="F390" s="297"/>
      <c r="G390" s="297"/>
      <c r="H390" s="297"/>
      <c r="I390" s="297"/>
      <c r="J390" s="300"/>
      <c r="K390" s="297" t="s">
        <v>541</v>
      </c>
    </row>
    <row r="391" spans="1:11">
      <c r="A391" s="297"/>
      <c r="B391" s="297"/>
      <c r="C391" s="297"/>
      <c r="D391" s="299"/>
      <c r="E391" s="300" t="s">
        <v>18</v>
      </c>
      <c r="F391" s="300" t="s">
        <v>266</v>
      </c>
      <c r="G391" s="300" t="s">
        <v>11</v>
      </c>
      <c r="H391" s="300" t="s">
        <v>267</v>
      </c>
      <c r="I391" s="300" t="s">
        <v>268</v>
      </c>
      <c r="J391" s="300"/>
      <c r="K391" s="297"/>
    </row>
    <row r="392" spans="1:11">
      <c r="A392" s="300">
        <v>1</v>
      </c>
      <c r="B392" s="331" t="s">
        <v>577</v>
      </c>
      <c r="C392" s="332" t="s">
        <v>578</v>
      </c>
      <c r="D392" s="327" t="s">
        <v>9</v>
      </c>
      <c r="E392" s="300">
        <v>1</v>
      </c>
      <c r="F392" s="300"/>
      <c r="G392" s="300"/>
      <c r="H392" s="300"/>
      <c r="I392" s="333"/>
      <c r="J392" s="329">
        <v>67850</v>
      </c>
      <c r="K392" s="323">
        <f>E392*J392</f>
        <v>67850</v>
      </c>
    </row>
    <row r="393" spans="1:11">
      <c r="A393" s="320"/>
      <c r="B393" s="320"/>
      <c r="C393" s="320"/>
      <c r="D393" s="320"/>
      <c r="E393" s="320"/>
      <c r="F393" s="320"/>
      <c r="G393" s="320"/>
      <c r="H393" s="330" t="s">
        <v>421</v>
      </c>
      <c r="I393" s="330"/>
      <c r="J393" s="319"/>
      <c r="K393" s="323">
        <f>SUM(K392:K392)</f>
        <v>67850</v>
      </c>
    </row>
    <row r="394" spans="1:11">
      <c r="A394" s="290"/>
      <c r="B394" s="290"/>
      <c r="C394" s="334"/>
      <c r="D394" s="334"/>
      <c r="E394" s="334"/>
      <c r="F394" s="334"/>
      <c r="G394" s="334"/>
      <c r="H394" s="335"/>
      <c r="I394" s="335"/>
      <c r="J394" s="335"/>
      <c r="K394" s="336"/>
    </row>
    <row r="395" spans="1:11">
      <c r="A395" s="290"/>
      <c r="B395" s="290"/>
      <c r="C395" s="290" t="s">
        <v>534</v>
      </c>
      <c r="D395" s="290"/>
      <c r="E395" s="290"/>
      <c r="F395" s="290" t="s">
        <v>535</v>
      </c>
      <c r="G395" s="290"/>
      <c r="H395" s="290"/>
      <c r="I395" s="290"/>
      <c r="J395" s="290"/>
      <c r="K395" s="290" t="s">
        <v>536</v>
      </c>
    </row>
    <row r="396" spans="1:11">
      <c r="A396" s="290"/>
      <c r="B396" s="290"/>
      <c r="C396" s="290"/>
      <c r="D396" s="290"/>
      <c r="E396" s="290"/>
      <c r="F396" s="290"/>
      <c r="G396" s="290"/>
      <c r="H396" s="290"/>
      <c r="I396" s="290"/>
      <c r="J396" s="290"/>
      <c r="K396" s="290"/>
    </row>
    <row r="397" spans="1:11">
      <c r="A397" s="290"/>
      <c r="B397" s="290"/>
      <c r="C397" s="290"/>
      <c r="D397" s="290"/>
      <c r="E397" s="290"/>
      <c r="F397" s="290"/>
      <c r="G397" s="290"/>
      <c r="H397" s="290"/>
      <c r="I397" s="290"/>
      <c r="J397" s="290"/>
      <c r="K397" s="290"/>
    </row>
    <row r="398" spans="1:11">
      <c r="A398" s="290"/>
      <c r="B398" s="290"/>
      <c r="C398" s="290"/>
      <c r="D398" s="290"/>
      <c r="E398" s="290"/>
      <c r="F398" s="290"/>
      <c r="G398" s="290"/>
      <c r="H398" s="290"/>
      <c r="I398" s="290"/>
      <c r="J398" s="290"/>
      <c r="K398" s="290"/>
    </row>
    <row r="399" spans="1:11">
      <c r="A399" s="290"/>
      <c r="B399" s="290"/>
      <c r="C399" s="290"/>
      <c r="D399" s="290"/>
      <c r="E399" s="290"/>
      <c r="F399" s="290"/>
      <c r="G399" s="290"/>
      <c r="H399" s="290"/>
      <c r="I399" s="290"/>
      <c r="J399" s="290"/>
      <c r="K399" s="290"/>
    </row>
    <row r="401" spans="1:17" ht="18.75">
      <c r="A401" s="337"/>
      <c r="B401" s="337"/>
      <c r="C401" s="338" t="s">
        <v>579</v>
      </c>
      <c r="D401" s="338"/>
      <c r="E401" s="338"/>
      <c r="F401" s="338"/>
      <c r="G401" s="338"/>
      <c r="H401" s="338"/>
      <c r="I401" s="338"/>
      <c r="J401" s="338"/>
      <c r="K401" s="338"/>
      <c r="L401" s="338"/>
      <c r="M401" s="338"/>
      <c r="N401" s="338"/>
      <c r="O401" s="338"/>
      <c r="P401" s="338"/>
      <c r="Q401" s="339"/>
    </row>
    <row r="402" spans="1:17" ht="18.75">
      <c r="A402" s="340"/>
      <c r="B402" s="340"/>
      <c r="C402" s="341"/>
      <c r="D402" s="341"/>
      <c r="E402" s="341"/>
      <c r="F402" s="341"/>
      <c r="G402" s="341"/>
      <c r="H402" s="341"/>
      <c r="I402" s="341"/>
      <c r="J402" s="341"/>
      <c r="K402" s="341"/>
      <c r="L402" s="341"/>
      <c r="M402" s="341"/>
      <c r="N402" s="341"/>
      <c r="O402" s="341"/>
      <c r="P402" s="341"/>
      <c r="Q402" s="342"/>
    </row>
    <row r="403" spans="1:17">
      <c r="A403" s="343" t="s">
        <v>580</v>
      </c>
      <c r="B403" s="344" t="s">
        <v>581</v>
      </c>
      <c r="C403" s="345" t="s">
        <v>582</v>
      </c>
      <c r="D403" s="346" t="s">
        <v>583</v>
      </c>
      <c r="E403" s="347" t="s">
        <v>584</v>
      </c>
      <c r="F403" s="348" t="s">
        <v>585</v>
      </c>
      <c r="G403" s="349" t="s">
        <v>18</v>
      </c>
      <c r="H403" s="350"/>
      <c r="I403" s="351" t="s">
        <v>29</v>
      </c>
      <c r="J403" s="352"/>
      <c r="K403" s="351" t="s">
        <v>21</v>
      </c>
      <c r="L403" s="352"/>
      <c r="M403" s="351" t="s">
        <v>586</v>
      </c>
      <c r="N403" s="352"/>
      <c r="O403" s="351" t="s">
        <v>587</v>
      </c>
      <c r="P403" s="352"/>
      <c r="Q403" s="353" t="s">
        <v>588</v>
      </c>
    </row>
    <row r="404" spans="1:17">
      <c r="A404" s="343"/>
      <c r="B404" s="344"/>
      <c r="C404" s="345"/>
      <c r="D404" s="354"/>
      <c r="E404" s="347"/>
      <c r="F404" s="348"/>
      <c r="G404" s="355"/>
      <c r="H404" s="356"/>
      <c r="I404" s="357"/>
      <c r="J404" s="358"/>
      <c r="K404" s="357"/>
      <c r="L404" s="358"/>
      <c r="M404" s="357"/>
      <c r="N404" s="358"/>
      <c r="O404" s="357"/>
      <c r="P404" s="358"/>
      <c r="Q404" s="359"/>
    </row>
    <row r="405" spans="1:17">
      <c r="A405" s="343"/>
      <c r="B405" s="344"/>
      <c r="C405" s="345"/>
      <c r="D405" s="360"/>
      <c r="E405" s="347"/>
      <c r="F405" s="348"/>
      <c r="G405" s="361"/>
      <c r="H405" s="362"/>
      <c r="I405" s="363"/>
      <c r="J405" s="364"/>
      <c r="K405" s="363"/>
      <c r="L405" s="364"/>
      <c r="M405" s="363"/>
      <c r="N405" s="364"/>
      <c r="O405" s="363"/>
      <c r="P405" s="364"/>
      <c r="Q405" s="365"/>
    </row>
    <row r="406" spans="1:17">
      <c r="A406" s="366" t="s">
        <v>589</v>
      </c>
      <c r="B406" s="367"/>
      <c r="C406" s="368"/>
      <c r="D406" s="368"/>
      <c r="E406" s="369"/>
      <c r="F406" s="370"/>
      <c r="G406" s="371" t="s">
        <v>583</v>
      </c>
      <c r="H406" s="371" t="s">
        <v>0</v>
      </c>
      <c r="I406" s="372" t="s">
        <v>583</v>
      </c>
      <c r="J406" s="372" t="s">
        <v>0</v>
      </c>
      <c r="K406" s="371" t="s">
        <v>583</v>
      </c>
      <c r="L406" s="371" t="s">
        <v>0</v>
      </c>
      <c r="M406" s="371" t="s">
        <v>583</v>
      </c>
      <c r="N406" s="371" t="s">
        <v>0</v>
      </c>
      <c r="O406" s="371" t="s">
        <v>583</v>
      </c>
      <c r="P406" s="371" t="s">
        <v>0</v>
      </c>
      <c r="Q406" s="373"/>
    </row>
    <row r="407" spans="1:17">
      <c r="A407" s="374">
        <v>1</v>
      </c>
      <c r="B407" s="29" t="s">
        <v>164</v>
      </c>
      <c r="C407" s="375" t="s">
        <v>590</v>
      </c>
      <c r="D407" s="376">
        <f t="shared" ref="D407:D470" si="17">G407+I407+K407+M407+O407</f>
        <v>0.15</v>
      </c>
      <c r="E407" s="377" t="s">
        <v>591</v>
      </c>
      <c r="F407" s="378">
        <v>40</v>
      </c>
      <c r="G407" s="379">
        <v>0.15</v>
      </c>
      <c r="H407" s="379">
        <f t="shared" ref="H407:H460" si="18">G407*F407</f>
        <v>6</v>
      </c>
      <c r="I407" s="379"/>
      <c r="J407" s="379">
        <f t="shared" ref="J407:J460" si="19">I407*F407</f>
        <v>0</v>
      </c>
      <c r="K407" s="379"/>
      <c r="L407" s="379">
        <f t="shared" ref="L407:L460" si="20">K407*F407</f>
        <v>0</v>
      </c>
      <c r="M407" s="379"/>
      <c r="N407" s="379">
        <f t="shared" ref="N407:N460" si="21">M407*F407</f>
        <v>0</v>
      </c>
      <c r="O407" s="379"/>
      <c r="P407" s="379">
        <f t="shared" ref="P407:P460" si="22">O407*F407</f>
        <v>0</v>
      </c>
      <c r="Q407" s="380">
        <f>G407+I407+K407+M407+O407</f>
        <v>0.15</v>
      </c>
    </row>
    <row r="408" spans="1:17">
      <c r="A408" s="374">
        <v>2</v>
      </c>
      <c r="B408" s="29" t="s">
        <v>317</v>
      </c>
      <c r="C408" s="375" t="s">
        <v>592</v>
      </c>
      <c r="D408" s="376">
        <f t="shared" si="17"/>
        <v>170</v>
      </c>
      <c r="E408" s="377" t="s">
        <v>42</v>
      </c>
      <c r="F408" s="378">
        <v>90</v>
      </c>
      <c r="G408" s="379">
        <v>170</v>
      </c>
      <c r="H408" s="379">
        <f t="shared" si="18"/>
        <v>15300</v>
      </c>
      <c r="I408" s="379"/>
      <c r="J408" s="379">
        <f t="shared" si="19"/>
        <v>0</v>
      </c>
      <c r="K408" s="379"/>
      <c r="L408" s="379">
        <f t="shared" si="20"/>
        <v>0</v>
      </c>
      <c r="M408" s="379"/>
      <c r="N408" s="379">
        <f t="shared" si="21"/>
        <v>0</v>
      </c>
      <c r="O408" s="381"/>
      <c r="P408" s="379">
        <f t="shared" si="22"/>
        <v>0</v>
      </c>
      <c r="Q408" s="380">
        <f>G408+I408+K408+M408+O408</f>
        <v>170</v>
      </c>
    </row>
    <row r="409" spans="1:17">
      <c r="A409" s="374">
        <v>3</v>
      </c>
      <c r="B409" s="29" t="s">
        <v>317</v>
      </c>
      <c r="C409" s="375" t="s">
        <v>593</v>
      </c>
      <c r="D409" s="376">
        <f t="shared" si="17"/>
        <v>0.1</v>
      </c>
      <c r="E409" s="377" t="s">
        <v>591</v>
      </c>
      <c r="F409" s="378">
        <v>45000</v>
      </c>
      <c r="G409" s="379"/>
      <c r="H409" s="379">
        <f t="shared" si="18"/>
        <v>0</v>
      </c>
      <c r="I409" s="379"/>
      <c r="J409" s="379">
        <f t="shared" si="19"/>
        <v>0</v>
      </c>
      <c r="K409" s="379"/>
      <c r="L409" s="379">
        <f t="shared" si="20"/>
        <v>0</v>
      </c>
      <c r="M409" s="379"/>
      <c r="N409" s="379">
        <f t="shared" si="21"/>
        <v>0</v>
      </c>
      <c r="O409" s="381">
        <v>0.1</v>
      </c>
      <c r="P409" s="379">
        <f t="shared" si="22"/>
        <v>4500</v>
      </c>
      <c r="Q409" s="380">
        <f>G409+I409+K409+M409+O409</f>
        <v>0.1</v>
      </c>
    </row>
    <row r="410" spans="1:17">
      <c r="A410" s="374">
        <v>4</v>
      </c>
      <c r="B410" s="29" t="s">
        <v>594</v>
      </c>
      <c r="C410" s="376" t="s">
        <v>595</v>
      </c>
      <c r="D410" s="376">
        <f t="shared" si="17"/>
        <v>1</v>
      </c>
      <c r="E410" s="382" t="s">
        <v>9</v>
      </c>
      <c r="F410" s="383">
        <f>66944*1.18</f>
        <v>78993.919999999998</v>
      </c>
      <c r="G410" s="29">
        <v>1</v>
      </c>
      <c r="H410" s="379">
        <f t="shared" si="18"/>
        <v>78993.919999999998</v>
      </c>
      <c r="I410" s="29"/>
      <c r="J410" s="379">
        <f t="shared" si="19"/>
        <v>0</v>
      </c>
      <c r="K410" s="384"/>
      <c r="L410" s="379">
        <f t="shared" si="20"/>
        <v>0</v>
      </c>
      <c r="M410" s="384"/>
      <c r="N410" s="379">
        <f t="shared" si="21"/>
        <v>0</v>
      </c>
      <c r="O410" s="385"/>
      <c r="P410" s="379">
        <f t="shared" si="22"/>
        <v>0</v>
      </c>
      <c r="Q410" s="380">
        <f t="shared" ref="Q410:Q473" si="23">G410+I410+K410+M410+O410</f>
        <v>1</v>
      </c>
    </row>
    <row r="411" spans="1:17" ht="25.5">
      <c r="A411" s="374">
        <v>5</v>
      </c>
      <c r="B411" s="29" t="s">
        <v>594</v>
      </c>
      <c r="C411" s="375" t="s">
        <v>596</v>
      </c>
      <c r="D411" s="376">
        <f t="shared" si="17"/>
        <v>2</v>
      </c>
      <c r="E411" s="386" t="s">
        <v>9</v>
      </c>
      <c r="F411" s="8">
        <f>60980*1.18*1.1</f>
        <v>79152.039999999994</v>
      </c>
      <c r="G411" s="387">
        <v>2</v>
      </c>
      <c r="H411" s="388">
        <f t="shared" si="18"/>
        <v>158304.07999999999</v>
      </c>
      <c r="I411" s="389"/>
      <c r="J411" s="379">
        <f t="shared" si="19"/>
        <v>0</v>
      </c>
      <c r="K411" s="384"/>
      <c r="L411" s="379">
        <f t="shared" si="20"/>
        <v>0</v>
      </c>
      <c r="M411" s="384"/>
      <c r="N411" s="379">
        <f t="shared" si="21"/>
        <v>0</v>
      </c>
      <c r="O411" s="385"/>
      <c r="P411" s="379">
        <f t="shared" si="22"/>
        <v>0</v>
      </c>
      <c r="Q411" s="380">
        <f t="shared" si="23"/>
        <v>2</v>
      </c>
    </row>
    <row r="412" spans="1:17">
      <c r="A412" s="374">
        <v>6</v>
      </c>
      <c r="B412" s="211" t="s">
        <v>597</v>
      </c>
      <c r="C412" s="390" t="s">
        <v>598</v>
      </c>
      <c r="D412" s="376">
        <f t="shared" si="17"/>
        <v>10</v>
      </c>
      <c r="E412" s="391" t="s">
        <v>599</v>
      </c>
      <c r="F412" s="392">
        <v>158.12</v>
      </c>
      <c r="G412" s="393">
        <v>10</v>
      </c>
      <c r="H412" s="379">
        <f t="shared" si="18"/>
        <v>1581.2</v>
      </c>
      <c r="I412" s="393"/>
      <c r="J412" s="379">
        <f t="shared" si="19"/>
        <v>0</v>
      </c>
      <c r="K412" s="379"/>
      <c r="L412" s="379">
        <f t="shared" si="20"/>
        <v>0</v>
      </c>
      <c r="M412" s="394"/>
      <c r="N412" s="379">
        <f t="shared" si="21"/>
        <v>0</v>
      </c>
      <c r="O412" s="379"/>
      <c r="P412" s="379">
        <f t="shared" si="22"/>
        <v>0</v>
      </c>
      <c r="Q412" s="380">
        <f t="shared" si="23"/>
        <v>10</v>
      </c>
    </row>
    <row r="413" spans="1:17">
      <c r="A413" s="374">
        <v>7</v>
      </c>
      <c r="B413" s="29" t="s">
        <v>600</v>
      </c>
      <c r="C413" s="376" t="s">
        <v>601</v>
      </c>
      <c r="D413" s="376">
        <f t="shared" si="17"/>
        <v>15</v>
      </c>
      <c r="E413" s="391" t="s">
        <v>599</v>
      </c>
      <c r="F413" s="392">
        <v>188.68</v>
      </c>
      <c r="G413" s="393">
        <v>15</v>
      </c>
      <c r="H413" s="379">
        <f t="shared" si="18"/>
        <v>2830.2000000000003</v>
      </c>
      <c r="I413" s="393"/>
      <c r="J413" s="379">
        <f t="shared" si="19"/>
        <v>0</v>
      </c>
      <c r="K413" s="379"/>
      <c r="L413" s="379">
        <f t="shared" si="20"/>
        <v>0</v>
      </c>
      <c r="M413" s="379"/>
      <c r="N413" s="379">
        <f t="shared" si="21"/>
        <v>0</v>
      </c>
      <c r="O413" s="379"/>
      <c r="P413" s="379">
        <f t="shared" si="22"/>
        <v>0</v>
      </c>
      <c r="Q413" s="380">
        <f t="shared" si="23"/>
        <v>15</v>
      </c>
    </row>
    <row r="414" spans="1:17">
      <c r="A414" s="374">
        <v>8</v>
      </c>
      <c r="B414" s="29" t="s">
        <v>602</v>
      </c>
      <c r="C414" s="376" t="s">
        <v>603</v>
      </c>
      <c r="D414" s="376">
        <f t="shared" si="17"/>
        <v>5</v>
      </c>
      <c r="E414" s="391" t="s">
        <v>599</v>
      </c>
      <c r="F414" s="392">
        <v>212.28</v>
      </c>
      <c r="G414" s="393">
        <v>5</v>
      </c>
      <c r="H414" s="379">
        <f t="shared" si="18"/>
        <v>1061.4000000000001</v>
      </c>
      <c r="I414" s="393"/>
      <c r="J414" s="379">
        <f t="shared" si="19"/>
        <v>0</v>
      </c>
      <c r="K414" s="379"/>
      <c r="L414" s="379">
        <f t="shared" si="20"/>
        <v>0</v>
      </c>
      <c r="M414" s="379"/>
      <c r="N414" s="379">
        <f t="shared" si="21"/>
        <v>0</v>
      </c>
      <c r="O414" s="379"/>
      <c r="P414" s="379">
        <f t="shared" si="22"/>
        <v>0</v>
      </c>
      <c r="Q414" s="380">
        <f t="shared" si="23"/>
        <v>5</v>
      </c>
    </row>
    <row r="415" spans="1:17">
      <c r="A415" s="374">
        <v>9</v>
      </c>
      <c r="B415" s="29" t="s">
        <v>604</v>
      </c>
      <c r="C415" s="376" t="s">
        <v>605</v>
      </c>
      <c r="D415" s="376">
        <f t="shared" si="17"/>
        <v>5</v>
      </c>
      <c r="E415" s="391" t="s">
        <v>599</v>
      </c>
      <c r="F415" s="392">
        <v>271.16000000000003</v>
      </c>
      <c r="G415" s="393">
        <v>5</v>
      </c>
      <c r="H415" s="379">
        <f t="shared" si="18"/>
        <v>1355.8000000000002</v>
      </c>
      <c r="I415" s="393"/>
      <c r="J415" s="379">
        <f t="shared" si="19"/>
        <v>0</v>
      </c>
      <c r="K415" s="379"/>
      <c r="L415" s="379">
        <f t="shared" si="20"/>
        <v>0</v>
      </c>
      <c r="M415" s="379"/>
      <c r="N415" s="379">
        <f t="shared" si="21"/>
        <v>0</v>
      </c>
      <c r="O415" s="379"/>
      <c r="P415" s="379">
        <f t="shared" si="22"/>
        <v>0</v>
      </c>
      <c r="Q415" s="380">
        <f t="shared" si="23"/>
        <v>5</v>
      </c>
    </row>
    <row r="416" spans="1:17">
      <c r="A416" s="374">
        <v>10</v>
      </c>
      <c r="B416" s="29" t="s">
        <v>350</v>
      </c>
      <c r="C416" s="376" t="s">
        <v>606</v>
      </c>
      <c r="D416" s="376">
        <f t="shared" si="17"/>
        <v>150</v>
      </c>
      <c r="E416" s="386" t="s">
        <v>42</v>
      </c>
      <c r="F416" s="395">
        <f>155+155*13.5%</f>
        <v>175.92500000000001</v>
      </c>
      <c r="G416" s="394">
        <v>150</v>
      </c>
      <c r="H416" s="379">
        <f t="shared" si="18"/>
        <v>26388.75</v>
      </c>
      <c r="I416" s="394"/>
      <c r="J416" s="379">
        <f t="shared" si="19"/>
        <v>0</v>
      </c>
      <c r="K416" s="379"/>
      <c r="L416" s="379">
        <f t="shared" si="20"/>
        <v>0</v>
      </c>
      <c r="M416" s="379"/>
      <c r="N416" s="379">
        <f t="shared" si="21"/>
        <v>0</v>
      </c>
      <c r="O416" s="379"/>
      <c r="P416" s="379">
        <f t="shared" si="22"/>
        <v>0</v>
      </c>
      <c r="Q416" s="380">
        <f t="shared" si="23"/>
        <v>150</v>
      </c>
    </row>
    <row r="417" spans="1:17">
      <c r="A417" s="374">
        <v>11</v>
      </c>
      <c r="B417" s="29" t="s">
        <v>607</v>
      </c>
      <c r="C417" s="376" t="s">
        <v>608</v>
      </c>
      <c r="D417" s="376">
        <f t="shared" si="17"/>
        <v>0.3</v>
      </c>
      <c r="E417" s="396" t="s">
        <v>591</v>
      </c>
      <c r="F417" s="397">
        <f>216500*1.18</f>
        <v>255470</v>
      </c>
      <c r="G417" s="394">
        <v>0.3</v>
      </c>
      <c r="H417" s="379">
        <f t="shared" si="18"/>
        <v>76641</v>
      </c>
      <c r="I417" s="394"/>
      <c r="J417" s="379">
        <f t="shared" si="19"/>
        <v>0</v>
      </c>
      <c r="K417" s="379"/>
      <c r="L417" s="379">
        <f t="shared" si="20"/>
        <v>0</v>
      </c>
      <c r="M417" s="379"/>
      <c r="N417" s="379">
        <f t="shared" si="21"/>
        <v>0</v>
      </c>
      <c r="O417" s="379"/>
      <c r="P417" s="379">
        <f t="shared" si="22"/>
        <v>0</v>
      </c>
      <c r="Q417" s="380">
        <f t="shared" si="23"/>
        <v>0.3</v>
      </c>
    </row>
    <row r="418" spans="1:17">
      <c r="A418" s="374">
        <v>12</v>
      </c>
      <c r="B418" s="29" t="s">
        <v>609</v>
      </c>
      <c r="C418" s="376" t="s">
        <v>610</v>
      </c>
      <c r="D418" s="376">
        <f t="shared" si="17"/>
        <v>30</v>
      </c>
      <c r="E418" s="386" t="s">
        <v>42</v>
      </c>
      <c r="F418" s="395">
        <f>290+290*13.5%</f>
        <v>329.15</v>
      </c>
      <c r="G418" s="394">
        <v>30</v>
      </c>
      <c r="H418" s="379">
        <f t="shared" si="18"/>
        <v>9874.5</v>
      </c>
      <c r="I418" s="394"/>
      <c r="J418" s="379">
        <f t="shared" si="19"/>
        <v>0</v>
      </c>
      <c r="K418" s="379"/>
      <c r="L418" s="379">
        <f t="shared" si="20"/>
        <v>0</v>
      </c>
      <c r="M418" s="379"/>
      <c r="N418" s="379">
        <f t="shared" si="21"/>
        <v>0</v>
      </c>
      <c r="O418" s="379"/>
      <c r="P418" s="379">
        <f t="shared" si="22"/>
        <v>0</v>
      </c>
      <c r="Q418" s="380">
        <f t="shared" si="23"/>
        <v>30</v>
      </c>
    </row>
    <row r="419" spans="1:17">
      <c r="A419" s="374">
        <v>13</v>
      </c>
      <c r="B419" s="29" t="s">
        <v>611</v>
      </c>
      <c r="C419" s="376" t="s">
        <v>612</v>
      </c>
      <c r="D419" s="376">
        <f t="shared" si="17"/>
        <v>0.3</v>
      </c>
      <c r="E419" s="382" t="s">
        <v>555</v>
      </c>
      <c r="F419" s="383">
        <f>234300*1.18</f>
        <v>276474</v>
      </c>
      <c r="G419" s="398">
        <v>0.3</v>
      </c>
      <c r="H419" s="379">
        <f t="shared" si="18"/>
        <v>82942.2</v>
      </c>
      <c r="I419" s="385"/>
      <c r="J419" s="379">
        <f t="shared" si="19"/>
        <v>0</v>
      </c>
      <c r="K419" s="384"/>
      <c r="L419" s="379">
        <f t="shared" si="20"/>
        <v>0</v>
      </c>
      <c r="M419" s="384"/>
      <c r="N419" s="379">
        <f t="shared" si="21"/>
        <v>0</v>
      </c>
      <c r="O419" s="385"/>
      <c r="P419" s="379">
        <f t="shared" si="22"/>
        <v>0</v>
      </c>
      <c r="Q419" s="380">
        <f t="shared" si="23"/>
        <v>0.3</v>
      </c>
    </row>
    <row r="420" spans="1:17">
      <c r="A420" s="374">
        <v>14</v>
      </c>
      <c r="B420" s="29" t="s">
        <v>613</v>
      </c>
      <c r="C420" s="376" t="s">
        <v>614</v>
      </c>
      <c r="D420" s="376">
        <f t="shared" si="17"/>
        <v>3</v>
      </c>
      <c r="E420" s="30" t="s">
        <v>599</v>
      </c>
      <c r="F420" s="399">
        <v>200</v>
      </c>
      <c r="G420" s="394">
        <v>3</v>
      </c>
      <c r="H420" s="379">
        <f t="shared" si="18"/>
        <v>600</v>
      </c>
      <c r="I420" s="394"/>
      <c r="J420" s="379">
        <f t="shared" si="19"/>
        <v>0</v>
      </c>
      <c r="K420" s="379"/>
      <c r="L420" s="379">
        <f t="shared" si="20"/>
        <v>0</v>
      </c>
      <c r="M420" s="379"/>
      <c r="N420" s="379">
        <f t="shared" si="21"/>
        <v>0</v>
      </c>
      <c r="O420" s="379"/>
      <c r="P420" s="379">
        <f t="shared" si="22"/>
        <v>0</v>
      </c>
      <c r="Q420" s="380">
        <f t="shared" si="23"/>
        <v>3</v>
      </c>
    </row>
    <row r="421" spans="1:17">
      <c r="A421" s="374">
        <v>15</v>
      </c>
      <c r="B421" s="29" t="s">
        <v>615</v>
      </c>
      <c r="C421" s="400" t="s">
        <v>616</v>
      </c>
      <c r="D421" s="376">
        <f t="shared" si="17"/>
        <v>75</v>
      </c>
      <c r="E421" s="379" t="s">
        <v>552</v>
      </c>
      <c r="F421" s="380">
        <v>151.04</v>
      </c>
      <c r="G421" s="401">
        <v>75</v>
      </c>
      <c r="H421" s="379">
        <f t="shared" si="18"/>
        <v>11328</v>
      </c>
      <c r="I421" s="379"/>
      <c r="J421" s="379">
        <f t="shared" si="19"/>
        <v>0</v>
      </c>
      <c r="K421" s="379"/>
      <c r="L421" s="379">
        <f t="shared" si="20"/>
        <v>0</v>
      </c>
      <c r="M421" s="379"/>
      <c r="N421" s="379">
        <f t="shared" si="21"/>
        <v>0</v>
      </c>
      <c r="O421" s="379"/>
      <c r="P421" s="379">
        <f t="shared" si="22"/>
        <v>0</v>
      </c>
      <c r="Q421" s="380">
        <f t="shared" si="23"/>
        <v>75</v>
      </c>
    </row>
    <row r="422" spans="1:17">
      <c r="A422" s="374">
        <v>16</v>
      </c>
      <c r="B422" s="29" t="s">
        <v>615</v>
      </c>
      <c r="C422" s="376" t="s">
        <v>617</v>
      </c>
      <c r="D422" s="376">
        <f t="shared" si="17"/>
        <v>40</v>
      </c>
      <c r="E422" s="386" t="s">
        <v>552</v>
      </c>
      <c r="F422" s="397">
        <v>15</v>
      </c>
      <c r="G422" s="394"/>
      <c r="H422" s="379">
        <f t="shared" si="18"/>
        <v>0</v>
      </c>
      <c r="I422" s="394"/>
      <c r="J422" s="379">
        <f t="shared" si="19"/>
        <v>0</v>
      </c>
      <c r="K422" s="379"/>
      <c r="L422" s="379">
        <f t="shared" si="20"/>
        <v>0</v>
      </c>
      <c r="M422" s="379"/>
      <c r="N422" s="379">
        <f t="shared" si="21"/>
        <v>0</v>
      </c>
      <c r="O422" s="379">
        <v>40</v>
      </c>
      <c r="P422" s="379">
        <f t="shared" si="22"/>
        <v>600</v>
      </c>
      <c r="Q422" s="380">
        <f t="shared" si="23"/>
        <v>40</v>
      </c>
    </row>
    <row r="423" spans="1:17">
      <c r="A423" s="374">
        <v>17</v>
      </c>
      <c r="B423" s="29" t="s">
        <v>618</v>
      </c>
      <c r="C423" s="390" t="s">
        <v>619</v>
      </c>
      <c r="D423" s="376">
        <f t="shared" si="17"/>
        <v>0.5</v>
      </c>
      <c r="E423" s="386" t="s">
        <v>324</v>
      </c>
      <c r="F423" s="395">
        <f>75000+75000*13.5%</f>
        <v>85125</v>
      </c>
      <c r="G423" s="394">
        <v>0.5</v>
      </c>
      <c r="H423" s="379">
        <f t="shared" si="18"/>
        <v>42562.5</v>
      </c>
      <c r="I423" s="394"/>
      <c r="J423" s="379">
        <f t="shared" si="19"/>
        <v>0</v>
      </c>
      <c r="K423" s="379"/>
      <c r="L423" s="379">
        <f t="shared" si="20"/>
        <v>0</v>
      </c>
      <c r="M423" s="379"/>
      <c r="N423" s="379">
        <f t="shared" si="21"/>
        <v>0</v>
      </c>
      <c r="O423" s="379"/>
      <c r="P423" s="379">
        <f t="shared" si="22"/>
        <v>0</v>
      </c>
      <c r="Q423" s="380">
        <f t="shared" si="23"/>
        <v>0.5</v>
      </c>
    </row>
    <row r="424" spans="1:17">
      <c r="A424" s="374">
        <v>18</v>
      </c>
      <c r="B424" s="29" t="s">
        <v>322</v>
      </c>
      <c r="C424" s="390" t="s">
        <v>620</v>
      </c>
      <c r="D424" s="376">
        <f t="shared" si="17"/>
        <v>0.8</v>
      </c>
      <c r="E424" s="386" t="s">
        <v>621</v>
      </c>
      <c r="F424" s="386">
        <f>8500*1.18</f>
        <v>10030</v>
      </c>
      <c r="G424" s="394">
        <v>0.8</v>
      </c>
      <c r="H424" s="379">
        <f t="shared" si="18"/>
        <v>8024</v>
      </c>
      <c r="I424" s="394"/>
      <c r="J424" s="379">
        <f t="shared" si="19"/>
        <v>0</v>
      </c>
      <c r="K424" s="379"/>
      <c r="L424" s="379">
        <f t="shared" si="20"/>
        <v>0</v>
      </c>
      <c r="M424" s="379"/>
      <c r="N424" s="379">
        <f t="shared" si="21"/>
        <v>0</v>
      </c>
      <c r="O424" s="379"/>
      <c r="P424" s="379">
        <f t="shared" si="22"/>
        <v>0</v>
      </c>
      <c r="Q424" s="380">
        <f t="shared" si="23"/>
        <v>0.8</v>
      </c>
    </row>
    <row r="425" spans="1:17">
      <c r="A425" s="374">
        <v>19</v>
      </c>
      <c r="B425" s="402" t="s">
        <v>622</v>
      </c>
      <c r="C425" s="390" t="s">
        <v>623</v>
      </c>
      <c r="D425" s="376">
        <f t="shared" si="17"/>
        <v>12</v>
      </c>
      <c r="E425" s="403" t="s">
        <v>9</v>
      </c>
      <c r="F425" s="397">
        <v>50</v>
      </c>
      <c r="G425" s="394"/>
      <c r="H425" s="379">
        <f t="shared" si="18"/>
        <v>0</v>
      </c>
      <c r="I425" s="394"/>
      <c r="J425" s="379">
        <f t="shared" si="19"/>
        <v>0</v>
      </c>
      <c r="K425" s="379"/>
      <c r="L425" s="379">
        <f t="shared" si="20"/>
        <v>0</v>
      </c>
      <c r="M425" s="379"/>
      <c r="N425" s="379">
        <f t="shared" si="21"/>
        <v>0</v>
      </c>
      <c r="O425" s="379">
        <v>12</v>
      </c>
      <c r="P425" s="379">
        <f t="shared" si="22"/>
        <v>600</v>
      </c>
      <c r="Q425" s="380">
        <f t="shared" si="23"/>
        <v>12</v>
      </c>
    </row>
    <row r="426" spans="1:17" ht="30">
      <c r="A426" s="374">
        <v>20</v>
      </c>
      <c r="B426" s="29" t="s">
        <v>141</v>
      </c>
      <c r="C426" s="376" t="s">
        <v>624</v>
      </c>
      <c r="D426" s="376">
        <f t="shared" si="17"/>
        <v>15</v>
      </c>
      <c r="E426" s="382" t="s">
        <v>9</v>
      </c>
      <c r="F426" s="383">
        <f>2893*1.18</f>
        <v>3413.74</v>
      </c>
      <c r="G426" s="398">
        <v>15</v>
      </c>
      <c r="H426" s="379">
        <f t="shared" si="18"/>
        <v>51206.1</v>
      </c>
      <c r="I426" s="385"/>
      <c r="J426" s="379">
        <f t="shared" si="19"/>
        <v>0</v>
      </c>
      <c r="K426" s="384"/>
      <c r="L426" s="379">
        <f t="shared" si="20"/>
        <v>0</v>
      </c>
      <c r="M426" s="384"/>
      <c r="N426" s="379">
        <f t="shared" si="21"/>
        <v>0</v>
      </c>
      <c r="O426" s="385"/>
      <c r="P426" s="379">
        <f t="shared" si="22"/>
        <v>0</v>
      </c>
      <c r="Q426" s="380">
        <f t="shared" si="23"/>
        <v>15</v>
      </c>
    </row>
    <row r="427" spans="1:17">
      <c r="A427" s="374">
        <v>21</v>
      </c>
      <c r="B427" s="29" t="s">
        <v>166</v>
      </c>
      <c r="C427" s="376" t="s">
        <v>625</v>
      </c>
      <c r="D427" s="376">
        <f t="shared" si="17"/>
        <v>10</v>
      </c>
      <c r="E427" s="397" t="s">
        <v>9</v>
      </c>
      <c r="F427" s="404">
        <v>200</v>
      </c>
      <c r="G427" s="394">
        <v>10</v>
      </c>
      <c r="H427" s="379">
        <f t="shared" si="18"/>
        <v>2000</v>
      </c>
      <c r="I427" s="394"/>
      <c r="J427" s="379">
        <f t="shared" si="19"/>
        <v>0</v>
      </c>
      <c r="K427" s="379"/>
      <c r="L427" s="379">
        <f t="shared" si="20"/>
        <v>0</v>
      </c>
      <c r="M427" s="379"/>
      <c r="N427" s="379">
        <f t="shared" si="21"/>
        <v>0</v>
      </c>
      <c r="O427" s="379"/>
      <c r="P427" s="379">
        <f t="shared" si="22"/>
        <v>0</v>
      </c>
      <c r="Q427" s="380">
        <f t="shared" si="23"/>
        <v>10</v>
      </c>
    </row>
    <row r="428" spans="1:17">
      <c r="A428" s="374">
        <v>22</v>
      </c>
      <c r="B428" s="29" t="s">
        <v>626</v>
      </c>
      <c r="C428" s="376" t="s">
        <v>627</v>
      </c>
      <c r="D428" s="376">
        <f t="shared" si="17"/>
        <v>2</v>
      </c>
      <c r="E428" s="394" t="s">
        <v>2</v>
      </c>
      <c r="F428" s="394">
        <v>2371.8000000000002</v>
      </c>
      <c r="G428" s="394">
        <v>2</v>
      </c>
      <c r="H428" s="379">
        <f t="shared" si="18"/>
        <v>4743.6000000000004</v>
      </c>
      <c r="I428" s="394"/>
      <c r="J428" s="379">
        <f t="shared" si="19"/>
        <v>0</v>
      </c>
      <c r="K428" s="379"/>
      <c r="L428" s="379">
        <f t="shared" si="20"/>
        <v>0</v>
      </c>
      <c r="M428" s="379"/>
      <c r="N428" s="379">
        <f t="shared" si="21"/>
        <v>0</v>
      </c>
      <c r="O428" s="379"/>
      <c r="P428" s="379">
        <f t="shared" si="22"/>
        <v>0</v>
      </c>
      <c r="Q428" s="380">
        <f t="shared" si="23"/>
        <v>2</v>
      </c>
    </row>
    <row r="429" spans="1:17">
      <c r="A429" s="374">
        <v>23</v>
      </c>
      <c r="B429" s="29" t="s">
        <v>628</v>
      </c>
      <c r="C429" s="376" t="s">
        <v>629</v>
      </c>
      <c r="D429" s="376">
        <f t="shared" si="17"/>
        <v>6</v>
      </c>
      <c r="E429" s="394" t="s">
        <v>599</v>
      </c>
      <c r="F429" s="394">
        <v>5702.94</v>
      </c>
      <c r="G429" s="394">
        <v>6</v>
      </c>
      <c r="H429" s="379">
        <f t="shared" si="18"/>
        <v>34217.64</v>
      </c>
      <c r="I429" s="394"/>
      <c r="J429" s="379">
        <f t="shared" si="19"/>
        <v>0</v>
      </c>
      <c r="K429" s="379"/>
      <c r="L429" s="379">
        <f t="shared" si="20"/>
        <v>0</v>
      </c>
      <c r="M429" s="379"/>
      <c r="N429" s="379">
        <f t="shared" si="21"/>
        <v>0</v>
      </c>
      <c r="O429" s="379"/>
      <c r="P429" s="379">
        <f t="shared" si="22"/>
        <v>0</v>
      </c>
      <c r="Q429" s="380">
        <f t="shared" si="23"/>
        <v>6</v>
      </c>
    </row>
    <row r="430" spans="1:17">
      <c r="A430" s="374">
        <v>24</v>
      </c>
      <c r="B430" s="29" t="s">
        <v>165</v>
      </c>
      <c r="C430" s="376" t="s">
        <v>630</v>
      </c>
      <c r="D430" s="376">
        <f t="shared" si="17"/>
        <v>15</v>
      </c>
      <c r="E430" s="386" t="s">
        <v>599</v>
      </c>
      <c r="F430" s="405">
        <v>50</v>
      </c>
      <c r="G430" s="394"/>
      <c r="H430" s="379">
        <f t="shared" si="18"/>
        <v>0</v>
      </c>
      <c r="I430" s="394"/>
      <c r="J430" s="379">
        <f t="shared" si="19"/>
        <v>0</v>
      </c>
      <c r="K430" s="379"/>
      <c r="L430" s="379">
        <f t="shared" si="20"/>
        <v>0</v>
      </c>
      <c r="M430" s="379"/>
      <c r="N430" s="379">
        <f t="shared" si="21"/>
        <v>0</v>
      </c>
      <c r="O430" s="379">
        <v>15</v>
      </c>
      <c r="P430" s="379">
        <f t="shared" si="22"/>
        <v>750</v>
      </c>
      <c r="Q430" s="380">
        <f t="shared" si="23"/>
        <v>15</v>
      </c>
    </row>
    <row r="431" spans="1:17">
      <c r="A431" s="374">
        <v>25</v>
      </c>
      <c r="B431" s="29" t="s">
        <v>292</v>
      </c>
      <c r="C431" s="376" t="s">
        <v>631</v>
      </c>
      <c r="D431" s="376">
        <f t="shared" si="17"/>
        <v>27</v>
      </c>
      <c r="E431" s="386" t="s">
        <v>599</v>
      </c>
      <c r="F431" s="405">
        <v>50</v>
      </c>
      <c r="G431" s="394"/>
      <c r="H431" s="379">
        <f t="shared" si="18"/>
        <v>0</v>
      </c>
      <c r="I431" s="394"/>
      <c r="J431" s="379">
        <f t="shared" si="19"/>
        <v>0</v>
      </c>
      <c r="K431" s="379"/>
      <c r="L431" s="379">
        <f t="shared" si="20"/>
        <v>0</v>
      </c>
      <c r="M431" s="379"/>
      <c r="N431" s="379">
        <f t="shared" si="21"/>
        <v>0</v>
      </c>
      <c r="O431" s="379">
        <v>27</v>
      </c>
      <c r="P431" s="379">
        <f t="shared" si="22"/>
        <v>1350</v>
      </c>
      <c r="Q431" s="380">
        <f t="shared" si="23"/>
        <v>27</v>
      </c>
    </row>
    <row r="432" spans="1:17">
      <c r="A432" s="374">
        <v>26</v>
      </c>
      <c r="B432" s="29" t="s">
        <v>290</v>
      </c>
      <c r="C432" s="376" t="s">
        <v>632</v>
      </c>
      <c r="D432" s="376">
        <f t="shared" si="17"/>
        <v>3</v>
      </c>
      <c r="E432" s="386" t="s">
        <v>599</v>
      </c>
      <c r="F432" s="405">
        <v>50</v>
      </c>
      <c r="G432" s="394"/>
      <c r="H432" s="379">
        <f t="shared" si="18"/>
        <v>0</v>
      </c>
      <c r="I432" s="394"/>
      <c r="J432" s="379">
        <f t="shared" si="19"/>
        <v>0</v>
      </c>
      <c r="K432" s="379"/>
      <c r="L432" s="379">
        <f t="shared" si="20"/>
        <v>0</v>
      </c>
      <c r="M432" s="379"/>
      <c r="N432" s="379">
        <f t="shared" si="21"/>
        <v>0</v>
      </c>
      <c r="O432" s="379">
        <v>3</v>
      </c>
      <c r="P432" s="379">
        <f t="shared" si="22"/>
        <v>150</v>
      </c>
      <c r="Q432" s="380">
        <f t="shared" si="23"/>
        <v>3</v>
      </c>
    </row>
    <row r="433" spans="1:17">
      <c r="A433" s="374">
        <v>27</v>
      </c>
      <c r="B433" s="29" t="s">
        <v>331</v>
      </c>
      <c r="C433" s="376" t="s">
        <v>633</v>
      </c>
      <c r="D433" s="376">
        <f t="shared" si="17"/>
        <v>10</v>
      </c>
      <c r="E433" s="406" t="s">
        <v>599</v>
      </c>
      <c r="F433" s="407">
        <f>2395*1.18</f>
        <v>2826.1</v>
      </c>
      <c r="G433" s="391">
        <v>10</v>
      </c>
      <c r="H433" s="379">
        <f t="shared" si="18"/>
        <v>28261</v>
      </c>
      <c r="I433" s="394"/>
      <c r="J433" s="379">
        <f t="shared" si="19"/>
        <v>0</v>
      </c>
      <c r="K433" s="379"/>
      <c r="L433" s="379">
        <f t="shared" si="20"/>
        <v>0</v>
      </c>
      <c r="M433" s="379"/>
      <c r="N433" s="379">
        <f t="shared" si="21"/>
        <v>0</v>
      </c>
      <c r="O433" s="379"/>
      <c r="P433" s="379">
        <f t="shared" si="22"/>
        <v>0</v>
      </c>
      <c r="Q433" s="380">
        <f t="shared" si="23"/>
        <v>10</v>
      </c>
    </row>
    <row r="434" spans="1:17">
      <c r="A434" s="374">
        <v>28</v>
      </c>
      <c r="B434" s="29" t="s">
        <v>303</v>
      </c>
      <c r="C434" s="376" t="s">
        <v>634</v>
      </c>
      <c r="D434" s="376">
        <f t="shared" si="17"/>
        <v>3</v>
      </c>
      <c r="E434" s="406" t="s">
        <v>599</v>
      </c>
      <c r="F434" s="407">
        <f>1795*1.18</f>
        <v>2118.1</v>
      </c>
      <c r="G434" s="391">
        <v>3</v>
      </c>
      <c r="H434" s="379">
        <f t="shared" si="18"/>
        <v>6354.2999999999993</v>
      </c>
      <c r="I434" s="394"/>
      <c r="J434" s="379">
        <f t="shared" si="19"/>
        <v>0</v>
      </c>
      <c r="K434" s="379"/>
      <c r="L434" s="379">
        <f t="shared" si="20"/>
        <v>0</v>
      </c>
      <c r="M434" s="379"/>
      <c r="N434" s="379">
        <f t="shared" si="21"/>
        <v>0</v>
      </c>
      <c r="O434" s="379"/>
      <c r="P434" s="379">
        <f t="shared" si="22"/>
        <v>0</v>
      </c>
      <c r="Q434" s="380">
        <f t="shared" si="23"/>
        <v>3</v>
      </c>
    </row>
    <row r="435" spans="1:17">
      <c r="A435" s="374">
        <v>29</v>
      </c>
      <c r="B435" s="29" t="s">
        <v>635</v>
      </c>
      <c r="C435" s="376" t="s">
        <v>636</v>
      </c>
      <c r="D435" s="376">
        <f t="shared" si="17"/>
        <v>10</v>
      </c>
      <c r="E435" s="406" t="s">
        <v>599</v>
      </c>
      <c r="F435" s="407">
        <f>1695*1.18</f>
        <v>2000.1</v>
      </c>
      <c r="G435" s="391">
        <v>10</v>
      </c>
      <c r="H435" s="379">
        <f t="shared" si="18"/>
        <v>20001</v>
      </c>
      <c r="I435" s="394"/>
      <c r="J435" s="379">
        <f t="shared" si="19"/>
        <v>0</v>
      </c>
      <c r="K435" s="379"/>
      <c r="L435" s="379">
        <f t="shared" si="20"/>
        <v>0</v>
      </c>
      <c r="M435" s="379"/>
      <c r="N435" s="379">
        <f t="shared" si="21"/>
        <v>0</v>
      </c>
      <c r="O435" s="379"/>
      <c r="P435" s="379">
        <f t="shared" si="22"/>
        <v>0</v>
      </c>
      <c r="Q435" s="380">
        <f t="shared" si="23"/>
        <v>10</v>
      </c>
    </row>
    <row r="436" spans="1:17">
      <c r="A436" s="374">
        <v>30</v>
      </c>
      <c r="B436" s="29" t="s">
        <v>637</v>
      </c>
      <c r="C436" s="376" t="s">
        <v>638</v>
      </c>
      <c r="D436" s="376">
        <f t="shared" si="17"/>
        <v>10</v>
      </c>
      <c r="E436" s="382" t="s">
        <v>9</v>
      </c>
      <c r="F436" s="8">
        <f>1498*1.18*1.1</f>
        <v>1944.404</v>
      </c>
      <c r="G436" s="398">
        <v>10</v>
      </c>
      <c r="H436" s="379">
        <f t="shared" si="18"/>
        <v>19444.04</v>
      </c>
      <c r="I436" s="385"/>
      <c r="J436" s="379">
        <f t="shared" si="19"/>
        <v>0</v>
      </c>
      <c r="K436" s="384"/>
      <c r="L436" s="379">
        <f t="shared" si="20"/>
        <v>0</v>
      </c>
      <c r="M436" s="384"/>
      <c r="N436" s="379">
        <f t="shared" si="21"/>
        <v>0</v>
      </c>
      <c r="O436" s="385"/>
      <c r="P436" s="379">
        <f t="shared" si="22"/>
        <v>0</v>
      </c>
      <c r="Q436" s="380">
        <f t="shared" si="23"/>
        <v>10</v>
      </c>
    </row>
    <row r="437" spans="1:17">
      <c r="A437" s="374">
        <v>31</v>
      </c>
      <c r="B437" s="402" t="s">
        <v>639</v>
      </c>
      <c r="C437" s="390" t="s">
        <v>640</v>
      </c>
      <c r="D437" s="376">
        <f t="shared" si="17"/>
        <v>6</v>
      </c>
      <c r="E437" s="397" t="s">
        <v>9</v>
      </c>
      <c r="F437" s="397">
        <v>556.15</v>
      </c>
      <c r="G437" s="394"/>
      <c r="H437" s="379">
        <f t="shared" si="18"/>
        <v>0</v>
      </c>
      <c r="I437" s="394"/>
      <c r="J437" s="379">
        <f t="shared" si="19"/>
        <v>0</v>
      </c>
      <c r="K437" s="379"/>
      <c r="L437" s="379">
        <f t="shared" si="20"/>
        <v>0</v>
      </c>
      <c r="M437" s="379"/>
      <c r="N437" s="379">
        <f t="shared" si="21"/>
        <v>0</v>
      </c>
      <c r="O437" s="379">
        <v>6</v>
      </c>
      <c r="P437" s="379">
        <f t="shared" si="22"/>
        <v>3336.8999999999996</v>
      </c>
      <c r="Q437" s="380">
        <f t="shared" si="23"/>
        <v>6</v>
      </c>
    </row>
    <row r="438" spans="1:17">
      <c r="A438" s="374">
        <v>32</v>
      </c>
      <c r="B438" s="29" t="s">
        <v>641</v>
      </c>
      <c r="C438" s="376" t="s">
        <v>642</v>
      </c>
      <c r="D438" s="376">
        <f t="shared" si="17"/>
        <v>4</v>
      </c>
      <c r="E438" s="406" t="s">
        <v>599</v>
      </c>
      <c r="F438" s="407">
        <f>1695*1.18</f>
        <v>2000.1</v>
      </c>
      <c r="G438" s="391">
        <v>4</v>
      </c>
      <c r="H438" s="379">
        <f t="shared" si="18"/>
        <v>8000.4</v>
      </c>
      <c r="I438" s="379"/>
      <c r="J438" s="379">
        <f t="shared" si="19"/>
        <v>0</v>
      </c>
      <c r="K438" s="379"/>
      <c r="L438" s="379">
        <f t="shared" si="20"/>
        <v>0</v>
      </c>
      <c r="M438" s="379"/>
      <c r="N438" s="379">
        <f t="shared" si="21"/>
        <v>0</v>
      </c>
      <c r="O438" s="379"/>
      <c r="P438" s="379">
        <f t="shared" si="22"/>
        <v>0</v>
      </c>
      <c r="Q438" s="380">
        <f t="shared" si="23"/>
        <v>4</v>
      </c>
    </row>
    <row r="439" spans="1:17" ht="30">
      <c r="A439" s="374">
        <v>33</v>
      </c>
      <c r="B439" s="29" t="s">
        <v>643</v>
      </c>
      <c r="C439" s="376" t="s">
        <v>644</v>
      </c>
      <c r="D439" s="376">
        <f t="shared" si="17"/>
        <v>18</v>
      </c>
      <c r="E439" s="386" t="s">
        <v>599</v>
      </c>
      <c r="F439" s="405">
        <v>50</v>
      </c>
      <c r="G439" s="394"/>
      <c r="H439" s="379">
        <f t="shared" si="18"/>
        <v>0</v>
      </c>
      <c r="I439" s="394"/>
      <c r="J439" s="379">
        <f t="shared" si="19"/>
        <v>0</v>
      </c>
      <c r="K439" s="379"/>
      <c r="L439" s="379">
        <f t="shared" si="20"/>
        <v>0</v>
      </c>
      <c r="M439" s="379"/>
      <c r="N439" s="379">
        <f t="shared" si="21"/>
        <v>0</v>
      </c>
      <c r="O439" s="379">
        <v>18</v>
      </c>
      <c r="P439" s="379">
        <f t="shared" si="22"/>
        <v>900</v>
      </c>
      <c r="Q439" s="380">
        <f t="shared" si="23"/>
        <v>18</v>
      </c>
    </row>
    <row r="440" spans="1:17">
      <c r="A440" s="374">
        <v>34</v>
      </c>
      <c r="B440" s="29" t="s">
        <v>645</v>
      </c>
      <c r="C440" s="376" t="s">
        <v>646</v>
      </c>
      <c r="D440" s="376">
        <f t="shared" si="17"/>
        <v>13</v>
      </c>
      <c r="E440" s="386" t="s">
        <v>599</v>
      </c>
      <c r="F440" s="405">
        <v>25</v>
      </c>
      <c r="G440" s="394"/>
      <c r="H440" s="379">
        <f t="shared" si="18"/>
        <v>0</v>
      </c>
      <c r="I440" s="394"/>
      <c r="J440" s="379">
        <f t="shared" si="19"/>
        <v>0</v>
      </c>
      <c r="K440" s="379"/>
      <c r="L440" s="379">
        <f t="shared" si="20"/>
        <v>0</v>
      </c>
      <c r="M440" s="379"/>
      <c r="N440" s="379">
        <f t="shared" si="21"/>
        <v>0</v>
      </c>
      <c r="O440" s="379">
        <v>13</v>
      </c>
      <c r="P440" s="379">
        <f t="shared" si="22"/>
        <v>325</v>
      </c>
      <c r="Q440" s="380">
        <f t="shared" si="23"/>
        <v>13</v>
      </c>
    </row>
    <row r="441" spans="1:17">
      <c r="A441" s="374">
        <v>35</v>
      </c>
      <c r="B441" s="29" t="s">
        <v>647</v>
      </c>
      <c r="C441" s="376" t="s">
        <v>648</v>
      </c>
      <c r="D441" s="376">
        <f t="shared" si="17"/>
        <v>2</v>
      </c>
      <c r="E441" s="377" t="s">
        <v>599</v>
      </c>
      <c r="F441" s="405">
        <v>500</v>
      </c>
      <c r="G441" s="408"/>
      <c r="H441" s="379">
        <f t="shared" si="18"/>
        <v>0</v>
      </c>
      <c r="I441" s="408"/>
      <c r="J441" s="379">
        <f t="shared" si="19"/>
        <v>0</v>
      </c>
      <c r="K441" s="379"/>
      <c r="L441" s="379">
        <f t="shared" si="20"/>
        <v>0</v>
      </c>
      <c r="M441" s="379"/>
      <c r="N441" s="379">
        <f t="shared" si="21"/>
        <v>0</v>
      </c>
      <c r="O441" s="379">
        <v>2</v>
      </c>
      <c r="P441" s="379">
        <f t="shared" si="22"/>
        <v>1000</v>
      </c>
      <c r="Q441" s="380">
        <f t="shared" si="23"/>
        <v>2</v>
      </c>
    </row>
    <row r="442" spans="1:17">
      <c r="A442" s="374">
        <v>36</v>
      </c>
      <c r="B442" s="29" t="s">
        <v>649</v>
      </c>
      <c r="C442" s="376" t="s">
        <v>650</v>
      </c>
      <c r="D442" s="376">
        <f t="shared" si="17"/>
        <v>1</v>
      </c>
      <c r="E442" s="35" t="s">
        <v>13</v>
      </c>
      <c r="F442" s="8">
        <v>37643</v>
      </c>
      <c r="G442" s="408">
        <v>1</v>
      </c>
      <c r="H442" s="379">
        <f t="shared" si="18"/>
        <v>37643</v>
      </c>
      <c r="I442" s="408"/>
      <c r="J442" s="379">
        <f t="shared" si="19"/>
        <v>0</v>
      </c>
      <c r="K442" s="379"/>
      <c r="L442" s="379">
        <f t="shared" si="20"/>
        <v>0</v>
      </c>
      <c r="M442" s="379"/>
      <c r="N442" s="379">
        <f t="shared" si="21"/>
        <v>0</v>
      </c>
      <c r="O442" s="379"/>
      <c r="P442" s="379">
        <f t="shared" si="22"/>
        <v>0</v>
      </c>
      <c r="Q442" s="380">
        <f t="shared" si="23"/>
        <v>1</v>
      </c>
    </row>
    <row r="443" spans="1:17">
      <c r="A443" s="374">
        <v>37</v>
      </c>
      <c r="B443" s="29" t="s">
        <v>649</v>
      </c>
      <c r="C443" s="376" t="s">
        <v>651</v>
      </c>
      <c r="D443" s="376">
        <f t="shared" si="17"/>
        <v>1</v>
      </c>
      <c r="E443" s="35" t="s">
        <v>13</v>
      </c>
      <c r="F443" s="8">
        <v>500</v>
      </c>
      <c r="G443" s="29"/>
      <c r="H443" s="379">
        <f t="shared" si="18"/>
        <v>0</v>
      </c>
      <c r="I443" s="408"/>
      <c r="J443" s="379">
        <f t="shared" si="19"/>
        <v>0</v>
      </c>
      <c r="K443" s="379"/>
      <c r="L443" s="379">
        <f t="shared" si="20"/>
        <v>0</v>
      </c>
      <c r="M443" s="379"/>
      <c r="N443" s="379">
        <f t="shared" si="21"/>
        <v>0</v>
      </c>
      <c r="O443" s="379">
        <v>1</v>
      </c>
      <c r="P443" s="379">
        <f t="shared" si="22"/>
        <v>500</v>
      </c>
      <c r="Q443" s="380">
        <f t="shared" si="23"/>
        <v>1</v>
      </c>
    </row>
    <row r="444" spans="1:17">
      <c r="A444" s="374">
        <v>38</v>
      </c>
      <c r="B444" s="29" t="s">
        <v>652</v>
      </c>
      <c r="C444" s="376" t="s">
        <v>653</v>
      </c>
      <c r="D444" s="376">
        <f t="shared" si="17"/>
        <v>2</v>
      </c>
      <c r="E444" s="397" t="s">
        <v>654</v>
      </c>
      <c r="F444" s="397">
        <v>9074</v>
      </c>
      <c r="G444" s="394">
        <v>2</v>
      </c>
      <c r="H444" s="379">
        <f t="shared" si="18"/>
        <v>18148</v>
      </c>
      <c r="I444" s="394"/>
      <c r="J444" s="379">
        <f t="shared" si="19"/>
        <v>0</v>
      </c>
      <c r="K444" s="379"/>
      <c r="L444" s="379">
        <f t="shared" si="20"/>
        <v>0</v>
      </c>
      <c r="M444" s="379"/>
      <c r="N444" s="379">
        <f t="shared" si="21"/>
        <v>0</v>
      </c>
      <c r="O444" s="379"/>
      <c r="P444" s="379">
        <f t="shared" si="22"/>
        <v>0</v>
      </c>
      <c r="Q444" s="380">
        <f t="shared" si="23"/>
        <v>2</v>
      </c>
    </row>
    <row r="445" spans="1:17">
      <c r="A445" s="374">
        <v>39</v>
      </c>
      <c r="B445" s="29" t="s">
        <v>360</v>
      </c>
      <c r="C445" s="376" t="s">
        <v>655</v>
      </c>
      <c r="D445" s="376">
        <f t="shared" si="17"/>
        <v>2</v>
      </c>
      <c r="E445" s="397" t="s">
        <v>9</v>
      </c>
      <c r="F445" s="397">
        <v>9074</v>
      </c>
      <c r="G445" s="394">
        <v>2</v>
      </c>
      <c r="H445" s="379">
        <f t="shared" si="18"/>
        <v>18148</v>
      </c>
      <c r="I445" s="394"/>
      <c r="J445" s="379">
        <f t="shared" si="19"/>
        <v>0</v>
      </c>
      <c r="K445" s="379"/>
      <c r="L445" s="379">
        <f t="shared" si="20"/>
        <v>0</v>
      </c>
      <c r="M445" s="379"/>
      <c r="N445" s="379">
        <f t="shared" si="21"/>
        <v>0</v>
      </c>
      <c r="O445" s="379"/>
      <c r="P445" s="379">
        <f t="shared" si="22"/>
        <v>0</v>
      </c>
      <c r="Q445" s="380">
        <f t="shared" si="23"/>
        <v>2</v>
      </c>
    </row>
    <row r="446" spans="1:17">
      <c r="A446" s="374">
        <v>40</v>
      </c>
      <c r="B446" s="29" t="s">
        <v>360</v>
      </c>
      <c r="C446" s="376" t="s">
        <v>656</v>
      </c>
      <c r="D446" s="376">
        <f t="shared" si="17"/>
        <v>2</v>
      </c>
      <c r="E446" s="386" t="s">
        <v>599</v>
      </c>
      <c r="F446" s="397">
        <v>4416.6000000000004</v>
      </c>
      <c r="G446" s="394">
        <v>2</v>
      </c>
      <c r="H446" s="379">
        <f t="shared" si="18"/>
        <v>8833.2000000000007</v>
      </c>
      <c r="I446" s="394"/>
      <c r="J446" s="379">
        <f t="shared" si="19"/>
        <v>0</v>
      </c>
      <c r="K446" s="379"/>
      <c r="L446" s="379">
        <f t="shared" si="20"/>
        <v>0</v>
      </c>
      <c r="M446" s="379"/>
      <c r="N446" s="379">
        <f t="shared" si="21"/>
        <v>0</v>
      </c>
      <c r="O446" s="379"/>
      <c r="P446" s="379">
        <f t="shared" si="22"/>
        <v>0</v>
      </c>
      <c r="Q446" s="380">
        <f t="shared" si="23"/>
        <v>2</v>
      </c>
    </row>
    <row r="447" spans="1:17">
      <c r="A447" s="374">
        <v>41</v>
      </c>
      <c r="B447" s="29" t="s">
        <v>652</v>
      </c>
      <c r="C447" s="376" t="s">
        <v>657</v>
      </c>
      <c r="D447" s="376">
        <f t="shared" si="17"/>
        <v>2</v>
      </c>
      <c r="E447" s="386" t="s">
        <v>599</v>
      </c>
      <c r="F447" s="397">
        <v>4416.6000000000004</v>
      </c>
      <c r="G447" s="394">
        <v>2</v>
      </c>
      <c r="H447" s="379">
        <f t="shared" si="18"/>
        <v>8833.2000000000007</v>
      </c>
      <c r="I447" s="394"/>
      <c r="J447" s="379">
        <f t="shared" si="19"/>
        <v>0</v>
      </c>
      <c r="K447" s="379"/>
      <c r="L447" s="379">
        <f t="shared" si="20"/>
        <v>0</v>
      </c>
      <c r="M447" s="379"/>
      <c r="N447" s="379">
        <f t="shared" si="21"/>
        <v>0</v>
      </c>
      <c r="O447" s="379"/>
      <c r="P447" s="379">
        <f t="shared" si="22"/>
        <v>0</v>
      </c>
      <c r="Q447" s="380">
        <f t="shared" si="23"/>
        <v>2</v>
      </c>
    </row>
    <row r="448" spans="1:17">
      <c r="A448" s="374">
        <v>42</v>
      </c>
      <c r="B448" s="29" t="s">
        <v>360</v>
      </c>
      <c r="C448" s="376" t="s">
        <v>658</v>
      </c>
      <c r="D448" s="376">
        <f t="shared" si="17"/>
        <v>2</v>
      </c>
      <c r="E448" s="386" t="s">
        <v>599</v>
      </c>
      <c r="F448" s="397">
        <v>4416.6000000000004</v>
      </c>
      <c r="G448" s="394">
        <v>2</v>
      </c>
      <c r="H448" s="379">
        <f t="shared" si="18"/>
        <v>8833.2000000000007</v>
      </c>
      <c r="I448" s="394"/>
      <c r="J448" s="379">
        <f t="shared" si="19"/>
        <v>0</v>
      </c>
      <c r="K448" s="379"/>
      <c r="L448" s="379">
        <f t="shared" si="20"/>
        <v>0</v>
      </c>
      <c r="M448" s="379"/>
      <c r="N448" s="379">
        <f t="shared" si="21"/>
        <v>0</v>
      </c>
      <c r="O448" s="379"/>
      <c r="P448" s="379">
        <f t="shared" si="22"/>
        <v>0</v>
      </c>
      <c r="Q448" s="380">
        <f t="shared" si="23"/>
        <v>2</v>
      </c>
    </row>
    <row r="449" spans="1:17">
      <c r="A449" s="374">
        <v>43</v>
      </c>
      <c r="B449" s="29" t="s">
        <v>652</v>
      </c>
      <c r="C449" s="376" t="s">
        <v>659</v>
      </c>
      <c r="D449" s="376">
        <f t="shared" si="17"/>
        <v>2</v>
      </c>
      <c r="E449" s="386" t="s">
        <v>599</v>
      </c>
      <c r="F449" s="397">
        <v>4416.6000000000004</v>
      </c>
      <c r="G449" s="394">
        <v>2</v>
      </c>
      <c r="H449" s="379">
        <f t="shared" si="18"/>
        <v>8833.2000000000007</v>
      </c>
      <c r="I449" s="394"/>
      <c r="J449" s="379">
        <f t="shared" si="19"/>
        <v>0</v>
      </c>
      <c r="K449" s="379"/>
      <c r="L449" s="379">
        <f t="shared" si="20"/>
        <v>0</v>
      </c>
      <c r="M449" s="379"/>
      <c r="N449" s="379">
        <f t="shared" si="21"/>
        <v>0</v>
      </c>
      <c r="O449" s="379"/>
      <c r="P449" s="379">
        <f t="shared" si="22"/>
        <v>0</v>
      </c>
      <c r="Q449" s="380">
        <f t="shared" si="23"/>
        <v>2</v>
      </c>
    </row>
    <row r="450" spans="1:17">
      <c r="A450" s="374">
        <v>44</v>
      </c>
      <c r="B450" s="29" t="s">
        <v>308</v>
      </c>
      <c r="C450" s="376" t="s">
        <v>660</v>
      </c>
      <c r="D450" s="376">
        <f t="shared" si="17"/>
        <v>2</v>
      </c>
      <c r="E450" s="386" t="s">
        <v>599</v>
      </c>
      <c r="F450" s="397">
        <v>3927</v>
      </c>
      <c r="G450" s="394">
        <v>2</v>
      </c>
      <c r="H450" s="379">
        <f t="shared" si="18"/>
        <v>7854</v>
      </c>
      <c r="I450" s="394"/>
      <c r="J450" s="379">
        <f t="shared" si="19"/>
        <v>0</v>
      </c>
      <c r="K450" s="379"/>
      <c r="L450" s="379">
        <f t="shared" si="20"/>
        <v>0</v>
      </c>
      <c r="M450" s="379"/>
      <c r="N450" s="379">
        <f t="shared" si="21"/>
        <v>0</v>
      </c>
      <c r="O450" s="379"/>
      <c r="P450" s="379">
        <f t="shared" si="22"/>
        <v>0</v>
      </c>
      <c r="Q450" s="380">
        <f t="shared" si="23"/>
        <v>2</v>
      </c>
    </row>
    <row r="451" spans="1:17">
      <c r="A451" s="374">
        <v>45</v>
      </c>
      <c r="B451" s="29" t="s">
        <v>661</v>
      </c>
      <c r="C451" s="376" t="s">
        <v>662</v>
      </c>
      <c r="D451" s="376">
        <f t="shared" si="17"/>
        <v>1</v>
      </c>
      <c r="E451" s="386" t="s">
        <v>599</v>
      </c>
      <c r="F451" s="397">
        <v>1938</v>
      </c>
      <c r="G451" s="394">
        <v>1</v>
      </c>
      <c r="H451" s="379">
        <f t="shared" si="18"/>
        <v>1938</v>
      </c>
      <c r="I451" s="394"/>
      <c r="J451" s="379">
        <f t="shared" si="19"/>
        <v>0</v>
      </c>
      <c r="K451" s="379"/>
      <c r="L451" s="379">
        <f t="shared" si="20"/>
        <v>0</v>
      </c>
      <c r="M451" s="379"/>
      <c r="N451" s="379">
        <f t="shared" si="21"/>
        <v>0</v>
      </c>
      <c r="O451" s="379"/>
      <c r="P451" s="379">
        <f t="shared" si="22"/>
        <v>0</v>
      </c>
      <c r="Q451" s="380">
        <f t="shared" si="23"/>
        <v>1</v>
      </c>
    </row>
    <row r="452" spans="1:17">
      <c r="A452" s="374">
        <v>46</v>
      </c>
      <c r="B452" s="29" t="s">
        <v>663</v>
      </c>
      <c r="C452" s="376" t="s">
        <v>664</v>
      </c>
      <c r="D452" s="376">
        <f t="shared" si="17"/>
        <v>3</v>
      </c>
      <c r="E452" s="397" t="s">
        <v>552</v>
      </c>
      <c r="F452" s="409">
        <v>3905.8</v>
      </c>
      <c r="G452" s="410">
        <v>3</v>
      </c>
      <c r="H452" s="379">
        <f t="shared" si="18"/>
        <v>11717.400000000001</v>
      </c>
      <c r="I452" s="410"/>
      <c r="J452" s="379">
        <f t="shared" si="19"/>
        <v>0</v>
      </c>
      <c r="K452" s="379"/>
      <c r="L452" s="379">
        <f t="shared" si="20"/>
        <v>0</v>
      </c>
      <c r="M452" s="379"/>
      <c r="N452" s="379">
        <f t="shared" si="21"/>
        <v>0</v>
      </c>
      <c r="O452" s="379"/>
      <c r="P452" s="379">
        <f t="shared" si="22"/>
        <v>0</v>
      </c>
      <c r="Q452" s="380">
        <f t="shared" si="23"/>
        <v>3</v>
      </c>
    </row>
    <row r="453" spans="1:17">
      <c r="A453" s="374">
        <v>47</v>
      </c>
      <c r="B453" s="29" t="s">
        <v>202</v>
      </c>
      <c r="C453" s="376" t="s">
        <v>665</v>
      </c>
      <c r="D453" s="376">
        <f t="shared" si="17"/>
        <v>7</v>
      </c>
      <c r="E453" s="386" t="s">
        <v>599</v>
      </c>
      <c r="F453" s="386">
        <v>5000</v>
      </c>
      <c r="G453" s="394"/>
      <c r="H453" s="379">
        <f t="shared" si="18"/>
        <v>0</v>
      </c>
      <c r="I453" s="394"/>
      <c r="J453" s="379">
        <f t="shared" si="19"/>
        <v>0</v>
      </c>
      <c r="K453" s="379"/>
      <c r="L453" s="379">
        <f t="shared" si="20"/>
        <v>0</v>
      </c>
      <c r="M453" s="379"/>
      <c r="N453" s="379">
        <f t="shared" si="21"/>
        <v>0</v>
      </c>
      <c r="O453" s="379">
        <v>7</v>
      </c>
      <c r="P453" s="379">
        <f t="shared" si="22"/>
        <v>35000</v>
      </c>
      <c r="Q453" s="380">
        <f t="shared" si="23"/>
        <v>7</v>
      </c>
    </row>
    <row r="454" spans="1:17">
      <c r="A454" s="374">
        <v>48</v>
      </c>
      <c r="B454" s="384" t="s">
        <v>315</v>
      </c>
      <c r="C454" s="376" t="s">
        <v>666</v>
      </c>
      <c r="D454" s="376">
        <f t="shared" si="17"/>
        <v>3</v>
      </c>
      <c r="E454" s="377" t="s">
        <v>599</v>
      </c>
      <c r="F454" s="411">
        <v>5000</v>
      </c>
      <c r="G454" s="379">
        <v>3</v>
      </c>
      <c r="H454" s="379">
        <f t="shared" si="18"/>
        <v>15000</v>
      </c>
      <c r="I454" s="379"/>
      <c r="J454" s="379">
        <f t="shared" si="19"/>
        <v>0</v>
      </c>
      <c r="K454" s="379"/>
      <c r="L454" s="379">
        <f t="shared" si="20"/>
        <v>0</v>
      </c>
      <c r="M454" s="379"/>
      <c r="N454" s="379">
        <f t="shared" si="21"/>
        <v>0</v>
      </c>
      <c r="O454" s="379"/>
      <c r="P454" s="379">
        <f t="shared" si="22"/>
        <v>0</v>
      </c>
      <c r="Q454" s="380">
        <f t="shared" si="23"/>
        <v>3</v>
      </c>
    </row>
    <row r="455" spans="1:17">
      <c r="A455" s="374">
        <v>49</v>
      </c>
      <c r="B455" s="29" t="s">
        <v>315</v>
      </c>
      <c r="C455" s="376" t="s">
        <v>667</v>
      </c>
      <c r="D455" s="376">
        <f t="shared" si="17"/>
        <v>3</v>
      </c>
      <c r="E455" s="377" t="s">
        <v>599</v>
      </c>
      <c r="F455" s="412">
        <v>100</v>
      </c>
      <c r="G455" s="379"/>
      <c r="H455" s="379">
        <f t="shared" si="18"/>
        <v>0</v>
      </c>
      <c r="I455" s="394"/>
      <c r="J455" s="379">
        <f t="shared" si="19"/>
        <v>0</v>
      </c>
      <c r="K455" s="379"/>
      <c r="L455" s="379">
        <f t="shared" si="20"/>
        <v>0</v>
      </c>
      <c r="M455" s="379"/>
      <c r="N455" s="379">
        <f t="shared" si="21"/>
        <v>0</v>
      </c>
      <c r="O455" s="379">
        <v>3</v>
      </c>
      <c r="P455" s="379">
        <f t="shared" si="22"/>
        <v>300</v>
      </c>
      <c r="Q455" s="380">
        <f t="shared" si="23"/>
        <v>3</v>
      </c>
    </row>
    <row r="456" spans="1:17">
      <c r="A456" s="374">
        <v>50</v>
      </c>
      <c r="B456" s="29" t="s">
        <v>668</v>
      </c>
      <c r="C456" s="390" t="s">
        <v>669</v>
      </c>
      <c r="D456" s="376">
        <f t="shared" si="17"/>
        <v>3</v>
      </c>
      <c r="E456" s="412" t="s">
        <v>599</v>
      </c>
      <c r="F456" s="412">
        <v>100</v>
      </c>
      <c r="G456" s="379"/>
      <c r="H456" s="379">
        <f t="shared" si="18"/>
        <v>0</v>
      </c>
      <c r="I456" s="394"/>
      <c r="J456" s="379">
        <f t="shared" si="19"/>
        <v>0</v>
      </c>
      <c r="K456" s="379"/>
      <c r="L456" s="379">
        <f t="shared" si="20"/>
        <v>0</v>
      </c>
      <c r="M456" s="379"/>
      <c r="N456" s="379">
        <f t="shared" si="21"/>
        <v>0</v>
      </c>
      <c r="O456" s="379">
        <v>3</v>
      </c>
      <c r="P456" s="379">
        <f t="shared" si="22"/>
        <v>300</v>
      </c>
      <c r="Q456" s="380">
        <f t="shared" si="23"/>
        <v>3</v>
      </c>
    </row>
    <row r="457" spans="1:17">
      <c r="A457" s="374">
        <v>51</v>
      </c>
      <c r="B457" s="29" t="s">
        <v>670</v>
      </c>
      <c r="C457" s="376" t="s">
        <v>671</v>
      </c>
      <c r="D457" s="376">
        <f t="shared" si="17"/>
        <v>10</v>
      </c>
      <c r="E457" s="386" t="s">
        <v>9</v>
      </c>
      <c r="F457" s="8">
        <f>1498*1.18*1.1</f>
        <v>1944.404</v>
      </c>
      <c r="G457" s="379">
        <v>10</v>
      </c>
      <c r="H457" s="379">
        <f t="shared" si="18"/>
        <v>19444.04</v>
      </c>
      <c r="I457" s="394"/>
      <c r="J457" s="379">
        <f t="shared" si="19"/>
        <v>0</v>
      </c>
      <c r="K457" s="379"/>
      <c r="L457" s="379">
        <f t="shared" si="20"/>
        <v>0</v>
      </c>
      <c r="M457" s="379"/>
      <c r="N457" s="379">
        <f t="shared" si="21"/>
        <v>0</v>
      </c>
      <c r="O457" s="379"/>
      <c r="P457" s="379">
        <f t="shared" si="22"/>
        <v>0</v>
      </c>
      <c r="Q457" s="380">
        <f t="shared" si="23"/>
        <v>10</v>
      </c>
    </row>
    <row r="458" spans="1:17">
      <c r="A458" s="374">
        <v>52</v>
      </c>
      <c r="B458" s="29" t="s">
        <v>672</v>
      </c>
      <c r="C458" s="376" t="s">
        <v>673</v>
      </c>
      <c r="D458" s="376">
        <f t="shared" si="17"/>
        <v>3</v>
      </c>
      <c r="E458" s="391" t="s">
        <v>599</v>
      </c>
      <c r="F458" s="413">
        <v>1000</v>
      </c>
      <c r="G458" s="414"/>
      <c r="H458" s="379">
        <f t="shared" si="18"/>
        <v>0</v>
      </c>
      <c r="I458" s="414"/>
      <c r="J458" s="379">
        <f t="shared" si="19"/>
        <v>0</v>
      </c>
      <c r="K458" s="379"/>
      <c r="L458" s="379">
        <f t="shared" si="20"/>
        <v>0</v>
      </c>
      <c r="M458" s="379"/>
      <c r="N458" s="379">
        <f t="shared" si="21"/>
        <v>0</v>
      </c>
      <c r="O458" s="379">
        <v>3</v>
      </c>
      <c r="P458" s="379">
        <f t="shared" si="22"/>
        <v>3000</v>
      </c>
      <c r="Q458" s="380">
        <f t="shared" si="23"/>
        <v>3</v>
      </c>
    </row>
    <row r="459" spans="1:17">
      <c r="A459" s="374">
        <v>53</v>
      </c>
      <c r="B459" s="29" t="s">
        <v>674</v>
      </c>
      <c r="C459" s="376" t="s">
        <v>675</v>
      </c>
      <c r="D459" s="376">
        <f t="shared" si="17"/>
        <v>1</v>
      </c>
      <c r="E459" s="35" t="s">
        <v>13</v>
      </c>
      <c r="F459" s="8">
        <f>10000*1.18</f>
        <v>11800</v>
      </c>
      <c r="G459" s="414">
        <v>1</v>
      </c>
      <c r="H459" s="379">
        <f t="shared" si="18"/>
        <v>11800</v>
      </c>
      <c r="I459" s="414"/>
      <c r="J459" s="379">
        <f t="shared" si="19"/>
        <v>0</v>
      </c>
      <c r="K459" s="379"/>
      <c r="L459" s="379">
        <f t="shared" si="20"/>
        <v>0</v>
      </c>
      <c r="M459" s="379"/>
      <c r="N459" s="379">
        <f t="shared" si="21"/>
        <v>0</v>
      </c>
      <c r="O459" s="379"/>
      <c r="P459" s="379">
        <f t="shared" si="22"/>
        <v>0</v>
      </c>
      <c r="Q459" s="380">
        <f t="shared" si="23"/>
        <v>1</v>
      </c>
    </row>
    <row r="460" spans="1:17">
      <c r="A460" s="374">
        <v>54</v>
      </c>
      <c r="B460" s="29" t="s">
        <v>676</v>
      </c>
      <c r="C460" s="376" t="s">
        <v>677</v>
      </c>
      <c r="D460" s="376">
        <f t="shared" si="17"/>
        <v>1</v>
      </c>
      <c r="E460" s="35" t="s">
        <v>13</v>
      </c>
      <c r="F460" s="8">
        <f>8460*1.18</f>
        <v>9982.7999999999993</v>
      </c>
      <c r="G460" s="29">
        <v>1</v>
      </c>
      <c r="H460" s="379">
        <f t="shared" si="18"/>
        <v>9982.7999999999993</v>
      </c>
      <c r="I460" s="414"/>
      <c r="J460" s="379">
        <f t="shared" si="19"/>
        <v>0</v>
      </c>
      <c r="K460" s="379"/>
      <c r="L460" s="379">
        <f t="shared" si="20"/>
        <v>0</v>
      </c>
      <c r="M460" s="379"/>
      <c r="N460" s="379">
        <f t="shared" si="21"/>
        <v>0</v>
      </c>
      <c r="O460" s="379"/>
      <c r="P460" s="379">
        <f t="shared" si="22"/>
        <v>0</v>
      </c>
      <c r="Q460" s="380">
        <f t="shared" si="23"/>
        <v>1</v>
      </c>
    </row>
    <row r="461" spans="1:17">
      <c r="A461" s="374">
        <v>55</v>
      </c>
      <c r="B461" s="29" t="s">
        <v>676</v>
      </c>
      <c r="C461" s="376" t="s">
        <v>678</v>
      </c>
      <c r="D461" s="376">
        <f t="shared" si="17"/>
        <v>3</v>
      </c>
      <c r="E461" s="8" t="s">
        <v>599</v>
      </c>
      <c r="F461" s="415">
        <v>500</v>
      </c>
      <c r="G461" s="414"/>
      <c r="H461" s="379">
        <f>G461*F461</f>
        <v>0</v>
      </c>
      <c r="I461" s="414"/>
      <c r="J461" s="379">
        <f>I461*F461</f>
        <v>0</v>
      </c>
      <c r="K461" s="379"/>
      <c r="L461" s="379">
        <f>K461*F461</f>
        <v>0</v>
      </c>
      <c r="M461" s="379"/>
      <c r="N461" s="379">
        <f>M461*F461</f>
        <v>0</v>
      </c>
      <c r="O461" s="379">
        <v>3</v>
      </c>
      <c r="P461" s="379">
        <f>O461*F461</f>
        <v>1500</v>
      </c>
      <c r="Q461" s="380">
        <f t="shared" si="23"/>
        <v>3</v>
      </c>
    </row>
    <row r="462" spans="1:17">
      <c r="A462" s="374">
        <v>56</v>
      </c>
      <c r="B462" s="29" t="s">
        <v>679</v>
      </c>
      <c r="C462" s="376" t="s">
        <v>680</v>
      </c>
      <c r="D462" s="376">
        <f t="shared" si="17"/>
        <v>4</v>
      </c>
      <c r="E462" s="386" t="s">
        <v>599</v>
      </c>
      <c r="F462" s="386">
        <v>2862.5</v>
      </c>
      <c r="G462" s="394">
        <v>4</v>
      </c>
      <c r="H462" s="379">
        <f>G462*F462</f>
        <v>11450</v>
      </c>
      <c r="I462" s="394"/>
      <c r="J462" s="379">
        <f>I462*F462</f>
        <v>0</v>
      </c>
      <c r="K462" s="379"/>
      <c r="L462" s="379">
        <f>K462*F462</f>
        <v>0</v>
      </c>
      <c r="M462" s="379"/>
      <c r="N462" s="379">
        <f>M462*F462</f>
        <v>0</v>
      </c>
      <c r="O462" s="379"/>
      <c r="P462" s="379">
        <f>O462*F462</f>
        <v>0</v>
      </c>
      <c r="Q462" s="380">
        <f t="shared" si="23"/>
        <v>4</v>
      </c>
    </row>
    <row r="463" spans="1:17">
      <c r="A463" s="374">
        <v>57</v>
      </c>
      <c r="B463" s="416" t="s">
        <v>681</v>
      </c>
      <c r="C463" s="390" t="s">
        <v>682</v>
      </c>
      <c r="D463" s="376">
        <f t="shared" si="17"/>
        <v>129</v>
      </c>
      <c r="E463" s="403" t="s">
        <v>9</v>
      </c>
      <c r="F463" s="397">
        <v>100</v>
      </c>
      <c r="G463" s="394">
        <v>129</v>
      </c>
      <c r="H463" s="379">
        <f t="shared" ref="H463:H500" si="24">G463*F463</f>
        <v>12900</v>
      </c>
      <c r="I463" s="394"/>
      <c r="J463" s="379">
        <f t="shared" ref="J463:J500" si="25">I463*F463</f>
        <v>0</v>
      </c>
      <c r="K463" s="379"/>
      <c r="L463" s="379">
        <f t="shared" ref="L463:L500" si="26">K463*F463</f>
        <v>0</v>
      </c>
      <c r="M463" s="379"/>
      <c r="N463" s="379">
        <f t="shared" ref="N463:N500" si="27">M463*F463</f>
        <v>0</v>
      </c>
      <c r="O463" s="379"/>
      <c r="P463" s="379">
        <f t="shared" ref="P463:P500" si="28">O463*F463</f>
        <v>0</v>
      </c>
      <c r="Q463" s="380">
        <f t="shared" si="23"/>
        <v>129</v>
      </c>
    </row>
    <row r="464" spans="1:17">
      <c r="A464" s="374">
        <v>58</v>
      </c>
      <c r="B464" s="29" t="s">
        <v>683</v>
      </c>
      <c r="C464" s="376" t="s">
        <v>684</v>
      </c>
      <c r="D464" s="376">
        <f t="shared" si="17"/>
        <v>2</v>
      </c>
      <c r="E464" s="386" t="s">
        <v>599</v>
      </c>
      <c r="F464" s="386">
        <v>50</v>
      </c>
      <c r="G464" s="394">
        <v>0</v>
      </c>
      <c r="H464" s="379">
        <f t="shared" si="24"/>
        <v>0</v>
      </c>
      <c r="I464" s="394"/>
      <c r="J464" s="379">
        <f t="shared" si="25"/>
        <v>0</v>
      </c>
      <c r="K464" s="379"/>
      <c r="L464" s="379">
        <f t="shared" si="26"/>
        <v>0</v>
      </c>
      <c r="M464" s="379"/>
      <c r="N464" s="379">
        <f t="shared" si="27"/>
        <v>0</v>
      </c>
      <c r="O464" s="379">
        <v>2</v>
      </c>
      <c r="P464" s="379">
        <f t="shared" si="28"/>
        <v>100</v>
      </c>
      <c r="Q464" s="380">
        <f t="shared" si="23"/>
        <v>2</v>
      </c>
    </row>
    <row r="465" spans="1:17">
      <c r="A465" s="374">
        <v>59</v>
      </c>
      <c r="B465" s="29" t="s">
        <v>685</v>
      </c>
      <c r="C465" s="390" t="s">
        <v>686</v>
      </c>
      <c r="D465" s="376">
        <f t="shared" si="17"/>
        <v>2</v>
      </c>
      <c r="E465" s="386" t="s">
        <v>599</v>
      </c>
      <c r="F465" s="386">
        <f>210000+210000*13.5%</f>
        <v>238350</v>
      </c>
      <c r="G465" s="394">
        <v>2</v>
      </c>
      <c r="H465" s="379">
        <f t="shared" si="24"/>
        <v>476700</v>
      </c>
      <c r="I465" s="394"/>
      <c r="J465" s="379">
        <f t="shared" si="25"/>
        <v>0</v>
      </c>
      <c r="K465" s="379"/>
      <c r="L465" s="379">
        <f t="shared" si="26"/>
        <v>0</v>
      </c>
      <c r="M465" s="379"/>
      <c r="N465" s="379">
        <f t="shared" si="27"/>
        <v>0</v>
      </c>
      <c r="O465" s="379"/>
      <c r="P465" s="379">
        <f t="shared" si="28"/>
        <v>0</v>
      </c>
      <c r="Q465" s="380">
        <f t="shared" si="23"/>
        <v>2</v>
      </c>
    </row>
    <row r="466" spans="1:17">
      <c r="A466" s="374">
        <v>60</v>
      </c>
      <c r="B466" s="29" t="s">
        <v>687</v>
      </c>
      <c r="C466" s="376" t="s">
        <v>688</v>
      </c>
      <c r="D466" s="376">
        <f t="shared" si="17"/>
        <v>1</v>
      </c>
      <c r="E466" s="386" t="s">
        <v>599</v>
      </c>
      <c r="F466" s="395">
        <v>12600</v>
      </c>
      <c r="G466" s="394">
        <v>1</v>
      </c>
      <c r="H466" s="379">
        <f t="shared" si="24"/>
        <v>12600</v>
      </c>
      <c r="I466" s="394"/>
      <c r="J466" s="379">
        <f t="shared" si="25"/>
        <v>0</v>
      </c>
      <c r="K466" s="379"/>
      <c r="L466" s="379">
        <f t="shared" si="26"/>
        <v>0</v>
      </c>
      <c r="M466" s="379"/>
      <c r="N466" s="379">
        <f t="shared" si="27"/>
        <v>0</v>
      </c>
      <c r="O466" s="379"/>
      <c r="P466" s="379">
        <f t="shared" si="28"/>
        <v>0</v>
      </c>
      <c r="Q466" s="380">
        <f t="shared" si="23"/>
        <v>1</v>
      </c>
    </row>
    <row r="467" spans="1:17" ht="30">
      <c r="A467" s="374">
        <v>61</v>
      </c>
      <c r="B467" s="29" t="s">
        <v>689</v>
      </c>
      <c r="C467" s="376" t="s">
        <v>690</v>
      </c>
      <c r="D467" s="376">
        <f t="shared" si="17"/>
        <v>24</v>
      </c>
      <c r="E467" s="386" t="s">
        <v>599</v>
      </c>
      <c r="F467" s="417">
        <v>50</v>
      </c>
      <c r="G467" s="394"/>
      <c r="H467" s="379">
        <f t="shared" si="24"/>
        <v>0</v>
      </c>
      <c r="I467" s="394"/>
      <c r="J467" s="379">
        <f t="shared" si="25"/>
        <v>0</v>
      </c>
      <c r="K467" s="379"/>
      <c r="L467" s="379">
        <f t="shared" si="26"/>
        <v>0</v>
      </c>
      <c r="M467" s="379"/>
      <c r="N467" s="379">
        <f t="shared" si="27"/>
        <v>0</v>
      </c>
      <c r="O467" s="379">
        <v>24</v>
      </c>
      <c r="P467" s="379">
        <f t="shared" si="28"/>
        <v>1200</v>
      </c>
      <c r="Q467" s="380">
        <f t="shared" si="23"/>
        <v>24</v>
      </c>
    </row>
    <row r="468" spans="1:17">
      <c r="A468" s="374">
        <v>62</v>
      </c>
      <c r="B468" s="29" t="s">
        <v>691</v>
      </c>
      <c r="C468" s="376" t="s">
        <v>692</v>
      </c>
      <c r="D468" s="376">
        <f t="shared" si="17"/>
        <v>20</v>
      </c>
      <c r="E468" s="386" t="s">
        <v>599</v>
      </c>
      <c r="F468" s="417">
        <v>25</v>
      </c>
      <c r="G468" s="394"/>
      <c r="H468" s="379">
        <f t="shared" si="24"/>
        <v>0</v>
      </c>
      <c r="I468" s="394"/>
      <c r="J468" s="379">
        <f t="shared" si="25"/>
        <v>0</v>
      </c>
      <c r="K468" s="379"/>
      <c r="L468" s="379">
        <f t="shared" si="26"/>
        <v>0</v>
      </c>
      <c r="M468" s="379"/>
      <c r="N468" s="379">
        <f t="shared" si="27"/>
        <v>0</v>
      </c>
      <c r="O468" s="379">
        <v>20</v>
      </c>
      <c r="P468" s="379">
        <f t="shared" si="28"/>
        <v>500</v>
      </c>
      <c r="Q468" s="380">
        <f t="shared" si="23"/>
        <v>20</v>
      </c>
    </row>
    <row r="469" spans="1:17">
      <c r="A469" s="374">
        <v>63</v>
      </c>
      <c r="B469" s="29" t="s">
        <v>693</v>
      </c>
      <c r="C469" s="376" t="s">
        <v>694</v>
      </c>
      <c r="D469" s="376">
        <f t="shared" si="17"/>
        <v>3</v>
      </c>
      <c r="E469" s="397" t="s">
        <v>599</v>
      </c>
      <c r="F469" s="397">
        <f>1695*1.18</f>
        <v>2000.1</v>
      </c>
      <c r="G469" s="29">
        <v>3</v>
      </c>
      <c r="H469" s="379">
        <f t="shared" si="24"/>
        <v>6000.2999999999993</v>
      </c>
      <c r="I469" s="394"/>
      <c r="J469" s="379">
        <f t="shared" si="25"/>
        <v>0</v>
      </c>
      <c r="K469" s="379"/>
      <c r="L469" s="379">
        <f t="shared" si="26"/>
        <v>0</v>
      </c>
      <c r="M469" s="379"/>
      <c r="N469" s="379">
        <f t="shared" si="27"/>
        <v>0</v>
      </c>
      <c r="O469" s="379"/>
      <c r="P469" s="379">
        <f t="shared" si="28"/>
        <v>0</v>
      </c>
      <c r="Q469" s="380">
        <f t="shared" si="23"/>
        <v>3</v>
      </c>
    </row>
    <row r="470" spans="1:17">
      <c r="A470" s="374">
        <v>64</v>
      </c>
      <c r="B470" s="29" t="s">
        <v>695</v>
      </c>
      <c r="C470" s="376" t="s">
        <v>696</v>
      </c>
      <c r="D470" s="376">
        <f t="shared" si="17"/>
        <v>11</v>
      </c>
      <c r="E470" s="386" t="s">
        <v>599</v>
      </c>
      <c r="F470" s="418">
        <v>85.875</v>
      </c>
      <c r="G470" s="410">
        <v>11</v>
      </c>
      <c r="H470" s="379">
        <f t="shared" si="24"/>
        <v>944.625</v>
      </c>
      <c r="I470" s="410"/>
      <c r="J470" s="379">
        <f t="shared" si="25"/>
        <v>0</v>
      </c>
      <c r="K470" s="379"/>
      <c r="L470" s="379">
        <f t="shared" si="26"/>
        <v>0</v>
      </c>
      <c r="M470" s="379"/>
      <c r="N470" s="379">
        <f t="shared" si="27"/>
        <v>0</v>
      </c>
      <c r="O470" s="379"/>
      <c r="P470" s="379">
        <f t="shared" si="28"/>
        <v>0</v>
      </c>
      <c r="Q470" s="380">
        <f t="shared" si="23"/>
        <v>11</v>
      </c>
    </row>
    <row r="471" spans="1:17">
      <c r="A471" s="374">
        <v>65</v>
      </c>
      <c r="B471" s="29" t="s">
        <v>697</v>
      </c>
      <c r="C471" s="376" t="s">
        <v>698</v>
      </c>
      <c r="D471" s="376">
        <f t="shared" ref="D471:D493" si="29">G471+I471+K471+M471+O471</f>
        <v>12</v>
      </c>
      <c r="E471" s="386" t="s">
        <v>599</v>
      </c>
      <c r="F471" s="386">
        <v>103.05</v>
      </c>
      <c r="G471" s="394">
        <v>12</v>
      </c>
      <c r="H471" s="379">
        <f t="shared" si="24"/>
        <v>1236.5999999999999</v>
      </c>
      <c r="I471" s="394"/>
      <c r="J471" s="379">
        <f t="shared" si="25"/>
        <v>0</v>
      </c>
      <c r="K471" s="379"/>
      <c r="L471" s="379">
        <f t="shared" si="26"/>
        <v>0</v>
      </c>
      <c r="M471" s="379"/>
      <c r="N471" s="379">
        <f t="shared" si="27"/>
        <v>0</v>
      </c>
      <c r="O471" s="379"/>
      <c r="P471" s="379">
        <f t="shared" si="28"/>
        <v>0</v>
      </c>
      <c r="Q471" s="380">
        <f t="shared" si="23"/>
        <v>12</v>
      </c>
    </row>
    <row r="472" spans="1:17">
      <c r="A472" s="374">
        <v>66</v>
      </c>
      <c r="B472" s="29" t="s">
        <v>699</v>
      </c>
      <c r="C472" s="376" t="s">
        <v>700</v>
      </c>
      <c r="D472" s="376">
        <f t="shared" si="29"/>
        <v>16</v>
      </c>
      <c r="E472" s="386" t="s">
        <v>599</v>
      </c>
      <c r="F472" s="386">
        <v>171.75</v>
      </c>
      <c r="G472" s="394">
        <v>16</v>
      </c>
      <c r="H472" s="379">
        <f t="shared" si="24"/>
        <v>2748</v>
      </c>
      <c r="I472" s="394"/>
      <c r="J472" s="379">
        <f t="shared" si="25"/>
        <v>0</v>
      </c>
      <c r="K472" s="379"/>
      <c r="L472" s="379">
        <f t="shared" si="26"/>
        <v>0</v>
      </c>
      <c r="M472" s="379"/>
      <c r="N472" s="379">
        <f t="shared" si="27"/>
        <v>0</v>
      </c>
      <c r="O472" s="379"/>
      <c r="P472" s="379">
        <f t="shared" si="28"/>
        <v>0</v>
      </c>
      <c r="Q472" s="380">
        <f t="shared" si="23"/>
        <v>16</v>
      </c>
    </row>
    <row r="473" spans="1:17">
      <c r="A473" s="374">
        <v>67</v>
      </c>
      <c r="B473" s="29" t="s">
        <v>701</v>
      </c>
      <c r="C473" s="376" t="s">
        <v>702</v>
      </c>
      <c r="D473" s="376">
        <f t="shared" si="29"/>
        <v>16</v>
      </c>
      <c r="E473" s="386" t="s">
        <v>599</v>
      </c>
      <c r="F473" s="386">
        <v>171.75</v>
      </c>
      <c r="G473" s="394">
        <v>16</v>
      </c>
      <c r="H473" s="379">
        <f t="shared" si="24"/>
        <v>2748</v>
      </c>
      <c r="I473" s="394"/>
      <c r="J473" s="379">
        <f t="shared" si="25"/>
        <v>0</v>
      </c>
      <c r="K473" s="379"/>
      <c r="L473" s="379">
        <f t="shared" si="26"/>
        <v>0</v>
      </c>
      <c r="M473" s="379"/>
      <c r="N473" s="379">
        <f t="shared" si="27"/>
        <v>0</v>
      </c>
      <c r="O473" s="379"/>
      <c r="P473" s="379">
        <f t="shared" si="28"/>
        <v>0</v>
      </c>
      <c r="Q473" s="380">
        <f t="shared" si="23"/>
        <v>16</v>
      </c>
    </row>
    <row r="474" spans="1:17">
      <c r="A474" s="374">
        <v>68</v>
      </c>
      <c r="B474" s="29" t="s">
        <v>703</v>
      </c>
      <c r="C474" s="376" t="s">
        <v>704</v>
      </c>
      <c r="D474" s="376">
        <f t="shared" si="29"/>
        <v>12</v>
      </c>
      <c r="E474" s="386" t="s">
        <v>599</v>
      </c>
      <c r="F474" s="386">
        <v>229</v>
      </c>
      <c r="G474" s="394">
        <v>12</v>
      </c>
      <c r="H474" s="379">
        <f t="shared" si="24"/>
        <v>2748</v>
      </c>
      <c r="I474" s="394"/>
      <c r="J474" s="379">
        <f t="shared" si="25"/>
        <v>0</v>
      </c>
      <c r="K474" s="379"/>
      <c r="L474" s="379">
        <f t="shared" si="26"/>
        <v>0</v>
      </c>
      <c r="M474" s="379"/>
      <c r="N474" s="379">
        <f t="shared" si="27"/>
        <v>0</v>
      </c>
      <c r="O474" s="379"/>
      <c r="P474" s="379">
        <f t="shared" si="28"/>
        <v>0</v>
      </c>
      <c r="Q474" s="380">
        <f t="shared" ref="Q474:Q499" si="30">G474+I474+K474+M474+O474</f>
        <v>12</v>
      </c>
    </row>
    <row r="475" spans="1:17">
      <c r="A475" s="374">
        <v>69</v>
      </c>
      <c r="B475" s="402" t="s">
        <v>705</v>
      </c>
      <c r="C475" s="390" t="s">
        <v>706</v>
      </c>
      <c r="D475" s="376">
        <f t="shared" si="29"/>
        <v>20</v>
      </c>
      <c r="E475" s="386" t="s">
        <v>599</v>
      </c>
      <c r="F475" s="386">
        <v>572.5</v>
      </c>
      <c r="G475" s="394">
        <v>20</v>
      </c>
      <c r="H475" s="379">
        <f t="shared" si="24"/>
        <v>11450</v>
      </c>
      <c r="I475" s="394"/>
      <c r="J475" s="379">
        <f t="shared" si="25"/>
        <v>0</v>
      </c>
      <c r="K475" s="379"/>
      <c r="L475" s="379">
        <f t="shared" si="26"/>
        <v>0</v>
      </c>
      <c r="M475" s="379"/>
      <c r="N475" s="379">
        <f t="shared" si="27"/>
        <v>0</v>
      </c>
      <c r="O475" s="379"/>
      <c r="P475" s="379">
        <f t="shared" si="28"/>
        <v>0</v>
      </c>
      <c r="Q475" s="380">
        <f t="shared" si="30"/>
        <v>20</v>
      </c>
    </row>
    <row r="476" spans="1:17">
      <c r="A476" s="374">
        <v>70</v>
      </c>
      <c r="B476" s="402" t="s">
        <v>707</v>
      </c>
      <c r="C476" s="390" t="s">
        <v>708</v>
      </c>
      <c r="D476" s="376">
        <f t="shared" si="29"/>
        <v>2</v>
      </c>
      <c r="E476" s="386" t="s">
        <v>599</v>
      </c>
      <c r="F476" s="386">
        <v>1488.5</v>
      </c>
      <c r="G476" s="394">
        <v>2</v>
      </c>
      <c r="H476" s="379">
        <f t="shared" si="24"/>
        <v>2977</v>
      </c>
      <c r="I476" s="394"/>
      <c r="J476" s="379">
        <f t="shared" si="25"/>
        <v>0</v>
      </c>
      <c r="K476" s="379"/>
      <c r="L476" s="379">
        <f t="shared" si="26"/>
        <v>0</v>
      </c>
      <c r="M476" s="379"/>
      <c r="N476" s="379">
        <f t="shared" si="27"/>
        <v>0</v>
      </c>
      <c r="O476" s="379"/>
      <c r="P476" s="379">
        <f t="shared" si="28"/>
        <v>0</v>
      </c>
      <c r="Q476" s="380">
        <f t="shared" si="30"/>
        <v>2</v>
      </c>
    </row>
    <row r="477" spans="1:17">
      <c r="A477" s="374">
        <v>71</v>
      </c>
      <c r="B477" s="29" t="s">
        <v>709</v>
      </c>
      <c r="C477" s="376" t="s">
        <v>710</v>
      </c>
      <c r="D477" s="376">
        <f t="shared" si="29"/>
        <v>10</v>
      </c>
      <c r="E477" s="382" t="s">
        <v>9</v>
      </c>
      <c r="F477" s="383">
        <f>7150*1.18</f>
        <v>8437</v>
      </c>
      <c r="G477" s="398">
        <v>10</v>
      </c>
      <c r="H477" s="379">
        <f t="shared" si="24"/>
        <v>84370</v>
      </c>
      <c r="I477" s="385"/>
      <c r="J477" s="379">
        <f t="shared" si="25"/>
        <v>0</v>
      </c>
      <c r="K477" s="384"/>
      <c r="L477" s="379">
        <f t="shared" si="26"/>
        <v>0</v>
      </c>
      <c r="M477" s="384"/>
      <c r="N477" s="379">
        <f t="shared" si="27"/>
        <v>0</v>
      </c>
      <c r="O477" s="385"/>
      <c r="P477" s="379">
        <f t="shared" si="28"/>
        <v>0</v>
      </c>
      <c r="Q477" s="380">
        <f t="shared" si="30"/>
        <v>10</v>
      </c>
    </row>
    <row r="478" spans="1:17">
      <c r="A478" s="374">
        <v>72</v>
      </c>
      <c r="B478" s="29" t="s">
        <v>711</v>
      </c>
      <c r="C478" s="400" t="s">
        <v>712</v>
      </c>
      <c r="D478" s="376">
        <f t="shared" si="29"/>
        <v>3</v>
      </c>
      <c r="E478" s="379" t="s">
        <v>599</v>
      </c>
      <c r="F478" s="380">
        <v>250</v>
      </c>
      <c r="G478" s="379"/>
      <c r="H478" s="379">
        <f t="shared" si="24"/>
        <v>0</v>
      </c>
      <c r="I478" s="379"/>
      <c r="J478" s="379">
        <f t="shared" si="25"/>
        <v>0</v>
      </c>
      <c r="K478" s="379"/>
      <c r="L478" s="379">
        <f t="shared" si="26"/>
        <v>0</v>
      </c>
      <c r="M478" s="379"/>
      <c r="N478" s="379">
        <f t="shared" si="27"/>
        <v>0</v>
      </c>
      <c r="O478" s="379">
        <v>3</v>
      </c>
      <c r="P478" s="379">
        <f t="shared" si="28"/>
        <v>750</v>
      </c>
      <c r="Q478" s="380">
        <f t="shared" si="30"/>
        <v>3</v>
      </c>
    </row>
    <row r="479" spans="1:17">
      <c r="A479" s="374">
        <v>73</v>
      </c>
      <c r="B479" s="384" t="s">
        <v>713</v>
      </c>
      <c r="C479" s="400" t="s">
        <v>714</v>
      </c>
      <c r="D479" s="376">
        <f t="shared" si="29"/>
        <v>6</v>
      </c>
      <c r="E479" s="386" t="s">
        <v>9</v>
      </c>
      <c r="F479" s="8">
        <f>1995*1.18*1.1</f>
        <v>2589.5100000000002</v>
      </c>
      <c r="G479" s="379">
        <v>6</v>
      </c>
      <c r="H479" s="379">
        <f t="shared" si="24"/>
        <v>15537.060000000001</v>
      </c>
      <c r="I479" s="379"/>
      <c r="J479" s="379">
        <f t="shared" si="25"/>
        <v>0</v>
      </c>
      <c r="K479" s="379"/>
      <c r="L479" s="379">
        <f t="shared" si="26"/>
        <v>0</v>
      </c>
      <c r="M479" s="379"/>
      <c r="N479" s="379">
        <f t="shared" si="27"/>
        <v>0</v>
      </c>
      <c r="O479" s="379"/>
      <c r="P479" s="379">
        <f t="shared" si="28"/>
        <v>0</v>
      </c>
      <c r="Q479" s="380">
        <f t="shared" si="30"/>
        <v>6</v>
      </c>
    </row>
    <row r="480" spans="1:17">
      <c r="A480" s="374">
        <v>74</v>
      </c>
      <c r="B480" s="29" t="s">
        <v>713</v>
      </c>
      <c r="C480" s="400" t="s">
        <v>715</v>
      </c>
      <c r="D480" s="376">
        <f t="shared" si="29"/>
        <v>7</v>
      </c>
      <c r="E480" s="379" t="s">
        <v>599</v>
      </c>
      <c r="F480" s="380">
        <f>1695*1.18</f>
        <v>2000.1</v>
      </c>
      <c r="G480" s="379">
        <v>7</v>
      </c>
      <c r="H480" s="379">
        <f t="shared" si="24"/>
        <v>14000.699999999999</v>
      </c>
      <c r="I480" s="379"/>
      <c r="J480" s="379">
        <f t="shared" si="25"/>
        <v>0</v>
      </c>
      <c r="K480" s="379"/>
      <c r="L480" s="379">
        <f t="shared" si="26"/>
        <v>0</v>
      </c>
      <c r="M480" s="379"/>
      <c r="N480" s="379">
        <f t="shared" si="27"/>
        <v>0</v>
      </c>
      <c r="O480" s="379"/>
      <c r="P480" s="379">
        <f t="shared" si="28"/>
        <v>0</v>
      </c>
      <c r="Q480" s="380">
        <f t="shared" si="30"/>
        <v>7</v>
      </c>
    </row>
    <row r="481" spans="1:17">
      <c r="A481" s="374">
        <v>75</v>
      </c>
      <c r="B481" s="29" t="s">
        <v>336</v>
      </c>
      <c r="C481" s="400" t="s">
        <v>716</v>
      </c>
      <c r="D481" s="376">
        <f t="shared" si="29"/>
        <v>7</v>
      </c>
      <c r="E481" s="379" t="s">
        <v>599</v>
      </c>
      <c r="F481" s="380">
        <f>1695*1.18</f>
        <v>2000.1</v>
      </c>
      <c r="G481" s="379">
        <v>7</v>
      </c>
      <c r="H481" s="379">
        <f t="shared" si="24"/>
        <v>14000.699999999999</v>
      </c>
      <c r="I481" s="379"/>
      <c r="J481" s="379">
        <f t="shared" si="25"/>
        <v>0</v>
      </c>
      <c r="K481" s="379"/>
      <c r="L481" s="379">
        <f t="shared" si="26"/>
        <v>0</v>
      </c>
      <c r="M481" s="379"/>
      <c r="N481" s="379">
        <f t="shared" si="27"/>
        <v>0</v>
      </c>
      <c r="O481" s="379"/>
      <c r="P481" s="379">
        <f t="shared" si="28"/>
        <v>0</v>
      </c>
      <c r="Q481" s="380">
        <f t="shared" si="30"/>
        <v>7</v>
      </c>
    </row>
    <row r="482" spans="1:17">
      <c r="A482" s="374">
        <v>76</v>
      </c>
      <c r="B482" s="29" t="s">
        <v>713</v>
      </c>
      <c r="C482" s="376" t="s">
        <v>717</v>
      </c>
      <c r="D482" s="376">
        <f t="shared" si="29"/>
        <v>9</v>
      </c>
      <c r="E482" s="397" t="s">
        <v>599</v>
      </c>
      <c r="F482" s="397">
        <v>50</v>
      </c>
      <c r="G482" s="394"/>
      <c r="H482" s="379">
        <f t="shared" si="24"/>
        <v>0</v>
      </c>
      <c r="I482" s="394"/>
      <c r="J482" s="379">
        <f t="shared" si="25"/>
        <v>0</v>
      </c>
      <c r="K482" s="379"/>
      <c r="L482" s="379">
        <f t="shared" si="26"/>
        <v>0</v>
      </c>
      <c r="M482" s="379"/>
      <c r="N482" s="379">
        <f t="shared" si="27"/>
        <v>0</v>
      </c>
      <c r="O482" s="379">
        <v>9</v>
      </c>
      <c r="P482" s="379">
        <f t="shared" si="28"/>
        <v>450</v>
      </c>
      <c r="Q482" s="380">
        <f t="shared" si="30"/>
        <v>9</v>
      </c>
    </row>
    <row r="483" spans="1:17">
      <c r="A483" s="374">
        <v>77</v>
      </c>
      <c r="B483" s="29" t="s">
        <v>336</v>
      </c>
      <c r="C483" s="376" t="s">
        <v>718</v>
      </c>
      <c r="D483" s="376">
        <f t="shared" si="29"/>
        <v>19</v>
      </c>
      <c r="E483" s="397" t="s">
        <v>599</v>
      </c>
      <c r="F483" s="397">
        <v>25</v>
      </c>
      <c r="G483" s="394"/>
      <c r="H483" s="379">
        <f t="shared" si="24"/>
        <v>0</v>
      </c>
      <c r="I483" s="394"/>
      <c r="J483" s="379">
        <f t="shared" si="25"/>
        <v>0</v>
      </c>
      <c r="K483" s="379"/>
      <c r="L483" s="379">
        <f t="shared" si="26"/>
        <v>0</v>
      </c>
      <c r="M483" s="379"/>
      <c r="N483" s="379">
        <f t="shared" si="27"/>
        <v>0</v>
      </c>
      <c r="O483" s="379">
        <v>19</v>
      </c>
      <c r="P483" s="379">
        <f t="shared" si="28"/>
        <v>475</v>
      </c>
      <c r="Q483" s="380">
        <f t="shared" si="30"/>
        <v>19</v>
      </c>
    </row>
    <row r="484" spans="1:17">
      <c r="A484" s="374">
        <v>78</v>
      </c>
      <c r="B484" s="29" t="s">
        <v>719</v>
      </c>
      <c r="C484" s="376" t="s">
        <v>720</v>
      </c>
      <c r="D484" s="376">
        <f t="shared" si="29"/>
        <v>34</v>
      </c>
      <c r="E484" s="391" t="s">
        <v>599</v>
      </c>
      <c r="F484" s="392">
        <v>147.26</v>
      </c>
      <c r="G484" s="393">
        <v>34</v>
      </c>
      <c r="H484" s="379">
        <f t="shared" si="24"/>
        <v>5006.84</v>
      </c>
      <c r="I484" s="393"/>
      <c r="J484" s="379">
        <f t="shared" si="25"/>
        <v>0</v>
      </c>
      <c r="K484" s="379"/>
      <c r="L484" s="379">
        <f t="shared" si="26"/>
        <v>0</v>
      </c>
      <c r="M484" s="379"/>
      <c r="N484" s="379">
        <f t="shared" si="27"/>
        <v>0</v>
      </c>
      <c r="O484" s="379"/>
      <c r="P484" s="379">
        <f t="shared" si="28"/>
        <v>0</v>
      </c>
      <c r="Q484" s="380">
        <f t="shared" si="30"/>
        <v>34</v>
      </c>
    </row>
    <row r="485" spans="1:17">
      <c r="A485" s="374">
        <v>79</v>
      </c>
      <c r="B485" s="29" t="s">
        <v>721</v>
      </c>
      <c r="C485" s="376" t="s">
        <v>722</v>
      </c>
      <c r="D485" s="376">
        <f t="shared" si="29"/>
        <v>40</v>
      </c>
      <c r="E485" s="391" t="s">
        <v>599</v>
      </c>
      <c r="F485" s="392">
        <v>147.26</v>
      </c>
      <c r="G485" s="393">
        <v>40</v>
      </c>
      <c r="H485" s="379">
        <f t="shared" si="24"/>
        <v>5890.4</v>
      </c>
      <c r="I485" s="393"/>
      <c r="J485" s="379">
        <f t="shared" si="25"/>
        <v>0</v>
      </c>
      <c r="K485" s="379"/>
      <c r="L485" s="379">
        <f t="shared" si="26"/>
        <v>0</v>
      </c>
      <c r="M485" s="379"/>
      <c r="N485" s="379">
        <f t="shared" si="27"/>
        <v>0</v>
      </c>
      <c r="O485" s="379"/>
      <c r="P485" s="379">
        <f t="shared" si="28"/>
        <v>0</v>
      </c>
      <c r="Q485" s="380">
        <f t="shared" si="30"/>
        <v>40</v>
      </c>
    </row>
    <row r="486" spans="1:17">
      <c r="A486" s="374">
        <v>80</v>
      </c>
      <c r="B486" s="29" t="s">
        <v>336</v>
      </c>
      <c r="C486" s="376" t="s">
        <v>723</v>
      </c>
      <c r="D486" s="376">
        <f t="shared" si="29"/>
        <v>3</v>
      </c>
      <c r="E486" s="386" t="s">
        <v>9</v>
      </c>
      <c r="F486" s="397">
        <f>995*1.18</f>
        <v>1174.0999999999999</v>
      </c>
      <c r="G486" s="391">
        <v>3</v>
      </c>
      <c r="H486" s="379">
        <f t="shared" si="24"/>
        <v>3522.2999999999997</v>
      </c>
      <c r="I486" s="394"/>
      <c r="J486" s="379">
        <f t="shared" si="25"/>
        <v>0</v>
      </c>
      <c r="K486" s="379"/>
      <c r="L486" s="379">
        <f t="shared" si="26"/>
        <v>0</v>
      </c>
      <c r="M486" s="379"/>
      <c r="N486" s="379">
        <f t="shared" si="27"/>
        <v>0</v>
      </c>
      <c r="O486" s="379"/>
      <c r="P486" s="379">
        <f t="shared" si="28"/>
        <v>0</v>
      </c>
      <c r="Q486" s="380">
        <f t="shared" si="30"/>
        <v>3</v>
      </c>
    </row>
    <row r="487" spans="1:17">
      <c r="A487" s="374">
        <v>81</v>
      </c>
      <c r="B487" s="29" t="s">
        <v>724</v>
      </c>
      <c r="C487" s="376" t="s">
        <v>725</v>
      </c>
      <c r="D487" s="376">
        <f t="shared" si="29"/>
        <v>1</v>
      </c>
      <c r="E487" s="377" t="s">
        <v>599</v>
      </c>
      <c r="F487" s="419">
        <v>1000</v>
      </c>
      <c r="G487" s="388"/>
      <c r="H487" s="379">
        <f t="shared" si="24"/>
        <v>0</v>
      </c>
      <c r="I487" s="388"/>
      <c r="J487" s="379">
        <f t="shared" si="25"/>
        <v>0</v>
      </c>
      <c r="K487" s="379"/>
      <c r="L487" s="379">
        <f t="shared" si="26"/>
        <v>0</v>
      </c>
      <c r="M487" s="379"/>
      <c r="N487" s="379">
        <f t="shared" si="27"/>
        <v>0</v>
      </c>
      <c r="O487" s="379">
        <v>1</v>
      </c>
      <c r="P487" s="379">
        <f t="shared" si="28"/>
        <v>1000</v>
      </c>
      <c r="Q487" s="380">
        <f t="shared" si="30"/>
        <v>1</v>
      </c>
    </row>
    <row r="488" spans="1:17">
      <c r="A488" s="374">
        <v>82</v>
      </c>
      <c r="B488" s="29" t="s">
        <v>726</v>
      </c>
      <c r="C488" s="376" t="s">
        <v>727</v>
      </c>
      <c r="D488" s="376">
        <f t="shared" si="29"/>
        <v>1</v>
      </c>
      <c r="E488" s="420" t="s">
        <v>599</v>
      </c>
      <c r="F488" s="421">
        <v>1000</v>
      </c>
      <c r="G488" s="422"/>
      <c r="H488" s="379">
        <f t="shared" si="24"/>
        <v>0</v>
      </c>
      <c r="I488" s="422"/>
      <c r="J488" s="379">
        <f t="shared" si="25"/>
        <v>0</v>
      </c>
      <c r="K488" s="379"/>
      <c r="L488" s="379">
        <f t="shared" si="26"/>
        <v>0</v>
      </c>
      <c r="M488" s="379"/>
      <c r="N488" s="379">
        <f t="shared" si="27"/>
        <v>0</v>
      </c>
      <c r="O488" s="379">
        <v>1</v>
      </c>
      <c r="P488" s="379">
        <f t="shared" si="28"/>
        <v>1000</v>
      </c>
      <c r="Q488" s="380">
        <f t="shared" si="30"/>
        <v>1</v>
      </c>
    </row>
    <row r="489" spans="1:17">
      <c r="A489" s="374">
        <v>83</v>
      </c>
      <c r="B489" s="29" t="s">
        <v>728</v>
      </c>
      <c r="C489" s="376" t="s">
        <v>729</v>
      </c>
      <c r="D489" s="376">
        <f t="shared" si="29"/>
        <v>125</v>
      </c>
      <c r="E489" s="391" t="s">
        <v>552</v>
      </c>
      <c r="F489" s="392">
        <v>468.46</v>
      </c>
      <c r="G489" s="414">
        <v>125</v>
      </c>
      <c r="H489" s="379">
        <f t="shared" si="24"/>
        <v>58557.5</v>
      </c>
      <c r="I489" s="414"/>
      <c r="J489" s="379">
        <f t="shared" si="25"/>
        <v>0</v>
      </c>
      <c r="K489" s="379"/>
      <c r="L489" s="379">
        <f t="shared" si="26"/>
        <v>0</v>
      </c>
      <c r="M489" s="379"/>
      <c r="N489" s="379">
        <f t="shared" si="27"/>
        <v>0</v>
      </c>
      <c r="O489" s="379"/>
      <c r="P489" s="379">
        <f t="shared" si="28"/>
        <v>0</v>
      </c>
      <c r="Q489" s="380">
        <f t="shared" si="30"/>
        <v>125</v>
      </c>
    </row>
    <row r="490" spans="1:17" ht="30">
      <c r="A490" s="374">
        <v>84</v>
      </c>
      <c r="B490" s="29" t="s">
        <v>730</v>
      </c>
      <c r="C490" s="390" t="s">
        <v>731</v>
      </c>
      <c r="D490" s="376">
        <f t="shared" si="29"/>
        <v>1</v>
      </c>
      <c r="E490" s="8" t="s">
        <v>9</v>
      </c>
      <c r="F490" s="415">
        <f>241786*1.18</f>
        <v>285307.48</v>
      </c>
      <c r="G490" s="414">
        <v>1</v>
      </c>
      <c r="H490" s="379">
        <f t="shared" si="24"/>
        <v>285307.48</v>
      </c>
      <c r="I490" s="414"/>
      <c r="J490" s="379">
        <f t="shared" si="25"/>
        <v>0</v>
      </c>
      <c r="K490" s="379"/>
      <c r="L490" s="379">
        <f t="shared" si="26"/>
        <v>0</v>
      </c>
      <c r="M490" s="379"/>
      <c r="N490" s="379">
        <f t="shared" si="27"/>
        <v>0</v>
      </c>
      <c r="O490" s="379"/>
      <c r="P490" s="379">
        <f t="shared" si="28"/>
        <v>0</v>
      </c>
      <c r="Q490" s="380">
        <f t="shared" si="30"/>
        <v>1</v>
      </c>
    </row>
    <row r="491" spans="1:17">
      <c r="A491" s="374">
        <v>85</v>
      </c>
      <c r="B491" s="211" t="s">
        <v>732</v>
      </c>
      <c r="C491" s="376" t="s">
        <v>733</v>
      </c>
      <c r="D491" s="376">
        <f t="shared" si="29"/>
        <v>1</v>
      </c>
      <c r="E491" s="377" t="s">
        <v>599</v>
      </c>
      <c r="F491" s="397">
        <v>70000</v>
      </c>
      <c r="G491" s="394">
        <v>1</v>
      </c>
      <c r="H491" s="379">
        <f t="shared" si="24"/>
        <v>70000</v>
      </c>
      <c r="I491" s="394"/>
      <c r="J491" s="379">
        <f t="shared" si="25"/>
        <v>0</v>
      </c>
      <c r="K491" s="379"/>
      <c r="L491" s="379">
        <f t="shared" si="26"/>
        <v>0</v>
      </c>
      <c r="M491" s="379"/>
      <c r="N491" s="379">
        <f t="shared" si="27"/>
        <v>0</v>
      </c>
      <c r="O491" s="379"/>
      <c r="P491" s="379">
        <f t="shared" si="28"/>
        <v>0</v>
      </c>
      <c r="Q491" s="380">
        <f t="shared" si="30"/>
        <v>1</v>
      </c>
    </row>
    <row r="492" spans="1:17">
      <c r="A492" s="374">
        <v>86</v>
      </c>
      <c r="B492" s="211" t="s">
        <v>734</v>
      </c>
      <c r="C492" s="376" t="s">
        <v>735</v>
      </c>
      <c r="D492" s="376">
        <f t="shared" si="29"/>
        <v>3</v>
      </c>
      <c r="E492" s="394" t="s">
        <v>599</v>
      </c>
      <c r="F492" s="394">
        <v>7000</v>
      </c>
      <c r="G492" s="394"/>
      <c r="H492" s="379">
        <f t="shared" si="24"/>
        <v>0</v>
      </c>
      <c r="I492" s="394"/>
      <c r="J492" s="379">
        <f t="shared" si="25"/>
        <v>0</v>
      </c>
      <c r="K492" s="379"/>
      <c r="L492" s="379">
        <f t="shared" si="26"/>
        <v>0</v>
      </c>
      <c r="M492" s="379"/>
      <c r="N492" s="379">
        <f t="shared" si="27"/>
        <v>0</v>
      </c>
      <c r="O492" s="379">
        <v>3</v>
      </c>
      <c r="P492" s="379">
        <f t="shared" si="28"/>
        <v>21000</v>
      </c>
      <c r="Q492" s="380">
        <f t="shared" si="30"/>
        <v>3</v>
      </c>
    </row>
    <row r="493" spans="1:17">
      <c r="A493" s="374">
        <v>87</v>
      </c>
      <c r="B493" s="211" t="s">
        <v>139</v>
      </c>
      <c r="C493" s="376" t="s">
        <v>736</v>
      </c>
      <c r="D493" s="376">
        <f t="shared" si="29"/>
        <v>2090</v>
      </c>
      <c r="E493" s="376" t="s">
        <v>737</v>
      </c>
      <c r="F493" s="376">
        <v>50</v>
      </c>
      <c r="G493" s="394">
        <v>2090</v>
      </c>
      <c r="H493" s="379">
        <f t="shared" si="24"/>
        <v>104500</v>
      </c>
      <c r="I493" s="394"/>
      <c r="J493" s="379">
        <f t="shared" si="25"/>
        <v>0</v>
      </c>
      <c r="K493" s="379"/>
      <c r="L493" s="379">
        <f t="shared" si="26"/>
        <v>0</v>
      </c>
      <c r="M493" s="379"/>
      <c r="N493" s="379">
        <f t="shared" si="27"/>
        <v>0</v>
      </c>
      <c r="O493" s="379"/>
      <c r="P493" s="379">
        <f t="shared" si="28"/>
        <v>0</v>
      </c>
      <c r="Q493" s="380">
        <f t="shared" si="30"/>
        <v>2090</v>
      </c>
    </row>
    <row r="494" spans="1:17">
      <c r="A494" s="374">
        <v>88</v>
      </c>
      <c r="B494" s="211" t="s">
        <v>738</v>
      </c>
      <c r="C494" s="376" t="s">
        <v>739</v>
      </c>
      <c r="D494" s="376">
        <v>50</v>
      </c>
      <c r="E494" s="376" t="s">
        <v>599</v>
      </c>
      <c r="F494" s="376">
        <v>500</v>
      </c>
      <c r="G494" s="394">
        <v>50</v>
      </c>
      <c r="H494" s="379">
        <f t="shared" si="24"/>
        <v>25000</v>
      </c>
      <c r="I494" s="394"/>
      <c r="J494" s="379">
        <f t="shared" si="25"/>
        <v>0</v>
      </c>
      <c r="K494" s="379"/>
      <c r="L494" s="379">
        <f t="shared" si="26"/>
        <v>0</v>
      </c>
      <c r="M494" s="379"/>
      <c r="N494" s="379">
        <f t="shared" si="27"/>
        <v>0</v>
      </c>
      <c r="O494" s="379"/>
      <c r="P494" s="379">
        <f t="shared" si="28"/>
        <v>0</v>
      </c>
      <c r="Q494" s="380">
        <f t="shared" si="30"/>
        <v>50</v>
      </c>
    </row>
    <row r="495" spans="1:17">
      <c r="A495" s="374">
        <v>89</v>
      </c>
      <c r="B495" s="211" t="s">
        <v>738</v>
      </c>
      <c r="C495" s="376" t="s">
        <v>740</v>
      </c>
      <c r="D495" s="376">
        <f t="shared" ref="D495:D503" si="31">G495+I495+K495+M495+O495</f>
        <v>130</v>
      </c>
      <c r="E495" s="397" t="s">
        <v>9</v>
      </c>
      <c r="F495" s="397">
        <v>250</v>
      </c>
      <c r="G495" s="394">
        <v>0</v>
      </c>
      <c r="H495" s="379">
        <f t="shared" si="24"/>
        <v>0</v>
      </c>
      <c r="I495" s="394"/>
      <c r="J495" s="379">
        <f t="shared" si="25"/>
        <v>0</v>
      </c>
      <c r="K495" s="379"/>
      <c r="L495" s="379">
        <f t="shared" si="26"/>
        <v>0</v>
      </c>
      <c r="M495" s="379"/>
      <c r="N495" s="379">
        <f t="shared" si="27"/>
        <v>0</v>
      </c>
      <c r="O495" s="379">
        <v>130</v>
      </c>
      <c r="P495" s="379">
        <f t="shared" si="28"/>
        <v>32500</v>
      </c>
      <c r="Q495" s="380">
        <f t="shared" si="30"/>
        <v>130</v>
      </c>
    </row>
    <row r="496" spans="1:17">
      <c r="A496" s="374">
        <v>90</v>
      </c>
      <c r="B496" s="211" t="s">
        <v>741</v>
      </c>
      <c r="C496" s="376" t="s">
        <v>742</v>
      </c>
      <c r="D496" s="376">
        <f t="shared" si="31"/>
        <v>6</v>
      </c>
      <c r="E496" s="386" t="s">
        <v>599</v>
      </c>
      <c r="F496" s="397">
        <v>13614.33</v>
      </c>
      <c r="G496" s="394">
        <v>6</v>
      </c>
      <c r="H496" s="379">
        <f t="shared" si="24"/>
        <v>81685.98</v>
      </c>
      <c r="I496" s="394"/>
      <c r="J496" s="379">
        <f t="shared" si="25"/>
        <v>0</v>
      </c>
      <c r="K496" s="379"/>
      <c r="L496" s="379">
        <f t="shared" si="26"/>
        <v>0</v>
      </c>
      <c r="M496" s="379"/>
      <c r="N496" s="379">
        <f t="shared" si="27"/>
        <v>0</v>
      </c>
      <c r="O496" s="379"/>
      <c r="P496" s="379">
        <f t="shared" si="28"/>
        <v>0</v>
      </c>
      <c r="Q496" s="380">
        <f t="shared" si="30"/>
        <v>6</v>
      </c>
    </row>
    <row r="497" spans="1:17">
      <c r="A497" s="374">
        <v>91</v>
      </c>
      <c r="B497" s="29" t="s">
        <v>743</v>
      </c>
      <c r="C497" s="376" t="s">
        <v>744</v>
      </c>
      <c r="D497" s="376">
        <f t="shared" si="31"/>
        <v>1.3</v>
      </c>
      <c r="E497" s="377" t="s">
        <v>745</v>
      </c>
      <c r="F497" s="412">
        <v>2264.3200000000002</v>
      </c>
      <c r="G497" s="379">
        <v>1.3</v>
      </c>
      <c r="H497" s="379">
        <f t="shared" si="24"/>
        <v>2943.6160000000004</v>
      </c>
      <c r="I497" s="379"/>
      <c r="J497" s="379">
        <f t="shared" si="25"/>
        <v>0</v>
      </c>
      <c r="K497" s="379"/>
      <c r="L497" s="379">
        <f t="shared" si="26"/>
        <v>0</v>
      </c>
      <c r="M497" s="379"/>
      <c r="N497" s="379">
        <f t="shared" si="27"/>
        <v>0</v>
      </c>
      <c r="O497" s="379"/>
      <c r="P497" s="379">
        <f t="shared" si="28"/>
        <v>0</v>
      </c>
      <c r="Q497" s="380">
        <f t="shared" si="30"/>
        <v>1.3</v>
      </c>
    </row>
    <row r="498" spans="1:17">
      <c r="A498" s="374">
        <v>92</v>
      </c>
      <c r="B498" s="29" t="s">
        <v>713</v>
      </c>
      <c r="C498" s="376" t="s">
        <v>746</v>
      </c>
      <c r="D498" s="376">
        <f t="shared" si="31"/>
        <v>6</v>
      </c>
      <c r="E498" s="382" t="s">
        <v>9</v>
      </c>
      <c r="F498" s="383">
        <f>1802*1.18</f>
        <v>2126.3599999999997</v>
      </c>
      <c r="G498" s="384">
        <v>6</v>
      </c>
      <c r="H498" s="379">
        <f t="shared" si="24"/>
        <v>12758.159999999998</v>
      </c>
      <c r="I498" s="423"/>
      <c r="J498" s="379">
        <f t="shared" si="25"/>
        <v>0</v>
      </c>
      <c r="K498" s="379"/>
      <c r="L498" s="379">
        <f t="shared" si="26"/>
        <v>0</v>
      </c>
      <c r="M498" s="379"/>
      <c r="N498" s="379">
        <f t="shared" si="27"/>
        <v>0</v>
      </c>
      <c r="O498" s="379"/>
      <c r="P498" s="379">
        <f t="shared" si="28"/>
        <v>0</v>
      </c>
      <c r="Q498" s="380">
        <f t="shared" si="30"/>
        <v>6</v>
      </c>
    </row>
    <row r="499" spans="1:17">
      <c r="A499" s="374">
        <v>93</v>
      </c>
      <c r="B499" s="29" t="s">
        <v>747</v>
      </c>
      <c r="C499" s="376" t="s">
        <v>748</v>
      </c>
      <c r="D499" s="376">
        <f t="shared" si="31"/>
        <v>7</v>
      </c>
      <c r="E499" s="382" t="s">
        <v>9</v>
      </c>
      <c r="F499" s="383">
        <v>1000</v>
      </c>
      <c r="G499" s="384"/>
      <c r="H499" s="379">
        <f t="shared" si="24"/>
        <v>0</v>
      </c>
      <c r="I499" s="384"/>
      <c r="J499" s="379">
        <f t="shared" si="25"/>
        <v>0</v>
      </c>
      <c r="K499" s="384"/>
      <c r="L499" s="379">
        <f t="shared" si="26"/>
        <v>0</v>
      </c>
      <c r="M499" s="384"/>
      <c r="N499" s="379">
        <f t="shared" si="27"/>
        <v>0</v>
      </c>
      <c r="O499" s="384">
        <v>7</v>
      </c>
      <c r="P499" s="379">
        <f t="shared" si="28"/>
        <v>7000</v>
      </c>
      <c r="Q499" s="380">
        <f t="shared" si="30"/>
        <v>7</v>
      </c>
    </row>
    <row r="500" spans="1:17">
      <c r="A500" s="374">
        <v>94</v>
      </c>
      <c r="B500" s="29" t="s">
        <v>749</v>
      </c>
      <c r="C500" s="376" t="s">
        <v>750</v>
      </c>
      <c r="D500" s="376">
        <f t="shared" si="31"/>
        <v>1</v>
      </c>
      <c r="E500" s="386" t="s">
        <v>751</v>
      </c>
      <c r="F500" s="397">
        <v>5000</v>
      </c>
      <c r="G500" s="394"/>
      <c r="H500" s="379">
        <f t="shared" si="24"/>
        <v>0</v>
      </c>
      <c r="I500" s="394"/>
      <c r="J500" s="379">
        <f t="shared" si="25"/>
        <v>0</v>
      </c>
      <c r="K500" s="379"/>
      <c r="L500" s="379">
        <f t="shared" si="26"/>
        <v>0</v>
      </c>
      <c r="M500" s="379"/>
      <c r="N500" s="379">
        <f t="shared" si="27"/>
        <v>0</v>
      </c>
      <c r="O500" s="379">
        <v>1</v>
      </c>
      <c r="P500" s="379">
        <f t="shared" si="28"/>
        <v>5000</v>
      </c>
      <c r="Q500" s="380">
        <f>G500+I500+K500+M500+O500</f>
        <v>1</v>
      </c>
    </row>
    <row r="501" spans="1:17">
      <c r="A501" s="374">
        <v>95</v>
      </c>
      <c r="B501" s="29" t="s">
        <v>752</v>
      </c>
      <c r="C501" s="376" t="s">
        <v>753</v>
      </c>
      <c r="D501" s="376">
        <f t="shared" si="31"/>
        <v>4</v>
      </c>
      <c r="E501" s="386" t="s">
        <v>599</v>
      </c>
      <c r="F501" s="386">
        <v>2862.5</v>
      </c>
      <c r="G501" s="394">
        <v>4</v>
      </c>
      <c r="H501" s="379">
        <f>G501*F501</f>
        <v>11450</v>
      </c>
      <c r="I501" s="394"/>
      <c r="J501" s="379">
        <f>I501*F501</f>
        <v>0</v>
      </c>
      <c r="K501" s="379"/>
      <c r="L501" s="379">
        <f>K501*F501</f>
        <v>0</v>
      </c>
      <c r="M501" s="379"/>
      <c r="N501" s="379">
        <f>M501*F501</f>
        <v>0</v>
      </c>
      <c r="O501" s="379"/>
      <c r="P501" s="379">
        <f>O501*F501</f>
        <v>0</v>
      </c>
      <c r="Q501" s="380">
        <f>G501+I501+K501+M501+O501</f>
        <v>4</v>
      </c>
    </row>
    <row r="502" spans="1:17">
      <c r="A502" s="374">
        <v>96</v>
      </c>
      <c r="B502" s="402" t="s">
        <v>754</v>
      </c>
      <c r="C502" s="390" t="s">
        <v>755</v>
      </c>
      <c r="D502" s="376">
        <f t="shared" si="31"/>
        <v>5</v>
      </c>
      <c r="E502" s="386" t="s">
        <v>552</v>
      </c>
      <c r="F502" s="397">
        <v>50</v>
      </c>
      <c r="G502" s="394"/>
      <c r="H502" s="379">
        <f>G502*F502</f>
        <v>0</v>
      </c>
      <c r="I502" s="394"/>
      <c r="J502" s="379">
        <f>I502*F502</f>
        <v>0</v>
      </c>
      <c r="K502" s="379"/>
      <c r="L502" s="379">
        <f>K502*F502</f>
        <v>0</v>
      </c>
      <c r="M502" s="379"/>
      <c r="N502" s="379">
        <f>M502*F502</f>
        <v>0</v>
      </c>
      <c r="O502" s="379">
        <v>5</v>
      </c>
      <c r="P502" s="379">
        <f>O502*F502</f>
        <v>250</v>
      </c>
      <c r="Q502" s="380">
        <f>G502+I502+K502+M502+O502</f>
        <v>5</v>
      </c>
    </row>
    <row r="503" spans="1:17">
      <c r="A503" s="374">
        <v>97</v>
      </c>
      <c r="B503" s="402" t="s">
        <v>234</v>
      </c>
      <c r="C503" s="390" t="s">
        <v>756</v>
      </c>
      <c r="D503" s="376">
        <f t="shared" si="31"/>
        <v>1.55</v>
      </c>
      <c r="E503" s="397" t="s">
        <v>462</v>
      </c>
      <c r="F503" s="397">
        <v>150</v>
      </c>
      <c r="G503" s="394">
        <v>1.55</v>
      </c>
      <c r="H503" s="379">
        <f>G503*F503</f>
        <v>232.5</v>
      </c>
      <c r="I503" s="394"/>
      <c r="J503" s="379">
        <f>I503*F503</f>
        <v>0</v>
      </c>
      <c r="K503" s="379"/>
      <c r="L503" s="379">
        <f>K503*F503</f>
        <v>0</v>
      </c>
      <c r="M503" s="379"/>
      <c r="N503" s="379">
        <f>M503*F503</f>
        <v>0</v>
      </c>
      <c r="O503" s="379"/>
      <c r="P503" s="379">
        <f>O503*F503</f>
        <v>0</v>
      </c>
      <c r="Q503" s="380">
        <f>G503+I503+K503+M503+O503</f>
        <v>1.55</v>
      </c>
    </row>
    <row r="504" spans="1:17">
      <c r="A504" s="424"/>
      <c r="B504" s="425"/>
      <c r="C504" s="426"/>
      <c r="D504" s="427"/>
      <c r="E504" s="427"/>
      <c r="F504" s="427"/>
      <c r="G504" s="427"/>
      <c r="H504" s="428">
        <f>SUM(H407:H503)</f>
        <v>2218295.4309999999</v>
      </c>
      <c r="I504" s="428"/>
      <c r="J504" s="379">
        <f>I504*F504</f>
        <v>0</v>
      </c>
      <c r="K504" s="428"/>
      <c r="L504" s="428">
        <f>SUM(L407:L503)</f>
        <v>0</v>
      </c>
      <c r="M504" s="428"/>
      <c r="N504" s="428">
        <f>SUM(N407:N503)</f>
        <v>0</v>
      </c>
      <c r="O504" s="428"/>
      <c r="P504" s="428">
        <f>SUM(P407:P503)</f>
        <v>125336.9</v>
      </c>
      <c r="Q504" s="428"/>
    </row>
    <row r="505" spans="1:17">
      <c r="A505" s="424"/>
      <c r="B505" s="425"/>
      <c r="C505" s="426"/>
      <c r="D505" s="426"/>
      <c r="E505" s="426"/>
      <c r="F505" s="429"/>
      <c r="G505" s="429"/>
      <c r="H505" s="430">
        <f>H504+J504+L504+N504+P504</f>
        <v>2343632.3309999998</v>
      </c>
      <c r="I505" s="430"/>
      <c r="J505" s="430"/>
      <c r="K505" s="430"/>
      <c r="L505" s="430"/>
      <c r="M505" s="430"/>
      <c r="N505" s="430"/>
      <c r="O505" s="430"/>
      <c r="P505" s="430"/>
      <c r="Q505" s="431"/>
    </row>
    <row r="506" spans="1:17" ht="18.75">
      <c r="A506" s="337"/>
      <c r="B506" s="337"/>
      <c r="C506" s="338" t="s">
        <v>757</v>
      </c>
      <c r="D506" s="338"/>
      <c r="E506" s="338"/>
      <c r="F506" s="338"/>
      <c r="G506" s="338"/>
      <c r="H506" s="338"/>
      <c r="I506" s="338"/>
      <c r="J506" s="338"/>
      <c r="K506" s="338"/>
      <c r="L506" s="338"/>
      <c r="M506" s="338"/>
      <c r="N506" s="338"/>
      <c r="O506" s="338"/>
      <c r="P506" s="338"/>
      <c r="Q506" s="339"/>
    </row>
    <row r="507" spans="1:17" ht="18.75">
      <c r="A507" s="340"/>
      <c r="B507" s="340"/>
      <c r="C507" s="341"/>
      <c r="D507" s="341"/>
      <c r="E507" s="341"/>
      <c r="F507" s="341"/>
      <c r="G507" s="341"/>
      <c r="H507" s="341"/>
      <c r="I507" s="341"/>
      <c r="J507" s="341"/>
      <c r="K507" s="341"/>
      <c r="L507" s="341"/>
      <c r="M507" s="341"/>
      <c r="N507" s="341"/>
      <c r="O507" s="341"/>
      <c r="P507" s="341"/>
      <c r="Q507" s="342"/>
    </row>
    <row r="508" spans="1:17">
      <c r="A508" s="343" t="s">
        <v>580</v>
      </c>
      <c r="B508" s="344" t="s">
        <v>581</v>
      </c>
      <c r="C508" s="345" t="s">
        <v>582</v>
      </c>
      <c r="D508" s="346" t="s">
        <v>583</v>
      </c>
      <c r="E508" s="347" t="s">
        <v>584</v>
      </c>
      <c r="F508" s="348" t="s">
        <v>585</v>
      </c>
      <c r="G508" s="349" t="s">
        <v>18</v>
      </c>
      <c r="H508" s="350"/>
      <c r="I508" s="351" t="s">
        <v>29</v>
      </c>
      <c r="J508" s="352"/>
      <c r="K508" s="351" t="s">
        <v>21</v>
      </c>
      <c r="L508" s="352"/>
      <c r="M508" s="351" t="s">
        <v>586</v>
      </c>
      <c r="N508" s="352"/>
      <c r="O508" s="351" t="s">
        <v>587</v>
      </c>
      <c r="P508" s="352"/>
      <c r="Q508" s="353" t="s">
        <v>588</v>
      </c>
    </row>
    <row r="509" spans="1:17">
      <c r="A509" s="343"/>
      <c r="B509" s="344"/>
      <c r="C509" s="345"/>
      <c r="D509" s="354"/>
      <c r="E509" s="347"/>
      <c r="F509" s="348"/>
      <c r="G509" s="355"/>
      <c r="H509" s="356"/>
      <c r="I509" s="357"/>
      <c r="J509" s="358"/>
      <c r="K509" s="357"/>
      <c r="L509" s="358"/>
      <c r="M509" s="357"/>
      <c r="N509" s="358"/>
      <c r="O509" s="357"/>
      <c r="P509" s="358"/>
      <c r="Q509" s="359"/>
    </row>
    <row r="510" spans="1:17">
      <c r="A510" s="343"/>
      <c r="B510" s="344"/>
      <c r="C510" s="345"/>
      <c r="D510" s="360"/>
      <c r="E510" s="347"/>
      <c r="F510" s="348"/>
      <c r="G510" s="361"/>
      <c r="H510" s="362"/>
      <c r="I510" s="363"/>
      <c r="J510" s="364"/>
      <c r="K510" s="363"/>
      <c r="L510" s="364"/>
      <c r="M510" s="363"/>
      <c r="N510" s="364"/>
      <c r="O510" s="363"/>
      <c r="P510" s="364"/>
      <c r="Q510" s="365"/>
    </row>
    <row r="511" spans="1:17">
      <c r="A511" s="366" t="s">
        <v>589</v>
      </c>
      <c r="B511" s="367"/>
      <c r="C511" s="368"/>
      <c r="D511" s="368"/>
      <c r="E511" s="369"/>
      <c r="F511" s="370"/>
      <c r="G511" s="371" t="s">
        <v>583</v>
      </c>
      <c r="H511" s="371" t="s">
        <v>0</v>
      </c>
      <c r="I511" s="372" t="s">
        <v>583</v>
      </c>
      <c r="J511" s="372" t="s">
        <v>0</v>
      </c>
      <c r="K511" s="371" t="s">
        <v>583</v>
      </c>
      <c r="L511" s="371" t="s">
        <v>0</v>
      </c>
      <c r="M511" s="371" t="s">
        <v>583</v>
      </c>
      <c r="N511" s="371" t="s">
        <v>0</v>
      </c>
      <c r="O511" s="371" t="s">
        <v>583</v>
      </c>
      <c r="P511" s="371" t="s">
        <v>0</v>
      </c>
      <c r="Q511" s="373"/>
    </row>
    <row r="512" spans="1:17">
      <c r="A512" s="374">
        <v>1</v>
      </c>
      <c r="B512" s="29" t="s">
        <v>348</v>
      </c>
      <c r="C512" s="432" t="s">
        <v>758</v>
      </c>
      <c r="D512" s="376">
        <f t="shared" ref="D512:D558" si="32">G512+I512+K512+M512+O512</f>
        <v>0.15</v>
      </c>
      <c r="E512" s="8" t="s">
        <v>555</v>
      </c>
      <c r="F512" s="433">
        <v>187620</v>
      </c>
      <c r="G512" s="187">
        <v>0.15</v>
      </c>
      <c r="H512" s="379">
        <f t="shared" ref="H512:H558" si="33">G512*F512</f>
        <v>28143</v>
      </c>
      <c r="I512" s="385"/>
      <c r="J512" s="379">
        <f t="shared" ref="J512:J558" si="34">I512*F512</f>
        <v>0</v>
      </c>
      <c r="K512" s="385"/>
      <c r="L512" s="379">
        <f t="shared" ref="L512:L558" si="35">K512*F512</f>
        <v>0</v>
      </c>
      <c r="M512" s="385"/>
      <c r="N512" s="379">
        <f t="shared" ref="N512:N558" si="36">M512*F512</f>
        <v>0</v>
      </c>
      <c r="O512" s="385"/>
      <c r="P512" s="379">
        <f t="shared" ref="P512:P558" si="37">O512*F512</f>
        <v>0</v>
      </c>
      <c r="Q512" s="380">
        <f t="shared" ref="Q512:Q558" si="38">G512+I512+K512+M512+O512</f>
        <v>0.15</v>
      </c>
    </row>
    <row r="513" spans="1:17">
      <c r="A513" s="374">
        <v>2</v>
      </c>
      <c r="B513" s="29" t="s">
        <v>350</v>
      </c>
      <c r="C513" s="432" t="s">
        <v>759</v>
      </c>
      <c r="D513" s="376">
        <f t="shared" si="32"/>
        <v>0.15</v>
      </c>
      <c r="E513" s="8" t="s">
        <v>555</v>
      </c>
      <c r="F513" s="395">
        <v>237652</v>
      </c>
      <c r="G513" s="8">
        <v>0.15</v>
      </c>
      <c r="H513" s="379">
        <f t="shared" si="33"/>
        <v>35647.799999999996</v>
      </c>
      <c r="I513" s="385"/>
      <c r="J513" s="379">
        <f t="shared" si="34"/>
        <v>0</v>
      </c>
      <c r="K513" s="385"/>
      <c r="L513" s="379">
        <f t="shared" si="35"/>
        <v>0</v>
      </c>
      <c r="M513" s="385"/>
      <c r="N513" s="379">
        <f t="shared" si="36"/>
        <v>0</v>
      </c>
      <c r="O513" s="385"/>
      <c r="P513" s="379">
        <f t="shared" si="37"/>
        <v>0</v>
      </c>
      <c r="Q513" s="380">
        <f t="shared" si="38"/>
        <v>0.15</v>
      </c>
    </row>
    <row r="514" spans="1:17">
      <c r="A514" s="374">
        <v>3</v>
      </c>
      <c r="B514" s="29" t="s">
        <v>342</v>
      </c>
      <c r="C514" s="432" t="s">
        <v>760</v>
      </c>
      <c r="D514" s="376">
        <f t="shared" si="32"/>
        <v>0.15</v>
      </c>
      <c r="E514" s="8" t="s">
        <v>555</v>
      </c>
      <c r="F514" s="434">
        <v>326959.09999999998</v>
      </c>
      <c r="G514" s="8">
        <v>0.15</v>
      </c>
      <c r="H514" s="379">
        <f t="shared" si="33"/>
        <v>49043.864999999998</v>
      </c>
      <c r="I514" s="385"/>
      <c r="J514" s="379">
        <f t="shared" si="34"/>
        <v>0</v>
      </c>
      <c r="K514" s="385"/>
      <c r="L514" s="379">
        <f t="shared" si="35"/>
        <v>0</v>
      </c>
      <c r="M514" s="385"/>
      <c r="N514" s="379">
        <f t="shared" si="36"/>
        <v>0</v>
      </c>
      <c r="O514" s="385"/>
      <c r="P514" s="379">
        <f t="shared" si="37"/>
        <v>0</v>
      </c>
      <c r="Q514" s="380">
        <f t="shared" si="38"/>
        <v>0.15</v>
      </c>
    </row>
    <row r="515" spans="1:17" ht="25.5">
      <c r="A515" s="374">
        <v>4</v>
      </c>
      <c r="B515" s="29" t="s">
        <v>594</v>
      </c>
      <c r="C515" s="375" t="s">
        <v>761</v>
      </c>
      <c r="D515" s="376">
        <f t="shared" si="32"/>
        <v>10</v>
      </c>
      <c r="E515" s="8" t="s">
        <v>13</v>
      </c>
      <c r="F515" s="8">
        <v>97562.4</v>
      </c>
      <c r="G515" s="8">
        <v>10</v>
      </c>
      <c r="H515" s="379">
        <f t="shared" si="33"/>
        <v>975624</v>
      </c>
      <c r="I515" s="385"/>
      <c r="J515" s="379">
        <f t="shared" si="34"/>
        <v>0</v>
      </c>
      <c r="K515" s="385"/>
      <c r="L515" s="379">
        <f t="shared" si="35"/>
        <v>0</v>
      </c>
      <c r="M515" s="385"/>
      <c r="N515" s="379">
        <f t="shared" si="36"/>
        <v>0</v>
      </c>
      <c r="O515" s="385"/>
      <c r="P515" s="379">
        <f t="shared" si="37"/>
        <v>0</v>
      </c>
      <c r="Q515" s="380">
        <f t="shared" si="38"/>
        <v>10</v>
      </c>
    </row>
    <row r="516" spans="1:17">
      <c r="A516" s="374">
        <v>5</v>
      </c>
      <c r="B516" s="29" t="s">
        <v>762</v>
      </c>
      <c r="C516" s="376" t="s">
        <v>763</v>
      </c>
      <c r="D516" s="376">
        <f t="shared" si="32"/>
        <v>0.45</v>
      </c>
      <c r="E516" s="8" t="s">
        <v>324</v>
      </c>
      <c r="F516" s="8">
        <v>168858</v>
      </c>
      <c r="G516" s="8">
        <v>0.45</v>
      </c>
      <c r="H516" s="379">
        <f t="shared" si="33"/>
        <v>75986.100000000006</v>
      </c>
      <c r="I516" s="385"/>
      <c r="J516" s="379">
        <f t="shared" si="34"/>
        <v>0</v>
      </c>
      <c r="K516" s="385"/>
      <c r="L516" s="379">
        <f t="shared" si="35"/>
        <v>0</v>
      </c>
      <c r="M516" s="385"/>
      <c r="N516" s="379">
        <f t="shared" si="36"/>
        <v>0</v>
      </c>
      <c r="O516" s="385"/>
      <c r="P516" s="379">
        <f t="shared" si="37"/>
        <v>0</v>
      </c>
      <c r="Q516" s="380">
        <f t="shared" si="38"/>
        <v>0.45</v>
      </c>
    </row>
    <row r="517" spans="1:17">
      <c r="A517" s="374">
        <v>6</v>
      </c>
      <c r="B517" s="435" t="s">
        <v>764</v>
      </c>
      <c r="C517" s="376" t="s">
        <v>765</v>
      </c>
      <c r="D517" s="376">
        <f t="shared" si="32"/>
        <v>1800</v>
      </c>
      <c r="E517" s="8" t="s">
        <v>5</v>
      </c>
      <c r="F517" s="8">
        <v>25</v>
      </c>
      <c r="G517" s="436"/>
      <c r="H517" s="379">
        <f t="shared" si="33"/>
        <v>0</v>
      </c>
      <c r="I517" s="385"/>
      <c r="J517" s="379">
        <f t="shared" si="34"/>
        <v>0</v>
      </c>
      <c r="K517" s="385"/>
      <c r="L517" s="379">
        <f t="shared" si="35"/>
        <v>0</v>
      </c>
      <c r="M517" s="385"/>
      <c r="N517" s="379">
        <f t="shared" si="36"/>
        <v>0</v>
      </c>
      <c r="O517" s="385">
        <v>1800</v>
      </c>
      <c r="P517" s="379">
        <f t="shared" si="37"/>
        <v>45000</v>
      </c>
      <c r="Q517" s="380">
        <f t="shared" si="38"/>
        <v>1800</v>
      </c>
    </row>
    <row r="518" spans="1:17">
      <c r="A518" s="374">
        <v>7</v>
      </c>
      <c r="B518" s="437" t="s">
        <v>766</v>
      </c>
      <c r="C518" s="432" t="s">
        <v>767</v>
      </c>
      <c r="D518" s="376">
        <f t="shared" si="32"/>
        <v>2</v>
      </c>
      <c r="E518" s="397" t="s">
        <v>9</v>
      </c>
      <c r="F518" s="397">
        <v>30000</v>
      </c>
      <c r="G518" s="394"/>
      <c r="H518" s="379">
        <f t="shared" si="33"/>
        <v>0</v>
      </c>
      <c r="I518" s="394"/>
      <c r="J518" s="379">
        <f t="shared" si="34"/>
        <v>0</v>
      </c>
      <c r="K518" s="379"/>
      <c r="L518" s="379">
        <f t="shared" si="35"/>
        <v>0</v>
      </c>
      <c r="M518" s="379"/>
      <c r="N518" s="379">
        <f t="shared" si="36"/>
        <v>0</v>
      </c>
      <c r="O518" s="379">
        <v>2</v>
      </c>
      <c r="P518" s="379">
        <f t="shared" si="37"/>
        <v>60000</v>
      </c>
      <c r="Q518" s="380">
        <f t="shared" si="38"/>
        <v>2</v>
      </c>
    </row>
    <row r="519" spans="1:17">
      <c r="A519" s="374">
        <v>8</v>
      </c>
      <c r="B519" s="29" t="s">
        <v>768</v>
      </c>
      <c r="C519" s="432" t="s">
        <v>769</v>
      </c>
      <c r="D519" s="376">
        <f t="shared" si="32"/>
        <v>1</v>
      </c>
      <c r="E519" s="386" t="s">
        <v>599</v>
      </c>
      <c r="F519" s="386">
        <v>50000</v>
      </c>
      <c r="G519" s="394"/>
      <c r="H519" s="379">
        <f t="shared" si="33"/>
        <v>0</v>
      </c>
      <c r="I519" s="394"/>
      <c r="J519" s="379">
        <f t="shared" si="34"/>
        <v>0</v>
      </c>
      <c r="K519" s="379"/>
      <c r="L519" s="379">
        <f t="shared" si="35"/>
        <v>0</v>
      </c>
      <c r="M519" s="379"/>
      <c r="N519" s="379">
        <f t="shared" si="36"/>
        <v>0</v>
      </c>
      <c r="O519" s="379">
        <v>1</v>
      </c>
      <c r="P519" s="379">
        <f t="shared" si="37"/>
        <v>50000</v>
      </c>
      <c r="Q519" s="380">
        <f t="shared" si="38"/>
        <v>1</v>
      </c>
    </row>
    <row r="520" spans="1:17" ht="24">
      <c r="A520" s="374">
        <v>9</v>
      </c>
      <c r="B520" s="29" t="s">
        <v>768</v>
      </c>
      <c r="C520" s="432" t="s">
        <v>770</v>
      </c>
      <c r="D520" s="376">
        <f t="shared" si="32"/>
        <v>1</v>
      </c>
      <c r="E520" s="382" t="s">
        <v>599</v>
      </c>
      <c r="F520" s="383">
        <v>50000</v>
      </c>
      <c r="G520" s="398"/>
      <c r="H520" s="379">
        <f t="shared" si="33"/>
        <v>0</v>
      </c>
      <c r="I520" s="385"/>
      <c r="J520" s="379">
        <f t="shared" si="34"/>
        <v>0</v>
      </c>
      <c r="K520" s="385"/>
      <c r="L520" s="379">
        <f t="shared" si="35"/>
        <v>0</v>
      </c>
      <c r="M520" s="385"/>
      <c r="N520" s="379">
        <f t="shared" si="36"/>
        <v>0</v>
      </c>
      <c r="O520" s="385">
        <v>1</v>
      </c>
      <c r="P520" s="379">
        <f t="shared" si="37"/>
        <v>50000</v>
      </c>
      <c r="Q520" s="380">
        <f t="shared" si="38"/>
        <v>1</v>
      </c>
    </row>
    <row r="521" spans="1:17">
      <c r="A521" s="374"/>
      <c r="B521" s="29" t="s">
        <v>771</v>
      </c>
      <c r="C521" s="432" t="s">
        <v>772</v>
      </c>
      <c r="D521" s="376">
        <v>1</v>
      </c>
      <c r="E521" s="382" t="s">
        <v>9</v>
      </c>
      <c r="F521" s="383">
        <v>50000</v>
      </c>
      <c r="G521" s="398"/>
      <c r="H521" s="379">
        <f>G521*F521</f>
        <v>0</v>
      </c>
      <c r="I521" s="385"/>
      <c r="J521" s="379">
        <f>I521*F521</f>
        <v>0</v>
      </c>
      <c r="K521" s="385"/>
      <c r="L521" s="379">
        <f>K521*F521</f>
        <v>0</v>
      </c>
      <c r="M521" s="385"/>
      <c r="N521" s="379">
        <f>M521*F521</f>
        <v>0</v>
      </c>
      <c r="O521" s="385">
        <v>1</v>
      </c>
      <c r="P521" s="379">
        <f t="shared" si="37"/>
        <v>50000</v>
      </c>
      <c r="Q521" s="380">
        <f t="shared" si="38"/>
        <v>1</v>
      </c>
    </row>
    <row r="522" spans="1:17">
      <c r="A522" s="374">
        <v>10</v>
      </c>
      <c r="B522" s="29" t="s">
        <v>773</v>
      </c>
      <c r="C522" s="432" t="s">
        <v>774</v>
      </c>
      <c r="D522" s="376">
        <f t="shared" si="32"/>
        <v>1</v>
      </c>
      <c r="E522" s="438" t="s">
        <v>599</v>
      </c>
      <c r="F522" s="438">
        <v>25000</v>
      </c>
      <c r="G522" s="380">
        <v>1</v>
      </c>
      <c r="H522" s="379">
        <f t="shared" si="33"/>
        <v>25000</v>
      </c>
      <c r="I522" s="380"/>
      <c r="J522" s="379">
        <f t="shared" si="34"/>
        <v>0</v>
      </c>
      <c r="K522" s="379"/>
      <c r="L522" s="379">
        <f t="shared" si="35"/>
        <v>0</v>
      </c>
      <c r="M522" s="379"/>
      <c r="N522" s="379">
        <f t="shared" si="36"/>
        <v>0</v>
      </c>
      <c r="O522" s="379"/>
      <c r="P522" s="379">
        <f t="shared" si="37"/>
        <v>0</v>
      </c>
      <c r="Q522" s="380">
        <f t="shared" si="38"/>
        <v>1</v>
      </c>
    </row>
    <row r="523" spans="1:17" ht="24">
      <c r="A523" s="374">
        <v>11</v>
      </c>
      <c r="B523" s="29" t="s">
        <v>775</v>
      </c>
      <c r="C523" s="439" t="s">
        <v>776</v>
      </c>
      <c r="D523" s="376">
        <f t="shared" si="32"/>
        <v>1</v>
      </c>
      <c r="E523" s="406" t="s">
        <v>599</v>
      </c>
      <c r="F523" s="407">
        <v>1000</v>
      </c>
      <c r="G523" s="380"/>
      <c r="H523" s="379">
        <f t="shared" si="33"/>
        <v>0</v>
      </c>
      <c r="I523" s="380"/>
      <c r="J523" s="379">
        <f t="shared" si="34"/>
        <v>0</v>
      </c>
      <c r="K523" s="379"/>
      <c r="L523" s="379">
        <f t="shared" si="35"/>
        <v>0</v>
      </c>
      <c r="M523" s="379"/>
      <c r="N523" s="379">
        <f t="shared" si="36"/>
        <v>0</v>
      </c>
      <c r="O523" s="379">
        <v>1</v>
      </c>
      <c r="P523" s="379">
        <f t="shared" si="37"/>
        <v>1000</v>
      </c>
      <c r="Q523" s="380">
        <f t="shared" si="38"/>
        <v>1</v>
      </c>
    </row>
    <row r="524" spans="1:17" ht="24">
      <c r="A524" s="374">
        <v>12</v>
      </c>
      <c r="B524" s="384" t="s">
        <v>777</v>
      </c>
      <c r="C524" s="432" t="s">
        <v>778</v>
      </c>
      <c r="D524" s="376">
        <f t="shared" si="32"/>
        <v>1</v>
      </c>
      <c r="E524" s="438" t="s">
        <v>599</v>
      </c>
      <c r="F524" s="438">
        <v>10000</v>
      </c>
      <c r="G524" s="380"/>
      <c r="H524" s="379">
        <f t="shared" si="33"/>
        <v>0</v>
      </c>
      <c r="I524" s="380"/>
      <c r="J524" s="379">
        <f t="shared" si="34"/>
        <v>0</v>
      </c>
      <c r="K524" s="379"/>
      <c r="L524" s="379">
        <f t="shared" si="35"/>
        <v>0</v>
      </c>
      <c r="M524" s="379"/>
      <c r="N524" s="379">
        <f t="shared" si="36"/>
        <v>0</v>
      </c>
      <c r="O524" s="379">
        <v>1</v>
      </c>
      <c r="P524" s="379">
        <f t="shared" si="37"/>
        <v>10000</v>
      </c>
      <c r="Q524" s="380">
        <f t="shared" si="38"/>
        <v>1</v>
      </c>
    </row>
    <row r="525" spans="1:17" ht="24">
      <c r="A525" s="374">
        <v>13</v>
      </c>
      <c r="B525" s="29" t="s">
        <v>779</v>
      </c>
      <c r="C525" s="432" t="s">
        <v>780</v>
      </c>
      <c r="D525" s="376">
        <f t="shared" si="32"/>
        <v>1</v>
      </c>
      <c r="E525" s="438" t="s">
        <v>599</v>
      </c>
      <c r="F525" s="438">
        <v>10000</v>
      </c>
      <c r="G525" s="380"/>
      <c r="H525" s="379">
        <f t="shared" si="33"/>
        <v>0</v>
      </c>
      <c r="I525" s="380"/>
      <c r="J525" s="379">
        <f t="shared" si="34"/>
        <v>0</v>
      </c>
      <c r="K525" s="379"/>
      <c r="L525" s="379">
        <f t="shared" si="35"/>
        <v>0</v>
      </c>
      <c r="M525" s="379"/>
      <c r="N525" s="379">
        <f t="shared" si="36"/>
        <v>0</v>
      </c>
      <c r="O525" s="379">
        <v>1</v>
      </c>
      <c r="P525" s="379">
        <f t="shared" si="37"/>
        <v>10000</v>
      </c>
      <c r="Q525" s="380">
        <f t="shared" si="38"/>
        <v>1</v>
      </c>
    </row>
    <row r="526" spans="1:17" ht="24">
      <c r="A526" s="374">
        <v>14</v>
      </c>
      <c r="B526" s="29" t="s">
        <v>781</v>
      </c>
      <c r="C526" s="440" t="s">
        <v>782</v>
      </c>
      <c r="D526" s="376">
        <f t="shared" si="32"/>
        <v>1</v>
      </c>
      <c r="E526" s="379" t="s">
        <v>599</v>
      </c>
      <c r="F526" s="380">
        <v>5000</v>
      </c>
      <c r="G526" s="379"/>
      <c r="H526" s="379">
        <f t="shared" si="33"/>
        <v>0</v>
      </c>
      <c r="I526" s="379"/>
      <c r="J526" s="379">
        <f t="shared" si="34"/>
        <v>0</v>
      </c>
      <c r="K526" s="379"/>
      <c r="L526" s="379">
        <f t="shared" si="35"/>
        <v>0</v>
      </c>
      <c r="M526" s="379"/>
      <c r="N526" s="379">
        <f t="shared" si="36"/>
        <v>0</v>
      </c>
      <c r="O526" s="379">
        <v>1</v>
      </c>
      <c r="P526" s="379">
        <f t="shared" si="37"/>
        <v>5000</v>
      </c>
      <c r="Q526" s="380">
        <f t="shared" si="38"/>
        <v>1</v>
      </c>
    </row>
    <row r="527" spans="1:17" ht="24">
      <c r="A527" s="374">
        <v>15</v>
      </c>
      <c r="B527" s="29" t="s">
        <v>783</v>
      </c>
      <c r="C527" s="432" t="s">
        <v>784</v>
      </c>
      <c r="D527" s="376">
        <f t="shared" si="32"/>
        <v>1</v>
      </c>
      <c r="E527" s="438" t="s">
        <v>599</v>
      </c>
      <c r="F527" s="438">
        <v>5000</v>
      </c>
      <c r="G527" s="380"/>
      <c r="H527" s="379">
        <f t="shared" si="33"/>
        <v>0</v>
      </c>
      <c r="I527" s="380"/>
      <c r="J527" s="379">
        <f t="shared" si="34"/>
        <v>0</v>
      </c>
      <c r="K527" s="379"/>
      <c r="L527" s="379">
        <f t="shared" si="35"/>
        <v>0</v>
      </c>
      <c r="M527" s="379"/>
      <c r="N527" s="379">
        <f t="shared" si="36"/>
        <v>0</v>
      </c>
      <c r="O527" s="379">
        <v>1</v>
      </c>
      <c r="P527" s="379">
        <f t="shared" si="37"/>
        <v>5000</v>
      </c>
      <c r="Q527" s="380">
        <f t="shared" si="38"/>
        <v>1</v>
      </c>
    </row>
    <row r="528" spans="1:17" ht="24">
      <c r="A528" s="374">
        <v>16</v>
      </c>
      <c r="B528" s="29" t="s">
        <v>781</v>
      </c>
      <c r="C528" s="432" t="s">
        <v>785</v>
      </c>
      <c r="D528" s="376">
        <f t="shared" si="32"/>
        <v>1</v>
      </c>
      <c r="E528" s="438" t="s">
        <v>599</v>
      </c>
      <c r="F528" s="438">
        <v>10000</v>
      </c>
      <c r="G528" s="380"/>
      <c r="H528" s="379">
        <f t="shared" si="33"/>
        <v>0</v>
      </c>
      <c r="I528" s="380"/>
      <c r="J528" s="379">
        <f t="shared" si="34"/>
        <v>0</v>
      </c>
      <c r="K528" s="379"/>
      <c r="L528" s="379">
        <f t="shared" si="35"/>
        <v>0</v>
      </c>
      <c r="M528" s="379"/>
      <c r="N528" s="379">
        <f t="shared" si="36"/>
        <v>0</v>
      </c>
      <c r="O528" s="379">
        <v>1</v>
      </c>
      <c r="P528" s="379">
        <f t="shared" si="37"/>
        <v>10000</v>
      </c>
      <c r="Q528" s="380">
        <f t="shared" si="38"/>
        <v>1</v>
      </c>
    </row>
    <row r="529" spans="1:17" ht="24">
      <c r="A529" s="374">
        <v>17</v>
      </c>
      <c r="B529" s="29" t="s">
        <v>786</v>
      </c>
      <c r="C529" s="432" t="s">
        <v>787</v>
      </c>
      <c r="D529" s="376">
        <f t="shared" si="32"/>
        <v>1</v>
      </c>
      <c r="E529" s="438" t="s">
        <v>599</v>
      </c>
      <c r="F529" s="438">
        <v>10000</v>
      </c>
      <c r="G529" s="380"/>
      <c r="H529" s="379">
        <f t="shared" si="33"/>
        <v>0</v>
      </c>
      <c r="I529" s="380"/>
      <c r="J529" s="379">
        <f t="shared" si="34"/>
        <v>0</v>
      </c>
      <c r="K529" s="379"/>
      <c r="L529" s="379">
        <f t="shared" si="35"/>
        <v>0</v>
      </c>
      <c r="M529" s="379"/>
      <c r="N529" s="379">
        <f t="shared" si="36"/>
        <v>0</v>
      </c>
      <c r="O529" s="379">
        <v>1</v>
      </c>
      <c r="P529" s="379">
        <f t="shared" si="37"/>
        <v>10000</v>
      </c>
      <c r="Q529" s="380">
        <f t="shared" si="38"/>
        <v>1</v>
      </c>
    </row>
    <row r="530" spans="1:17" ht="24">
      <c r="A530" s="374">
        <v>18</v>
      </c>
      <c r="B530" s="29" t="s">
        <v>786</v>
      </c>
      <c r="C530" s="432" t="s">
        <v>788</v>
      </c>
      <c r="D530" s="376">
        <f t="shared" si="32"/>
        <v>3</v>
      </c>
      <c r="E530" s="438" t="s">
        <v>599</v>
      </c>
      <c r="F530" s="438">
        <v>5000</v>
      </c>
      <c r="G530" s="380"/>
      <c r="H530" s="379">
        <f t="shared" si="33"/>
        <v>0</v>
      </c>
      <c r="I530" s="380"/>
      <c r="J530" s="379">
        <f t="shared" si="34"/>
        <v>0</v>
      </c>
      <c r="K530" s="379"/>
      <c r="L530" s="379">
        <f t="shared" si="35"/>
        <v>0</v>
      </c>
      <c r="M530" s="379"/>
      <c r="N530" s="379">
        <f t="shared" si="36"/>
        <v>0</v>
      </c>
      <c r="O530" s="379">
        <v>3</v>
      </c>
      <c r="P530" s="379">
        <f t="shared" si="37"/>
        <v>15000</v>
      </c>
      <c r="Q530" s="380">
        <f t="shared" si="38"/>
        <v>3</v>
      </c>
    </row>
    <row r="531" spans="1:17" ht="24">
      <c r="A531" s="374">
        <v>19</v>
      </c>
      <c r="B531" s="29" t="s">
        <v>783</v>
      </c>
      <c r="C531" s="432" t="s">
        <v>789</v>
      </c>
      <c r="D531" s="376">
        <f t="shared" si="32"/>
        <v>1</v>
      </c>
      <c r="E531" s="438" t="s">
        <v>599</v>
      </c>
      <c r="F531" s="438">
        <v>5000</v>
      </c>
      <c r="G531" s="380"/>
      <c r="H531" s="379">
        <f t="shared" si="33"/>
        <v>0</v>
      </c>
      <c r="I531" s="380"/>
      <c r="J531" s="379">
        <f t="shared" si="34"/>
        <v>0</v>
      </c>
      <c r="K531" s="379"/>
      <c r="L531" s="379">
        <f t="shared" si="35"/>
        <v>0</v>
      </c>
      <c r="M531" s="379"/>
      <c r="N531" s="379">
        <f t="shared" si="36"/>
        <v>0</v>
      </c>
      <c r="O531" s="379">
        <v>1</v>
      </c>
      <c r="P531" s="379">
        <f t="shared" si="37"/>
        <v>5000</v>
      </c>
      <c r="Q531" s="380">
        <f t="shared" si="38"/>
        <v>1</v>
      </c>
    </row>
    <row r="532" spans="1:17" ht="24">
      <c r="A532" s="374">
        <v>20</v>
      </c>
      <c r="B532" s="29" t="s">
        <v>781</v>
      </c>
      <c r="C532" s="432" t="s">
        <v>790</v>
      </c>
      <c r="D532" s="376">
        <f t="shared" si="32"/>
        <v>1</v>
      </c>
      <c r="E532" s="438" t="s">
        <v>599</v>
      </c>
      <c r="F532" s="438">
        <v>5000</v>
      </c>
      <c r="G532" s="380"/>
      <c r="H532" s="379">
        <f t="shared" si="33"/>
        <v>0</v>
      </c>
      <c r="I532" s="380"/>
      <c r="J532" s="379">
        <f t="shared" si="34"/>
        <v>0</v>
      </c>
      <c r="K532" s="379"/>
      <c r="L532" s="379">
        <f t="shared" si="35"/>
        <v>0</v>
      </c>
      <c r="M532" s="379"/>
      <c r="N532" s="379">
        <f t="shared" si="36"/>
        <v>0</v>
      </c>
      <c r="O532" s="379">
        <v>1</v>
      </c>
      <c r="P532" s="379">
        <f t="shared" si="37"/>
        <v>5000</v>
      </c>
      <c r="Q532" s="380">
        <f t="shared" si="38"/>
        <v>1</v>
      </c>
    </row>
    <row r="533" spans="1:17">
      <c r="A533" s="374">
        <v>21</v>
      </c>
      <c r="B533" s="435" t="s">
        <v>791</v>
      </c>
      <c r="C533" s="390" t="s">
        <v>792</v>
      </c>
      <c r="D533" s="376">
        <f t="shared" si="32"/>
        <v>1</v>
      </c>
      <c r="E533" s="382" t="s">
        <v>9</v>
      </c>
      <c r="F533" s="383">
        <v>5000</v>
      </c>
      <c r="G533" s="398"/>
      <c r="H533" s="379">
        <f t="shared" si="33"/>
        <v>0</v>
      </c>
      <c r="I533" s="385"/>
      <c r="J533" s="379">
        <f t="shared" si="34"/>
        <v>0</v>
      </c>
      <c r="K533" s="384"/>
      <c r="L533" s="379">
        <f t="shared" si="35"/>
        <v>0</v>
      </c>
      <c r="M533" s="384"/>
      <c r="N533" s="379">
        <f t="shared" si="36"/>
        <v>0</v>
      </c>
      <c r="O533" s="385">
        <v>1</v>
      </c>
      <c r="P533" s="379">
        <f t="shared" si="37"/>
        <v>5000</v>
      </c>
      <c r="Q533" s="380">
        <f t="shared" si="38"/>
        <v>1</v>
      </c>
    </row>
    <row r="534" spans="1:17">
      <c r="A534" s="374">
        <v>22</v>
      </c>
      <c r="B534" s="435" t="s">
        <v>791</v>
      </c>
      <c r="C534" s="376" t="s">
        <v>793</v>
      </c>
      <c r="D534" s="376">
        <f t="shared" si="32"/>
        <v>1</v>
      </c>
      <c r="E534" s="407" t="s">
        <v>794</v>
      </c>
      <c r="F534" s="407">
        <v>5000</v>
      </c>
      <c r="G534" s="407"/>
      <c r="H534" s="379">
        <f t="shared" si="33"/>
        <v>0</v>
      </c>
      <c r="I534" s="385"/>
      <c r="J534" s="379">
        <f t="shared" si="34"/>
        <v>0</v>
      </c>
      <c r="K534" s="385"/>
      <c r="L534" s="379">
        <f t="shared" si="35"/>
        <v>0</v>
      </c>
      <c r="M534" s="385"/>
      <c r="N534" s="379">
        <f t="shared" si="36"/>
        <v>0</v>
      </c>
      <c r="O534" s="385">
        <v>1</v>
      </c>
      <c r="P534" s="379">
        <f t="shared" si="37"/>
        <v>5000</v>
      </c>
      <c r="Q534" s="380">
        <f t="shared" si="38"/>
        <v>1</v>
      </c>
    </row>
    <row r="535" spans="1:17">
      <c r="A535" s="374">
        <v>23</v>
      </c>
      <c r="B535" s="29" t="s">
        <v>795</v>
      </c>
      <c r="C535" s="440" t="s">
        <v>796</v>
      </c>
      <c r="D535" s="376">
        <f t="shared" si="32"/>
        <v>1</v>
      </c>
      <c r="E535" s="379" t="s">
        <v>9</v>
      </c>
      <c r="F535" s="380">
        <v>500000</v>
      </c>
      <c r="G535" s="401"/>
      <c r="H535" s="379">
        <f t="shared" si="33"/>
        <v>0</v>
      </c>
      <c r="I535" s="379"/>
      <c r="J535" s="379">
        <f t="shared" si="34"/>
        <v>0</v>
      </c>
      <c r="K535" s="379"/>
      <c r="L535" s="379">
        <f t="shared" si="35"/>
        <v>0</v>
      </c>
      <c r="M535" s="379">
        <v>1</v>
      </c>
      <c r="N535" s="379">
        <f t="shared" si="36"/>
        <v>500000</v>
      </c>
      <c r="O535" s="379"/>
      <c r="P535" s="379">
        <f t="shared" si="37"/>
        <v>0</v>
      </c>
      <c r="Q535" s="380">
        <f t="shared" si="38"/>
        <v>1</v>
      </c>
    </row>
    <row r="536" spans="1:17" ht="24">
      <c r="A536" s="374">
        <v>24</v>
      </c>
      <c r="B536" s="29" t="s">
        <v>797</v>
      </c>
      <c r="C536" s="440" t="s">
        <v>798</v>
      </c>
      <c r="D536" s="376">
        <f t="shared" si="32"/>
        <v>2</v>
      </c>
      <c r="E536" s="379" t="s">
        <v>599</v>
      </c>
      <c r="F536" s="380">
        <v>1000000</v>
      </c>
      <c r="G536" s="379"/>
      <c r="H536" s="379">
        <f t="shared" si="33"/>
        <v>0</v>
      </c>
      <c r="I536" s="379"/>
      <c r="J536" s="379">
        <f t="shared" si="34"/>
        <v>0</v>
      </c>
      <c r="K536" s="379"/>
      <c r="L536" s="379">
        <f t="shared" si="35"/>
        <v>0</v>
      </c>
      <c r="M536" s="379">
        <v>2</v>
      </c>
      <c r="N536" s="379">
        <f t="shared" si="36"/>
        <v>2000000</v>
      </c>
      <c r="O536" s="379"/>
      <c r="P536" s="379">
        <f t="shared" si="37"/>
        <v>0</v>
      </c>
      <c r="Q536" s="380">
        <f t="shared" si="38"/>
        <v>2</v>
      </c>
    </row>
    <row r="537" spans="1:17" ht="24">
      <c r="A537" s="374">
        <v>25</v>
      </c>
      <c r="B537" s="29" t="s">
        <v>797</v>
      </c>
      <c r="C537" s="440" t="s">
        <v>799</v>
      </c>
      <c r="D537" s="376">
        <f t="shared" si="32"/>
        <v>1</v>
      </c>
      <c r="E537" s="379" t="s">
        <v>9</v>
      </c>
      <c r="F537" s="380">
        <v>500000</v>
      </c>
      <c r="G537" s="379"/>
      <c r="H537" s="379">
        <f t="shared" si="33"/>
        <v>0</v>
      </c>
      <c r="I537" s="379"/>
      <c r="J537" s="379">
        <f t="shared" si="34"/>
        <v>0</v>
      </c>
      <c r="K537" s="379"/>
      <c r="L537" s="379">
        <f t="shared" si="35"/>
        <v>0</v>
      </c>
      <c r="M537" s="379">
        <v>1</v>
      </c>
      <c r="N537" s="379">
        <f t="shared" si="36"/>
        <v>500000</v>
      </c>
      <c r="O537" s="379"/>
      <c r="P537" s="379">
        <f t="shared" si="37"/>
        <v>0</v>
      </c>
      <c r="Q537" s="380">
        <f t="shared" si="38"/>
        <v>1</v>
      </c>
    </row>
    <row r="538" spans="1:17" ht="24">
      <c r="A538" s="374">
        <v>26</v>
      </c>
      <c r="B538" s="441" t="s">
        <v>730</v>
      </c>
      <c r="C538" s="439" t="s">
        <v>800</v>
      </c>
      <c r="D538" s="442">
        <f t="shared" si="32"/>
        <v>3</v>
      </c>
      <c r="E538" s="382" t="s">
        <v>9</v>
      </c>
      <c r="F538" s="383">
        <v>20000</v>
      </c>
      <c r="G538" s="384">
        <v>0</v>
      </c>
      <c r="H538" s="379">
        <f t="shared" si="33"/>
        <v>0</v>
      </c>
      <c r="I538" s="423"/>
      <c r="J538" s="379">
        <f t="shared" si="34"/>
        <v>0</v>
      </c>
      <c r="K538" s="379"/>
      <c r="L538" s="379">
        <f t="shared" si="35"/>
        <v>0</v>
      </c>
      <c r="M538" s="379"/>
      <c r="N538" s="379">
        <f t="shared" si="36"/>
        <v>0</v>
      </c>
      <c r="O538" s="384">
        <v>3</v>
      </c>
      <c r="P538" s="379">
        <f t="shared" si="37"/>
        <v>60000</v>
      </c>
      <c r="Q538" s="380">
        <f t="shared" si="38"/>
        <v>3</v>
      </c>
    </row>
    <row r="539" spans="1:17" ht="30">
      <c r="A539" s="374">
        <v>27</v>
      </c>
      <c r="B539" s="29" t="s">
        <v>801</v>
      </c>
      <c r="C539" s="390" t="s">
        <v>802</v>
      </c>
      <c r="D539" s="376">
        <f t="shared" si="32"/>
        <v>2</v>
      </c>
      <c r="E539" s="377" t="s">
        <v>9</v>
      </c>
      <c r="F539" s="397">
        <f>70702*1.18</f>
        <v>83428.36</v>
      </c>
      <c r="G539" s="394">
        <v>2</v>
      </c>
      <c r="H539" s="379">
        <f t="shared" si="33"/>
        <v>166856.72</v>
      </c>
      <c r="I539" s="394"/>
      <c r="J539" s="379">
        <f t="shared" si="34"/>
        <v>0</v>
      </c>
      <c r="K539" s="379"/>
      <c r="L539" s="379">
        <f t="shared" si="35"/>
        <v>0</v>
      </c>
      <c r="M539" s="379"/>
      <c r="N539" s="379">
        <f t="shared" si="36"/>
        <v>0</v>
      </c>
      <c r="O539" s="379"/>
      <c r="P539" s="379">
        <f t="shared" si="37"/>
        <v>0</v>
      </c>
      <c r="Q539" s="380">
        <f t="shared" si="38"/>
        <v>2</v>
      </c>
    </row>
    <row r="540" spans="1:17" ht="30">
      <c r="A540" s="374">
        <v>28</v>
      </c>
      <c r="B540" s="29" t="s">
        <v>734</v>
      </c>
      <c r="C540" s="390" t="s">
        <v>803</v>
      </c>
      <c r="D540" s="376">
        <f t="shared" si="32"/>
        <v>1</v>
      </c>
      <c r="E540" s="377" t="s">
        <v>9</v>
      </c>
      <c r="F540" s="397">
        <f>70702*1.18</f>
        <v>83428.36</v>
      </c>
      <c r="G540" s="394">
        <v>1</v>
      </c>
      <c r="H540" s="379">
        <f t="shared" si="33"/>
        <v>83428.36</v>
      </c>
      <c r="I540" s="394"/>
      <c r="J540" s="379">
        <f t="shared" si="34"/>
        <v>0</v>
      </c>
      <c r="K540" s="379"/>
      <c r="L540" s="379">
        <f t="shared" si="35"/>
        <v>0</v>
      </c>
      <c r="M540" s="379"/>
      <c r="N540" s="379">
        <f t="shared" si="36"/>
        <v>0</v>
      </c>
      <c r="O540" s="379"/>
      <c r="P540" s="379">
        <f t="shared" si="37"/>
        <v>0</v>
      </c>
      <c r="Q540" s="380">
        <f t="shared" si="38"/>
        <v>1</v>
      </c>
    </row>
    <row r="541" spans="1:17" ht="24">
      <c r="A541" s="374">
        <v>29</v>
      </c>
      <c r="B541" s="443" t="s">
        <v>436</v>
      </c>
      <c r="C541" s="432" t="s">
        <v>804</v>
      </c>
      <c r="D541" s="376">
        <f t="shared" si="32"/>
        <v>3</v>
      </c>
      <c r="E541" s="382" t="s">
        <v>9</v>
      </c>
      <c r="F541" s="383">
        <v>5000</v>
      </c>
      <c r="G541" s="384">
        <v>0</v>
      </c>
      <c r="H541" s="379">
        <f t="shared" si="33"/>
        <v>0</v>
      </c>
      <c r="I541" s="423"/>
      <c r="J541" s="379">
        <f t="shared" si="34"/>
        <v>0</v>
      </c>
      <c r="K541" s="379"/>
      <c r="L541" s="379">
        <f t="shared" si="35"/>
        <v>0</v>
      </c>
      <c r="M541" s="379"/>
      <c r="N541" s="379">
        <f t="shared" si="36"/>
        <v>0</v>
      </c>
      <c r="O541" s="384">
        <v>3</v>
      </c>
      <c r="P541" s="379">
        <f t="shared" si="37"/>
        <v>15000</v>
      </c>
      <c r="Q541" s="380">
        <f t="shared" si="38"/>
        <v>3</v>
      </c>
    </row>
    <row r="542" spans="1:17" ht="24">
      <c r="A542" s="374">
        <v>30</v>
      </c>
      <c r="B542" s="29" t="s">
        <v>436</v>
      </c>
      <c r="C542" s="439" t="s">
        <v>805</v>
      </c>
      <c r="D542" s="376">
        <f t="shared" si="32"/>
        <v>3</v>
      </c>
      <c r="E542" s="382" t="s">
        <v>9</v>
      </c>
      <c r="F542" s="383">
        <v>2500</v>
      </c>
      <c r="G542" s="384"/>
      <c r="H542" s="379">
        <f t="shared" si="33"/>
        <v>0</v>
      </c>
      <c r="I542" s="423"/>
      <c r="J542" s="379">
        <f t="shared" si="34"/>
        <v>0</v>
      </c>
      <c r="K542" s="379"/>
      <c r="L542" s="379">
        <f t="shared" si="35"/>
        <v>0</v>
      </c>
      <c r="M542" s="379"/>
      <c r="N542" s="379">
        <f t="shared" si="36"/>
        <v>0</v>
      </c>
      <c r="O542" s="384">
        <v>3</v>
      </c>
      <c r="P542" s="379">
        <f t="shared" si="37"/>
        <v>7500</v>
      </c>
      <c r="Q542" s="380">
        <f t="shared" si="38"/>
        <v>3</v>
      </c>
    </row>
    <row r="543" spans="1:17" ht="24">
      <c r="A543" s="374">
        <v>31</v>
      </c>
      <c r="B543" s="443" t="s">
        <v>436</v>
      </c>
      <c r="C543" s="432" t="s">
        <v>806</v>
      </c>
      <c r="D543" s="376">
        <f t="shared" si="32"/>
        <v>3</v>
      </c>
      <c r="E543" s="382" t="s">
        <v>9</v>
      </c>
      <c r="F543" s="383">
        <v>5000</v>
      </c>
      <c r="G543" s="384"/>
      <c r="H543" s="379">
        <f t="shared" si="33"/>
        <v>0</v>
      </c>
      <c r="I543" s="423"/>
      <c r="J543" s="379">
        <f t="shared" si="34"/>
        <v>0</v>
      </c>
      <c r="K543" s="379"/>
      <c r="L543" s="379">
        <f t="shared" si="35"/>
        <v>0</v>
      </c>
      <c r="M543" s="379"/>
      <c r="N543" s="379">
        <f t="shared" si="36"/>
        <v>0</v>
      </c>
      <c r="O543" s="384">
        <v>3</v>
      </c>
      <c r="P543" s="379">
        <f t="shared" si="37"/>
        <v>15000</v>
      </c>
      <c r="Q543" s="380">
        <f t="shared" si="38"/>
        <v>3</v>
      </c>
    </row>
    <row r="544" spans="1:17">
      <c r="A544" s="374">
        <v>32</v>
      </c>
      <c r="B544" s="441" t="s">
        <v>807</v>
      </c>
      <c r="C544" s="439" t="s">
        <v>808</v>
      </c>
      <c r="D544" s="442">
        <f t="shared" si="32"/>
        <v>3</v>
      </c>
      <c r="E544" s="382" t="s">
        <v>9</v>
      </c>
      <c r="F544" s="383">
        <v>5000</v>
      </c>
      <c r="G544" s="379"/>
      <c r="H544" s="379">
        <f t="shared" si="33"/>
        <v>0</v>
      </c>
      <c r="I544" s="423"/>
      <c r="J544" s="379">
        <f t="shared" si="34"/>
        <v>0</v>
      </c>
      <c r="K544" s="379"/>
      <c r="L544" s="379">
        <f t="shared" si="35"/>
        <v>0</v>
      </c>
      <c r="M544" s="379"/>
      <c r="N544" s="379">
        <f t="shared" si="36"/>
        <v>0</v>
      </c>
      <c r="O544" s="384">
        <v>3</v>
      </c>
      <c r="P544" s="379">
        <f t="shared" si="37"/>
        <v>15000</v>
      </c>
      <c r="Q544" s="380">
        <f t="shared" si="38"/>
        <v>3</v>
      </c>
    </row>
    <row r="545" spans="1:17">
      <c r="A545" s="374">
        <v>33</v>
      </c>
      <c r="B545" s="29" t="s">
        <v>809</v>
      </c>
      <c r="C545" s="432" t="s">
        <v>810</v>
      </c>
      <c r="D545" s="376">
        <f t="shared" si="32"/>
        <v>1</v>
      </c>
      <c r="E545" s="391" t="s">
        <v>9</v>
      </c>
      <c r="F545" s="392">
        <f>59890*1.18</f>
        <v>70670.2</v>
      </c>
      <c r="G545" s="393">
        <v>1</v>
      </c>
      <c r="H545" s="379">
        <f t="shared" si="33"/>
        <v>70670.2</v>
      </c>
      <c r="I545" s="393"/>
      <c r="J545" s="379">
        <f t="shared" si="34"/>
        <v>0</v>
      </c>
      <c r="K545" s="379"/>
      <c r="L545" s="379">
        <f t="shared" si="35"/>
        <v>0</v>
      </c>
      <c r="M545" s="379"/>
      <c r="N545" s="379">
        <f t="shared" si="36"/>
        <v>0</v>
      </c>
      <c r="O545" s="379"/>
      <c r="P545" s="379">
        <f t="shared" si="37"/>
        <v>0</v>
      </c>
      <c r="Q545" s="380">
        <f t="shared" si="38"/>
        <v>1</v>
      </c>
    </row>
    <row r="546" spans="1:17" ht="24">
      <c r="A546" s="374">
        <v>34</v>
      </c>
      <c r="B546" s="29" t="s">
        <v>809</v>
      </c>
      <c r="C546" s="432" t="s">
        <v>811</v>
      </c>
      <c r="D546" s="376">
        <f t="shared" si="32"/>
        <v>3</v>
      </c>
      <c r="E546" s="382" t="s">
        <v>9</v>
      </c>
      <c r="F546" s="383">
        <v>5000</v>
      </c>
      <c r="G546" s="379"/>
      <c r="H546" s="379">
        <f t="shared" si="33"/>
        <v>0</v>
      </c>
      <c r="I546" s="423"/>
      <c r="J546" s="379">
        <f t="shared" si="34"/>
        <v>0</v>
      </c>
      <c r="K546" s="379"/>
      <c r="L546" s="379">
        <f t="shared" si="35"/>
        <v>0</v>
      </c>
      <c r="M546" s="379"/>
      <c r="N546" s="379">
        <f t="shared" si="36"/>
        <v>0</v>
      </c>
      <c r="O546" s="384">
        <v>3</v>
      </c>
      <c r="P546" s="379">
        <f t="shared" si="37"/>
        <v>15000</v>
      </c>
      <c r="Q546" s="380">
        <f t="shared" si="38"/>
        <v>3</v>
      </c>
    </row>
    <row r="547" spans="1:17">
      <c r="A547" s="374">
        <v>35</v>
      </c>
      <c r="B547" s="29" t="s">
        <v>809</v>
      </c>
      <c r="C547" s="432" t="s">
        <v>812</v>
      </c>
      <c r="D547" s="376">
        <f t="shared" si="32"/>
        <v>3</v>
      </c>
      <c r="E547" s="382" t="s">
        <v>9</v>
      </c>
      <c r="F547" s="383">
        <v>5000</v>
      </c>
      <c r="G547" s="384"/>
      <c r="H547" s="379">
        <f t="shared" si="33"/>
        <v>0</v>
      </c>
      <c r="I547" s="379"/>
      <c r="J547" s="379">
        <f t="shared" si="34"/>
        <v>0</v>
      </c>
      <c r="K547" s="379"/>
      <c r="L547" s="379">
        <f t="shared" si="35"/>
        <v>0</v>
      </c>
      <c r="M547" s="379"/>
      <c r="N547" s="379">
        <f t="shared" si="36"/>
        <v>0</v>
      </c>
      <c r="O547" s="384">
        <v>3</v>
      </c>
      <c r="P547" s="379">
        <f t="shared" si="37"/>
        <v>15000</v>
      </c>
      <c r="Q547" s="380">
        <f t="shared" si="38"/>
        <v>3</v>
      </c>
    </row>
    <row r="548" spans="1:17" ht="24">
      <c r="A548" s="374">
        <v>36</v>
      </c>
      <c r="B548" s="29" t="s">
        <v>813</v>
      </c>
      <c r="C548" s="432" t="s">
        <v>814</v>
      </c>
      <c r="D548" s="376">
        <f t="shared" si="32"/>
        <v>1</v>
      </c>
      <c r="E548" s="382" t="s">
        <v>9</v>
      </c>
      <c r="F548" s="383">
        <v>7000</v>
      </c>
      <c r="G548" s="384"/>
      <c r="H548" s="379">
        <f t="shared" si="33"/>
        <v>0</v>
      </c>
      <c r="I548" s="379"/>
      <c r="J548" s="379">
        <f t="shared" si="34"/>
        <v>0</v>
      </c>
      <c r="K548" s="379"/>
      <c r="L548" s="379">
        <f t="shared" si="35"/>
        <v>0</v>
      </c>
      <c r="M548" s="379"/>
      <c r="N548" s="379">
        <f t="shared" si="36"/>
        <v>0</v>
      </c>
      <c r="O548" s="384">
        <v>1</v>
      </c>
      <c r="P548" s="379">
        <f t="shared" si="37"/>
        <v>7000</v>
      </c>
      <c r="Q548" s="380">
        <f t="shared" si="38"/>
        <v>1</v>
      </c>
    </row>
    <row r="549" spans="1:17">
      <c r="A549" s="374">
        <v>37</v>
      </c>
      <c r="B549" s="29" t="s">
        <v>815</v>
      </c>
      <c r="C549" s="432" t="s">
        <v>816</v>
      </c>
      <c r="D549" s="376">
        <f t="shared" si="32"/>
        <v>24</v>
      </c>
      <c r="E549" s="386" t="s">
        <v>599</v>
      </c>
      <c r="F549" s="397">
        <v>200</v>
      </c>
      <c r="G549" s="394"/>
      <c r="H549" s="379">
        <f t="shared" si="33"/>
        <v>0</v>
      </c>
      <c r="I549" s="394"/>
      <c r="J549" s="379">
        <f t="shared" si="34"/>
        <v>0</v>
      </c>
      <c r="K549" s="379"/>
      <c r="L549" s="379">
        <f t="shared" si="35"/>
        <v>0</v>
      </c>
      <c r="M549" s="379"/>
      <c r="N549" s="379">
        <f t="shared" si="36"/>
        <v>0</v>
      </c>
      <c r="O549" s="379">
        <v>24</v>
      </c>
      <c r="P549" s="379">
        <f t="shared" si="37"/>
        <v>4800</v>
      </c>
      <c r="Q549" s="380">
        <f t="shared" si="38"/>
        <v>24</v>
      </c>
    </row>
    <row r="550" spans="1:17">
      <c r="A550" s="374">
        <v>38</v>
      </c>
      <c r="B550" s="29" t="s">
        <v>429</v>
      </c>
      <c r="C550" s="439" t="s">
        <v>817</v>
      </c>
      <c r="D550" s="444">
        <f t="shared" si="32"/>
        <v>1</v>
      </c>
      <c r="E550" s="397" t="s">
        <v>9</v>
      </c>
      <c r="F550" s="445">
        <v>45000</v>
      </c>
      <c r="G550" s="446"/>
      <c r="H550" s="379">
        <f t="shared" si="33"/>
        <v>0</v>
      </c>
      <c r="I550" s="446"/>
      <c r="J550" s="379">
        <f t="shared" si="34"/>
        <v>0</v>
      </c>
      <c r="K550" s="379"/>
      <c r="L550" s="379">
        <f t="shared" si="35"/>
        <v>0</v>
      </c>
      <c r="M550" s="379"/>
      <c r="N550" s="379">
        <f t="shared" si="36"/>
        <v>0</v>
      </c>
      <c r="O550" s="379">
        <v>1</v>
      </c>
      <c r="P550" s="379">
        <f t="shared" si="37"/>
        <v>45000</v>
      </c>
      <c r="Q550" s="380">
        <f t="shared" si="38"/>
        <v>1</v>
      </c>
    </row>
    <row r="551" spans="1:17">
      <c r="A551" s="374">
        <v>39</v>
      </c>
      <c r="B551" s="29" t="s">
        <v>818</v>
      </c>
      <c r="C551" s="432" t="s">
        <v>819</v>
      </c>
      <c r="D551" s="376">
        <f t="shared" si="32"/>
        <v>1</v>
      </c>
      <c r="E551" s="397" t="s">
        <v>9</v>
      </c>
      <c r="F551" s="445">
        <v>1000</v>
      </c>
      <c r="G551" s="446"/>
      <c r="H551" s="379">
        <f t="shared" si="33"/>
        <v>0</v>
      </c>
      <c r="I551" s="446"/>
      <c r="J551" s="379">
        <f t="shared" si="34"/>
        <v>0</v>
      </c>
      <c r="K551" s="379"/>
      <c r="L551" s="379">
        <f t="shared" si="35"/>
        <v>0</v>
      </c>
      <c r="M551" s="379"/>
      <c r="N551" s="379">
        <f t="shared" si="36"/>
        <v>0</v>
      </c>
      <c r="O551" s="379">
        <v>1</v>
      </c>
      <c r="P551" s="379">
        <f t="shared" si="37"/>
        <v>1000</v>
      </c>
      <c r="Q551" s="380">
        <f t="shared" si="38"/>
        <v>1</v>
      </c>
    </row>
    <row r="552" spans="1:17">
      <c r="A552" s="374">
        <v>40</v>
      </c>
      <c r="B552" s="29" t="s">
        <v>234</v>
      </c>
      <c r="C552" s="439" t="s">
        <v>820</v>
      </c>
      <c r="D552" s="376">
        <f t="shared" si="32"/>
        <v>7</v>
      </c>
      <c r="E552" s="8" t="s">
        <v>599</v>
      </c>
      <c r="F552" s="405">
        <v>20000</v>
      </c>
      <c r="G552" s="408"/>
      <c r="H552" s="379">
        <f t="shared" si="33"/>
        <v>0</v>
      </c>
      <c r="I552" s="408"/>
      <c r="J552" s="379">
        <f t="shared" si="34"/>
        <v>0</v>
      </c>
      <c r="K552" s="379">
        <v>7</v>
      </c>
      <c r="L552" s="379">
        <f t="shared" si="35"/>
        <v>140000</v>
      </c>
      <c r="M552" s="379"/>
      <c r="N552" s="379">
        <f t="shared" si="36"/>
        <v>0</v>
      </c>
      <c r="O552" s="379"/>
      <c r="P552" s="379">
        <f t="shared" si="37"/>
        <v>0</v>
      </c>
      <c r="Q552" s="380">
        <f t="shared" si="38"/>
        <v>7</v>
      </c>
    </row>
    <row r="553" spans="1:17">
      <c r="A553" s="374">
        <v>41</v>
      </c>
      <c r="B553" s="29" t="s">
        <v>234</v>
      </c>
      <c r="C553" s="439" t="s">
        <v>821</v>
      </c>
      <c r="D553" s="376">
        <f t="shared" si="32"/>
        <v>5</v>
      </c>
      <c r="E553" s="438" t="s">
        <v>599</v>
      </c>
      <c r="F553" s="438">
        <v>10000</v>
      </c>
      <c r="G553" s="380"/>
      <c r="H553" s="379">
        <f t="shared" si="33"/>
        <v>0</v>
      </c>
      <c r="I553" s="380"/>
      <c r="J553" s="379">
        <f t="shared" si="34"/>
        <v>0</v>
      </c>
      <c r="K553" s="379"/>
      <c r="L553" s="379">
        <f t="shared" si="35"/>
        <v>0</v>
      </c>
      <c r="M553" s="379"/>
      <c r="N553" s="379">
        <f t="shared" si="36"/>
        <v>0</v>
      </c>
      <c r="O553" s="379">
        <v>5</v>
      </c>
      <c r="P553" s="379">
        <f t="shared" si="37"/>
        <v>50000</v>
      </c>
      <c r="Q553" s="380">
        <f t="shared" si="38"/>
        <v>5</v>
      </c>
    </row>
    <row r="554" spans="1:17">
      <c r="A554" s="374">
        <v>42</v>
      </c>
      <c r="B554" s="29" t="s">
        <v>234</v>
      </c>
      <c r="C554" s="439" t="s">
        <v>822</v>
      </c>
      <c r="D554" s="376">
        <f t="shared" si="32"/>
        <v>3</v>
      </c>
      <c r="E554" s="438" t="s">
        <v>599</v>
      </c>
      <c r="F554" s="438">
        <v>10000</v>
      </c>
      <c r="G554" s="380"/>
      <c r="H554" s="379">
        <f t="shared" si="33"/>
        <v>0</v>
      </c>
      <c r="I554" s="380"/>
      <c r="J554" s="379">
        <f t="shared" si="34"/>
        <v>0</v>
      </c>
      <c r="K554" s="379">
        <v>3</v>
      </c>
      <c r="L554" s="379">
        <f t="shared" si="35"/>
        <v>30000</v>
      </c>
      <c r="M554" s="379"/>
      <c r="N554" s="379">
        <f t="shared" si="36"/>
        <v>0</v>
      </c>
      <c r="O554" s="379"/>
      <c r="P554" s="379">
        <f t="shared" si="37"/>
        <v>0</v>
      </c>
      <c r="Q554" s="380">
        <f t="shared" si="38"/>
        <v>3</v>
      </c>
    </row>
    <row r="555" spans="1:17">
      <c r="A555" s="374">
        <v>43</v>
      </c>
      <c r="B555" s="29" t="s">
        <v>234</v>
      </c>
      <c r="C555" s="439" t="s">
        <v>823</v>
      </c>
      <c r="D555" s="376">
        <f t="shared" si="32"/>
        <v>1</v>
      </c>
      <c r="E555" s="386" t="s">
        <v>599</v>
      </c>
      <c r="F555" s="8">
        <v>17000</v>
      </c>
      <c r="G555" s="447">
        <v>1</v>
      </c>
      <c r="H555" s="379">
        <f t="shared" si="33"/>
        <v>17000</v>
      </c>
      <c r="I555" s="447"/>
      <c r="J555" s="379">
        <f t="shared" si="34"/>
        <v>0</v>
      </c>
      <c r="K555" s="379"/>
      <c r="L555" s="379">
        <f t="shared" si="35"/>
        <v>0</v>
      </c>
      <c r="M555" s="379"/>
      <c r="N555" s="379">
        <f t="shared" si="36"/>
        <v>0</v>
      </c>
      <c r="O555" s="379"/>
      <c r="P555" s="379">
        <f t="shared" si="37"/>
        <v>0</v>
      </c>
      <c r="Q555" s="380">
        <f t="shared" si="38"/>
        <v>1</v>
      </c>
    </row>
    <row r="556" spans="1:17" ht="24">
      <c r="A556" s="374">
        <v>44</v>
      </c>
      <c r="B556" s="29" t="s">
        <v>234</v>
      </c>
      <c r="C556" s="439" t="s">
        <v>824</v>
      </c>
      <c r="D556" s="376">
        <f t="shared" si="32"/>
        <v>1</v>
      </c>
      <c r="E556" s="386" t="s">
        <v>599</v>
      </c>
      <c r="F556" s="8">
        <v>1400</v>
      </c>
      <c r="G556" s="379">
        <v>1</v>
      </c>
      <c r="H556" s="379">
        <f t="shared" si="33"/>
        <v>1400</v>
      </c>
      <c r="I556" s="379"/>
      <c r="J556" s="379">
        <f t="shared" si="34"/>
        <v>0</v>
      </c>
      <c r="K556" s="379"/>
      <c r="L556" s="379">
        <f t="shared" si="35"/>
        <v>0</v>
      </c>
      <c r="M556" s="379"/>
      <c r="N556" s="379">
        <f t="shared" si="36"/>
        <v>0</v>
      </c>
      <c r="O556" s="379"/>
      <c r="P556" s="379">
        <f t="shared" si="37"/>
        <v>0</v>
      </c>
      <c r="Q556" s="380">
        <f t="shared" si="38"/>
        <v>1</v>
      </c>
    </row>
    <row r="557" spans="1:17">
      <c r="A557" s="374">
        <v>45</v>
      </c>
      <c r="B557" s="29" t="s">
        <v>234</v>
      </c>
      <c r="C557" s="439" t="s">
        <v>825</v>
      </c>
      <c r="D557" s="376">
        <f t="shared" si="32"/>
        <v>2</v>
      </c>
      <c r="E557" s="386" t="s">
        <v>599</v>
      </c>
      <c r="F557" s="8">
        <v>1200</v>
      </c>
      <c r="G557" s="379">
        <v>2</v>
      </c>
      <c r="H557" s="379">
        <f t="shared" si="33"/>
        <v>2400</v>
      </c>
      <c r="I557" s="379"/>
      <c r="J557" s="379">
        <f t="shared" si="34"/>
        <v>0</v>
      </c>
      <c r="K557" s="379"/>
      <c r="L557" s="379">
        <f t="shared" si="35"/>
        <v>0</v>
      </c>
      <c r="M557" s="379"/>
      <c r="N557" s="379">
        <f t="shared" si="36"/>
        <v>0</v>
      </c>
      <c r="O557" s="379"/>
      <c r="P557" s="379">
        <f t="shared" si="37"/>
        <v>0</v>
      </c>
      <c r="Q557" s="380">
        <f t="shared" si="38"/>
        <v>2</v>
      </c>
    </row>
    <row r="558" spans="1:17">
      <c r="A558" s="374">
        <v>46</v>
      </c>
      <c r="B558" s="29" t="s">
        <v>234</v>
      </c>
      <c r="C558" s="439" t="s">
        <v>826</v>
      </c>
      <c r="D558" s="376">
        <f t="shared" si="32"/>
        <v>2</v>
      </c>
      <c r="E558" s="386" t="s">
        <v>599</v>
      </c>
      <c r="F558" s="8">
        <v>500</v>
      </c>
      <c r="G558" s="379">
        <v>2</v>
      </c>
      <c r="H558" s="379">
        <f t="shared" si="33"/>
        <v>1000</v>
      </c>
      <c r="I558" s="379"/>
      <c r="J558" s="379">
        <f t="shared" si="34"/>
        <v>0</v>
      </c>
      <c r="K558" s="379"/>
      <c r="L558" s="379">
        <f t="shared" si="35"/>
        <v>0</v>
      </c>
      <c r="M558" s="379"/>
      <c r="N558" s="379">
        <f t="shared" si="36"/>
        <v>0</v>
      </c>
      <c r="O558" s="379"/>
      <c r="P558" s="379">
        <f t="shared" si="37"/>
        <v>0</v>
      </c>
      <c r="Q558" s="380">
        <f t="shared" si="38"/>
        <v>2</v>
      </c>
    </row>
    <row r="559" spans="1:17">
      <c r="A559" s="448"/>
      <c r="B559" s="449"/>
      <c r="C559" s="450"/>
      <c r="D559" s="451"/>
      <c r="E559" s="452"/>
      <c r="F559" s="436"/>
      <c r="G559" s="453"/>
      <c r="H559" s="453">
        <f>SUM(H512:H558)</f>
        <v>1532200.0450000002</v>
      </c>
      <c r="I559" s="453"/>
      <c r="J559" s="453">
        <f>SUM(J512:J558)</f>
        <v>0</v>
      </c>
      <c r="K559" s="453"/>
      <c r="L559" s="453">
        <f>SUM(L512:L558)</f>
        <v>170000</v>
      </c>
      <c r="M559" s="453"/>
      <c r="N559" s="453">
        <f>SUM(N512:N558)</f>
        <v>3000000</v>
      </c>
      <c r="O559" s="453"/>
      <c r="P559" s="453">
        <f>SUM(P512:P558)</f>
        <v>591300</v>
      </c>
      <c r="Q559" s="454"/>
    </row>
    <row r="560" spans="1:17">
      <c r="A560" s="448"/>
      <c r="B560" s="449"/>
      <c r="C560" s="450"/>
      <c r="D560" s="451"/>
      <c r="E560" s="452"/>
      <c r="F560" s="436"/>
      <c r="G560" s="453"/>
      <c r="H560" s="455">
        <f>H559+J559+L559+N559+P559</f>
        <v>5293500.0449999999</v>
      </c>
      <c r="I560" s="455"/>
      <c r="J560" s="455"/>
      <c r="K560" s="455"/>
      <c r="L560" s="455"/>
      <c r="M560" s="455"/>
      <c r="N560" s="455"/>
      <c r="O560" s="455"/>
      <c r="P560" s="455"/>
      <c r="Q560" s="454"/>
    </row>
    <row r="561" spans="1:17" ht="18.75">
      <c r="A561" s="456"/>
      <c r="B561" s="456"/>
      <c r="C561" s="457" t="s">
        <v>827</v>
      </c>
      <c r="D561" s="457"/>
      <c r="E561" s="457"/>
      <c r="F561" s="457"/>
      <c r="G561" s="457"/>
      <c r="H561" s="457"/>
      <c r="I561" s="457"/>
      <c r="J561" s="457"/>
      <c r="K561" s="457"/>
      <c r="L561" s="457"/>
      <c r="M561" s="457"/>
      <c r="N561" s="457"/>
      <c r="O561" s="457"/>
      <c r="P561" s="457"/>
      <c r="Q561" s="458"/>
    </row>
    <row r="562" spans="1:17" ht="18.75">
      <c r="A562" s="459"/>
      <c r="B562" s="459"/>
      <c r="C562" s="460"/>
      <c r="D562" s="460"/>
      <c r="E562" s="460"/>
      <c r="F562" s="460"/>
      <c r="G562" s="460"/>
      <c r="H562" s="460"/>
      <c r="I562" s="460"/>
      <c r="J562" s="460"/>
      <c r="K562" s="460"/>
      <c r="L562" s="460"/>
      <c r="M562" s="460"/>
      <c r="N562" s="460"/>
      <c r="O562" s="460"/>
      <c r="P562" s="460"/>
      <c r="Q562" s="461"/>
    </row>
    <row r="563" spans="1:17">
      <c r="A563" s="343" t="s">
        <v>580</v>
      </c>
      <c r="B563" s="344" t="s">
        <v>581</v>
      </c>
      <c r="C563" s="345" t="s">
        <v>582</v>
      </c>
      <c r="D563" s="346" t="s">
        <v>583</v>
      </c>
      <c r="E563" s="347" t="s">
        <v>584</v>
      </c>
      <c r="F563" s="348" t="s">
        <v>585</v>
      </c>
      <c r="G563" s="349" t="s">
        <v>18</v>
      </c>
      <c r="H563" s="350"/>
      <c r="I563" s="351" t="s">
        <v>29</v>
      </c>
      <c r="J563" s="352"/>
      <c r="K563" s="351" t="s">
        <v>21</v>
      </c>
      <c r="L563" s="352"/>
      <c r="M563" s="351" t="s">
        <v>586</v>
      </c>
      <c r="N563" s="352"/>
      <c r="O563" s="351" t="s">
        <v>587</v>
      </c>
      <c r="P563" s="352"/>
      <c r="Q563" s="353" t="s">
        <v>588</v>
      </c>
    </row>
    <row r="564" spans="1:17">
      <c r="A564" s="343"/>
      <c r="B564" s="344"/>
      <c r="C564" s="345"/>
      <c r="D564" s="354"/>
      <c r="E564" s="347"/>
      <c r="F564" s="348"/>
      <c r="G564" s="355"/>
      <c r="H564" s="356"/>
      <c r="I564" s="357"/>
      <c r="J564" s="358"/>
      <c r="K564" s="357"/>
      <c r="L564" s="358"/>
      <c r="M564" s="357"/>
      <c r="N564" s="358"/>
      <c r="O564" s="357"/>
      <c r="P564" s="358"/>
      <c r="Q564" s="359"/>
    </row>
    <row r="565" spans="1:17">
      <c r="A565" s="343"/>
      <c r="B565" s="344"/>
      <c r="C565" s="345"/>
      <c r="D565" s="360"/>
      <c r="E565" s="347"/>
      <c r="F565" s="348"/>
      <c r="G565" s="361"/>
      <c r="H565" s="362"/>
      <c r="I565" s="363"/>
      <c r="J565" s="364"/>
      <c r="K565" s="363"/>
      <c r="L565" s="364"/>
      <c r="M565" s="363"/>
      <c r="N565" s="364"/>
      <c r="O565" s="363"/>
      <c r="P565" s="364"/>
      <c r="Q565" s="365"/>
    </row>
    <row r="566" spans="1:17">
      <c r="A566" s="462">
        <v>1</v>
      </c>
      <c r="B566" s="463" t="s">
        <v>828</v>
      </c>
      <c r="C566" s="390" t="s">
        <v>829</v>
      </c>
      <c r="D566" s="376">
        <f>G566+I566+K566+M566+O566</f>
        <v>150</v>
      </c>
      <c r="E566" s="462" t="s">
        <v>42</v>
      </c>
      <c r="F566" s="462">
        <v>250</v>
      </c>
      <c r="G566" s="464">
        <v>150</v>
      </c>
      <c r="H566" s="464">
        <f>G566*F566</f>
        <v>37500</v>
      </c>
      <c r="I566" s="464"/>
      <c r="J566" s="464"/>
      <c r="K566" s="464"/>
      <c r="L566" s="464"/>
      <c r="M566" s="464"/>
      <c r="N566" s="464"/>
      <c r="O566" s="464"/>
      <c r="P566" s="464"/>
      <c r="Q566" s="465">
        <f t="shared" ref="Q566:Q597" si="39">G566+I566+K566+M566+O566</f>
        <v>150</v>
      </c>
    </row>
    <row r="567" spans="1:17">
      <c r="A567" s="462">
        <v>2</v>
      </c>
      <c r="B567" s="384" t="s">
        <v>830</v>
      </c>
      <c r="C567" s="376" t="s">
        <v>831</v>
      </c>
      <c r="D567" s="376">
        <f>G567+I567+K567+M567+O567</f>
        <v>1</v>
      </c>
      <c r="E567" s="462" t="s">
        <v>599</v>
      </c>
      <c r="F567" s="462">
        <v>5000</v>
      </c>
      <c r="G567" s="464">
        <v>1</v>
      </c>
      <c r="H567" s="464">
        <f>G567*F567</f>
        <v>5000</v>
      </c>
      <c r="I567" s="464"/>
      <c r="J567" s="464"/>
      <c r="K567" s="464"/>
      <c r="L567" s="464"/>
      <c r="M567" s="464"/>
      <c r="N567" s="464"/>
      <c r="O567" s="464"/>
      <c r="P567" s="464"/>
      <c r="Q567" s="465">
        <f>G567+I567+K567+M567+O567</f>
        <v>1</v>
      </c>
    </row>
    <row r="568" spans="1:17">
      <c r="A568" s="466">
        <v>3</v>
      </c>
      <c r="B568" s="463" t="s">
        <v>832</v>
      </c>
      <c r="C568" s="390" t="s">
        <v>833</v>
      </c>
      <c r="D568" s="376">
        <f>G568+I568+K568+M568+O568</f>
        <v>2</v>
      </c>
      <c r="E568" s="467" t="s">
        <v>599</v>
      </c>
      <c r="F568" s="467">
        <v>179286.22</v>
      </c>
      <c r="G568" s="464">
        <v>2</v>
      </c>
      <c r="H568" s="464">
        <f>G568*F568</f>
        <v>358572.44</v>
      </c>
      <c r="I568" s="464"/>
      <c r="J568" s="464"/>
      <c r="K568" s="464"/>
      <c r="L568" s="464"/>
      <c r="M568" s="464"/>
      <c r="N568" s="464"/>
      <c r="O568" s="464"/>
      <c r="P568" s="464"/>
      <c r="Q568" s="465">
        <f t="shared" si="39"/>
        <v>2</v>
      </c>
    </row>
    <row r="569" spans="1:17">
      <c r="A569" s="468"/>
      <c r="B569" s="469"/>
      <c r="C569" s="470"/>
      <c r="D569" s="470"/>
      <c r="E569" s="468"/>
      <c r="F569" s="471" t="s">
        <v>421</v>
      </c>
      <c r="G569" s="472"/>
      <c r="H569" s="473">
        <f>SUM(H566:H568)</f>
        <v>401072.44</v>
      </c>
      <c r="I569" s="473"/>
      <c r="J569" s="473">
        <f>SUM(J566:J568)</f>
        <v>0</v>
      </c>
      <c r="K569" s="473"/>
      <c r="L569" s="473">
        <f>SUM(L566:L568)</f>
        <v>0</v>
      </c>
      <c r="M569" s="473"/>
      <c r="N569" s="473">
        <f>SUM(N566:N568)</f>
        <v>0</v>
      </c>
      <c r="O569" s="473"/>
      <c r="P569" s="473">
        <f>SUM(P566:P568)</f>
        <v>0</v>
      </c>
      <c r="Q569" s="474"/>
    </row>
    <row r="570" spans="1:17" ht="18.75">
      <c r="A570" s="475"/>
      <c r="B570" s="475"/>
      <c r="C570" s="476" t="s">
        <v>834</v>
      </c>
      <c r="D570" s="476"/>
      <c r="E570" s="476"/>
      <c r="F570" s="476"/>
      <c r="G570" s="476"/>
      <c r="H570" s="476"/>
      <c r="I570" s="476"/>
      <c r="J570" s="476"/>
      <c r="K570" s="476"/>
      <c r="L570" s="476"/>
      <c r="M570" s="476"/>
      <c r="N570" s="476"/>
      <c r="O570" s="476"/>
      <c r="P570" s="477"/>
      <c r="Q570" s="478"/>
    </row>
    <row r="571" spans="1:17" ht="18.75">
      <c r="A571" s="479"/>
      <c r="B571" s="479"/>
      <c r="C571" s="480"/>
      <c r="D571" s="480"/>
      <c r="E571" s="480"/>
      <c r="F571" s="480"/>
      <c r="G571" s="480"/>
      <c r="H571" s="480"/>
      <c r="I571" s="480"/>
      <c r="J571" s="480"/>
      <c r="K571" s="480"/>
      <c r="L571" s="480"/>
      <c r="M571" s="480"/>
      <c r="N571" s="480"/>
      <c r="O571" s="480"/>
      <c r="P571" s="481"/>
      <c r="Q571" s="482"/>
    </row>
    <row r="572" spans="1:17">
      <c r="A572" s="483" t="s">
        <v>580</v>
      </c>
      <c r="B572" s="484" t="s">
        <v>581</v>
      </c>
      <c r="C572" s="485" t="s">
        <v>582</v>
      </c>
      <c r="D572" s="486" t="s">
        <v>583</v>
      </c>
      <c r="E572" s="487" t="s">
        <v>584</v>
      </c>
      <c r="F572" s="488" t="s">
        <v>585</v>
      </c>
      <c r="G572" s="489" t="s">
        <v>18</v>
      </c>
      <c r="H572" s="489"/>
      <c r="I572" s="490" t="s">
        <v>29</v>
      </c>
      <c r="J572" s="490"/>
      <c r="K572" s="490" t="s">
        <v>21</v>
      </c>
      <c r="L572" s="490"/>
      <c r="M572" s="490" t="s">
        <v>586</v>
      </c>
      <c r="N572" s="490"/>
      <c r="O572" s="490" t="s">
        <v>587</v>
      </c>
      <c r="P572" s="490"/>
      <c r="Q572" s="491" t="s">
        <v>588</v>
      </c>
    </row>
    <row r="573" spans="1:17">
      <c r="A573" s="483"/>
      <c r="B573" s="484"/>
      <c r="C573" s="485"/>
      <c r="D573" s="492"/>
      <c r="E573" s="487"/>
      <c r="F573" s="488"/>
      <c r="G573" s="489"/>
      <c r="H573" s="489"/>
      <c r="I573" s="490"/>
      <c r="J573" s="490"/>
      <c r="K573" s="490"/>
      <c r="L573" s="490"/>
      <c r="M573" s="490"/>
      <c r="N573" s="490"/>
      <c r="O573" s="490"/>
      <c r="P573" s="490"/>
      <c r="Q573" s="491"/>
    </row>
    <row r="574" spans="1:17">
      <c r="A574" s="483"/>
      <c r="B574" s="484"/>
      <c r="C574" s="485"/>
      <c r="D574" s="470"/>
      <c r="E574" s="487"/>
      <c r="F574" s="488"/>
      <c r="G574" s="489"/>
      <c r="H574" s="489"/>
      <c r="I574" s="490"/>
      <c r="J574" s="490"/>
      <c r="K574" s="490"/>
      <c r="L574" s="490"/>
      <c r="M574" s="490"/>
      <c r="N574" s="490"/>
      <c r="O574" s="490"/>
      <c r="P574" s="490"/>
      <c r="Q574" s="491"/>
    </row>
    <row r="575" spans="1:17">
      <c r="A575" s="438">
        <v>1</v>
      </c>
      <c r="B575" s="384" t="s">
        <v>164</v>
      </c>
      <c r="C575" s="376" t="s">
        <v>835</v>
      </c>
      <c r="D575" s="376">
        <f>G575+I575+K575+M575+O575</f>
        <v>0.28399999999999997</v>
      </c>
      <c r="E575" s="493" t="s">
        <v>555</v>
      </c>
      <c r="F575" s="438">
        <v>99555.75</v>
      </c>
      <c r="G575" s="380">
        <v>0.28399999999999997</v>
      </c>
      <c r="H575" s="380">
        <f>G575*F575</f>
        <v>28273.832999999999</v>
      </c>
      <c r="I575" s="380"/>
      <c r="J575" s="380">
        <f>I575*F575</f>
        <v>0</v>
      </c>
      <c r="K575" s="380"/>
      <c r="L575" s="380">
        <f>K575*F575</f>
        <v>0</v>
      </c>
      <c r="M575" s="380"/>
      <c r="N575" s="380">
        <f>F575*M575</f>
        <v>0</v>
      </c>
      <c r="O575" s="380"/>
      <c r="P575" s="380">
        <f t="shared" ref="P575:P597" si="40">O575*F575</f>
        <v>0</v>
      </c>
      <c r="Q575" s="380">
        <f t="shared" si="39"/>
        <v>0.28399999999999997</v>
      </c>
    </row>
    <row r="576" spans="1:17">
      <c r="A576" s="438">
        <v>2</v>
      </c>
      <c r="B576" s="384" t="s">
        <v>164</v>
      </c>
      <c r="C576" s="376" t="s">
        <v>836</v>
      </c>
      <c r="D576" s="376">
        <f t="shared" ref="D576:D597" si="41">G576+I576+K576+M576+O576</f>
        <v>1</v>
      </c>
      <c r="E576" s="493" t="s">
        <v>555</v>
      </c>
      <c r="F576" s="438">
        <v>23800</v>
      </c>
      <c r="G576" s="380">
        <v>1</v>
      </c>
      <c r="H576" s="380">
        <f t="shared" ref="H576:H597" si="42">G576*F576</f>
        <v>23800</v>
      </c>
      <c r="I576" s="380"/>
      <c r="J576" s="380">
        <f>I576*F576</f>
        <v>0</v>
      </c>
      <c r="K576" s="380"/>
      <c r="L576" s="380">
        <f>K576*F576</f>
        <v>0</v>
      </c>
      <c r="M576" s="380"/>
      <c r="N576" s="380">
        <f>F576*M576</f>
        <v>0</v>
      </c>
      <c r="O576" s="380"/>
      <c r="P576" s="380">
        <f t="shared" si="40"/>
        <v>0</v>
      </c>
      <c r="Q576" s="380">
        <f t="shared" si="39"/>
        <v>1</v>
      </c>
    </row>
    <row r="577" spans="1:17">
      <c r="A577" s="438">
        <v>3</v>
      </c>
      <c r="B577" s="384" t="s">
        <v>573</v>
      </c>
      <c r="C577" s="376" t="s">
        <v>837</v>
      </c>
      <c r="D577" s="376">
        <f t="shared" si="41"/>
        <v>150</v>
      </c>
      <c r="E577" s="493" t="s">
        <v>552</v>
      </c>
      <c r="F577" s="438">
        <v>41.5</v>
      </c>
      <c r="G577" s="380"/>
      <c r="H577" s="380">
        <f t="shared" si="42"/>
        <v>0</v>
      </c>
      <c r="I577" s="380"/>
      <c r="J577" s="380"/>
      <c r="K577" s="380"/>
      <c r="L577" s="380"/>
      <c r="M577" s="380"/>
      <c r="N577" s="380"/>
      <c r="O577" s="380">
        <v>150</v>
      </c>
      <c r="P577" s="494">
        <f t="shared" si="40"/>
        <v>6225</v>
      </c>
      <c r="Q577" s="380">
        <f t="shared" si="39"/>
        <v>150</v>
      </c>
    </row>
    <row r="578" spans="1:17">
      <c r="A578" s="438">
        <v>4</v>
      </c>
      <c r="B578" s="384" t="s">
        <v>615</v>
      </c>
      <c r="C578" s="376" t="s">
        <v>838</v>
      </c>
      <c r="D578" s="376">
        <f>G578+I578+K578+M578+O578</f>
        <v>140</v>
      </c>
      <c r="E578" s="493" t="s">
        <v>552</v>
      </c>
      <c r="F578" s="438">
        <v>143.13</v>
      </c>
      <c r="G578" s="380">
        <v>140</v>
      </c>
      <c r="H578" s="380">
        <f>G578*F578</f>
        <v>20038.2</v>
      </c>
      <c r="I578" s="380"/>
      <c r="J578" s="380"/>
      <c r="K578" s="380"/>
      <c r="L578" s="380"/>
      <c r="M578" s="380"/>
      <c r="N578" s="380"/>
      <c r="O578" s="380"/>
      <c r="P578" s="380">
        <f>O578*F578</f>
        <v>0</v>
      </c>
      <c r="Q578" s="380">
        <f>G578+I578+K578+M578+O578</f>
        <v>140</v>
      </c>
    </row>
    <row r="579" spans="1:17">
      <c r="A579" s="438">
        <v>5</v>
      </c>
      <c r="B579" s="384" t="s">
        <v>173</v>
      </c>
      <c r="C579" s="376" t="s">
        <v>839</v>
      </c>
      <c r="D579" s="376">
        <f>G579+I579+K579+M579+O579</f>
        <v>1</v>
      </c>
      <c r="E579" s="493" t="s">
        <v>599</v>
      </c>
      <c r="F579" s="438">
        <v>92000</v>
      </c>
      <c r="G579" s="380">
        <v>1</v>
      </c>
      <c r="H579" s="380">
        <f>G579*F579</f>
        <v>92000</v>
      </c>
      <c r="I579" s="380"/>
      <c r="J579" s="380"/>
      <c r="K579" s="380"/>
      <c r="L579" s="380"/>
      <c r="M579" s="380"/>
      <c r="N579" s="380"/>
      <c r="O579" s="380"/>
      <c r="P579" s="380">
        <f>O579*F579</f>
        <v>0</v>
      </c>
      <c r="Q579" s="380">
        <f>G579+I579+K579+M579+O579</f>
        <v>1</v>
      </c>
    </row>
    <row r="580" spans="1:17" ht="30">
      <c r="A580" s="438">
        <v>6</v>
      </c>
      <c r="B580" s="384" t="s">
        <v>173</v>
      </c>
      <c r="C580" s="376" t="s">
        <v>840</v>
      </c>
      <c r="D580" s="376">
        <f>G580+I580+K580+M580+O580</f>
        <v>7</v>
      </c>
      <c r="E580" s="493" t="s">
        <v>324</v>
      </c>
      <c r="F580" s="438">
        <v>8555</v>
      </c>
      <c r="G580" s="380">
        <v>7</v>
      </c>
      <c r="H580" s="380">
        <f>G580*F580</f>
        <v>59885</v>
      </c>
      <c r="I580" s="380"/>
      <c r="J580" s="380">
        <f>I580*F580</f>
        <v>0</v>
      </c>
      <c r="K580" s="380"/>
      <c r="L580" s="380">
        <f>K580*F580</f>
        <v>0</v>
      </c>
      <c r="M580" s="380"/>
      <c r="N580" s="380">
        <f>F580*M580</f>
        <v>0</v>
      </c>
      <c r="O580" s="380"/>
      <c r="P580" s="380">
        <f>O580*F580</f>
        <v>0</v>
      </c>
      <c r="Q580" s="380">
        <f>G580+I580+K580+M580+O580</f>
        <v>7</v>
      </c>
    </row>
    <row r="581" spans="1:17">
      <c r="A581" s="438">
        <v>7</v>
      </c>
      <c r="B581" s="384" t="s">
        <v>168</v>
      </c>
      <c r="C581" s="376" t="s">
        <v>841</v>
      </c>
      <c r="D581" s="376">
        <f t="shared" si="41"/>
        <v>3</v>
      </c>
      <c r="E581" s="376" t="s">
        <v>599</v>
      </c>
      <c r="F581" s="376">
        <f>3650*1.18</f>
        <v>4307</v>
      </c>
      <c r="G581" s="376">
        <v>3</v>
      </c>
      <c r="H581" s="380">
        <f t="shared" si="42"/>
        <v>12921</v>
      </c>
      <c r="I581" s="380"/>
      <c r="J581" s="380">
        <f>I581*F581</f>
        <v>0</v>
      </c>
      <c r="K581" s="380"/>
      <c r="L581" s="380">
        <f>K581*F581</f>
        <v>0</v>
      </c>
      <c r="M581" s="380"/>
      <c r="N581" s="380">
        <f>F581*M581</f>
        <v>0</v>
      </c>
      <c r="O581" s="380"/>
      <c r="P581" s="494">
        <f t="shared" si="40"/>
        <v>0</v>
      </c>
      <c r="Q581" s="380">
        <f t="shared" si="39"/>
        <v>3</v>
      </c>
    </row>
    <row r="582" spans="1:17">
      <c r="A582" s="438">
        <v>8</v>
      </c>
      <c r="B582" s="384" t="s">
        <v>168</v>
      </c>
      <c r="C582" s="376" t="s">
        <v>842</v>
      </c>
      <c r="D582" s="376">
        <f t="shared" si="41"/>
        <v>6</v>
      </c>
      <c r="E582" s="376" t="s">
        <v>599</v>
      </c>
      <c r="F582" s="376">
        <v>400</v>
      </c>
      <c r="G582" s="376"/>
      <c r="H582" s="380">
        <f t="shared" si="42"/>
        <v>0</v>
      </c>
      <c r="I582" s="380"/>
      <c r="J582" s="380">
        <f>I582*F582</f>
        <v>0</v>
      </c>
      <c r="K582" s="380"/>
      <c r="L582" s="380">
        <f>K582*F582</f>
        <v>0</v>
      </c>
      <c r="M582" s="380"/>
      <c r="N582" s="380">
        <f>F582*M582</f>
        <v>0</v>
      </c>
      <c r="O582" s="380">
        <v>6</v>
      </c>
      <c r="P582" s="494">
        <f t="shared" si="40"/>
        <v>2400</v>
      </c>
      <c r="Q582" s="380">
        <f t="shared" si="39"/>
        <v>6</v>
      </c>
    </row>
    <row r="583" spans="1:17">
      <c r="A583" s="438">
        <v>9</v>
      </c>
      <c r="B583" s="384" t="s">
        <v>167</v>
      </c>
      <c r="C583" s="376" t="s">
        <v>843</v>
      </c>
      <c r="D583" s="376">
        <f t="shared" si="41"/>
        <v>4</v>
      </c>
      <c r="E583" s="493" t="s">
        <v>599</v>
      </c>
      <c r="F583" s="438">
        <v>5152.5</v>
      </c>
      <c r="G583" s="380">
        <v>4</v>
      </c>
      <c r="H583" s="380">
        <f t="shared" si="42"/>
        <v>20610</v>
      </c>
      <c r="I583" s="380"/>
      <c r="J583" s="380"/>
      <c r="K583" s="380"/>
      <c r="L583" s="380"/>
      <c r="M583" s="380"/>
      <c r="N583" s="380"/>
      <c r="O583" s="380"/>
      <c r="P583" s="494">
        <f t="shared" si="40"/>
        <v>0</v>
      </c>
      <c r="Q583" s="380">
        <f t="shared" si="39"/>
        <v>4</v>
      </c>
    </row>
    <row r="584" spans="1:17">
      <c r="A584" s="438">
        <v>10</v>
      </c>
      <c r="B584" s="384" t="s">
        <v>167</v>
      </c>
      <c r="C584" s="376" t="s">
        <v>844</v>
      </c>
      <c r="D584" s="376">
        <f t="shared" si="41"/>
        <v>6</v>
      </c>
      <c r="E584" s="376" t="s">
        <v>845</v>
      </c>
      <c r="F584" s="376">
        <v>300</v>
      </c>
      <c r="G584" s="376"/>
      <c r="H584" s="380">
        <f t="shared" si="42"/>
        <v>0</v>
      </c>
      <c r="I584" s="380"/>
      <c r="J584" s="380">
        <f>I584*F584</f>
        <v>0</v>
      </c>
      <c r="K584" s="380"/>
      <c r="L584" s="380">
        <f>K584*F584</f>
        <v>0</v>
      </c>
      <c r="M584" s="380"/>
      <c r="N584" s="380">
        <f>F584*M584</f>
        <v>0</v>
      </c>
      <c r="O584" s="380">
        <v>6</v>
      </c>
      <c r="P584" s="494">
        <f t="shared" si="40"/>
        <v>1800</v>
      </c>
      <c r="Q584" s="380">
        <f t="shared" si="39"/>
        <v>6</v>
      </c>
    </row>
    <row r="585" spans="1:17">
      <c r="A585" s="438">
        <v>11</v>
      </c>
      <c r="B585" s="384" t="s">
        <v>170</v>
      </c>
      <c r="C585" s="376" t="s">
        <v>846</v>
      </c>
      <c r="D585" s="376">
        <f t="shared" si="41"/>
        <v>3</v>
      </c>
      <c r="E585" s="376" t="s">
        <v>599</v>
      </c>
      <c r="F585" s="376">
        <f>750*1.18</f>
        <v>885</v>
      </c>
      <c r="G585" s="376">
        <v>3</v>
      </c>
      <c r="H585" s="380">
        <f t="shared" si="42"/>
        <v>2655</v>
      </c>
      <c r="I585" s="380"/>
      <c r="J585" s="380">
        <f>I585*F585</f>
        <v>0</v>
      </c>
      <c r="K585" s="380"/>
      <c r="L585" s="380">
        <f>K585*F585</f>
        <v>0</v>
      </c>
      <c r="M585" s="380"/>
      <c r="N585" s="380">
        <f>F585*M585</f>
        <v>0</v>
      </c>
      <c r="O585" s="380"/>
      <c r="P585" s="494">
        <f t="shared" si="40"/>
        <v>0</v>
      </c>
      <c r="Q585" s="380">
        <f t="shared" si="39"/>
        <v>3</v>
      </c>
    </row>
    <row r="586" spans="1:17">
      <c r="A586" s="438">
        <v>12</v>
      </c>
      <c r="B586" s="384" t="s">
        <v>170</v>
      </c>
      <c r="C586" s="376" t="s">
        <v>847</v>
      </c>
      <c r="D586" s="376">
        <f t="shared" si="41"/>
        <v>14</v>
      </c>
      <c r="E586" s="493" t="s">
        <v>599</v>
      </c>
      <c r="F586" s="438">
        <v>1145</v>
      </c>
      <c r="G586" s="380">
        <v>14</v>
      </c>
      <c r="H586" s="380">
        <f t="shared" si="42"/>
        <v>16030</v>
      </c>
      <c r="I586" s="380"/>
      <c r="J586" s="380"/>
      <c r="K586" s="380"/>
      <c r="L586" s="380"/>
      <c r="M586" s="380"/>
      <c r="N586" s="380"/>
      <c r="O586" s="380"/>
      <c r="P586" s="494">
        <f t="shared" si="40"/>
        <v>0</v>
      </c>
      <c r="Q586" s="380">
        <f t="shared" si="39"/>
        <v>14</v>
      </c>
    </row>
    <row r="587" spans="1:17">
      <c r="A587" s="438">
        <v>13</v>
      </c>
      <c r="B587" s="384" t="s">
        <v>565</v>
      </c>
      <c r="C587" s="376" t="s">
        <v>848</v>
      </c>
      <c r="D587" s="376">
        <f t="shared" si="41"/>
        <v>12</v>
      </c>
      <c r="E587" s="493" t="s">
        <v>599</v>
      </c>
      <c r="F587" s="438">
        <v>1488.5</v>
      </c>
      <c r="G587" s="380">
        <v>12</v>
      </c>
      <c r="H587" s="380">
        <f t="shared" si="42"/>
        <v>17862</v>
      </c>
      <c r="I587" s="380"/>
      <c r="J587" s="380"/>
      <c r="K587" s="380"/>
      <c r="L587" s="380"/>
      <c r="M587" s="380"/>
      <c r="N587" s="380"/>
      <c r="O587" s="380"/>
      <c r="P587" s="380">
        <f t="shared" si="40"/>
        <v>0</v>
      </c>
      <c r="Q587" s="380">
        <f t="shared" si="39"/>
        <v>12</v>
      </c>
    </row>
    <row r="588" spans="1:17">
      <c r="A588" s="438">
        <v>14</v>
      </c>
      <c r="B588" s="384" t="s">
        <v>565</v>
      </c>
      <c r="C588" s="376" t="s">
        <v>849</v>
      </c>
      <c r="D588" s="376">
        <f t="shared" si="41"/>
        <v>20</v>
      </c>
      <c r="E588" s="493" t="s">
        <v>599</v>
      </c>
      <c r="F588" s="438">
        <v>50</v>
      </c>
      <c r="G588" s="380">
        <v>0</v>
      </c>
      <c r="H588" s="380">
        <f t="shared" si="42"/>
        <v>0</v>
      </c>
      <c r="I588" s="380"/>
      <c r="J588" s="380">
        <f>I588*F588</f>
        <v>0</v>
      </c>
      <c r="K588" s="380"/>
      <c r="L588" s="380">
        <f>K588*F588</f>
        <v>0</v>
      </c>
      <c r="M588" s="380"/>
      <c r="N588" s="380">
        <f>F588*M588</f>
        <v>0</v>
      </c>
      <c r="O588" s="380">
        <v>20</v>
      </c>
      <c r="P588" s="380">
        <f t="shared" si="40"/>
        <v>1000</v>
      </c>
      <c r="Q588" s="380">
        <f t="shared" si="39"/>
        <v>20</v>
      </c>
    </row>
    <row r="589" spans="1:17">
      <c r="A589" s="438">
        <v>15</v>
      </c>
      <c r="B589" s="384" t="s">
        <v>171</v>
      </c>
      <c r="C589" s="376" t="s">
        <v>850</v>
      </c>
      <c r="D589" s="376">
        <f t="shared" si="41"/>
        <v>2</v>
      </c>
      <c r="E589" s="493" t="s">
        <v>599</v>
      </c>
      <c r="F589" s="438">
        <f>750*1.18</f>
        <v>885</v>
      </c>
      <c r="G589" s="380">
        <v>2</v>
      </c>
      <c r="H589" s="380">
        <f t="shared" si="42"/>
        <v>1770</v>
      </c>
      <c r="I589" s="380"/>
      <c r="J589" s="380">
        <f>I589*F589</f>
        <v>0</v>
      </c>
      <c r="K589" s="380"/>
      <c r="L589" s="380">
        <f>K589*F589</f>
        <v>0</v>
      </c>
      <c r="M589" s="380"/>
      <c r="N589" s="380">
        <f>F589*M589</f>
        <v>0</v>
      </c>
      <c r="O589" s="380"/>
      <c r="P589" s="380">
        <f t="shared" si="40"/>
        <v>0</v>
      </c>
      <c r="Q589" s="380">
        <f t="shared" si="39"/>
        <v>2</v>
      </c>
    </row>
    <row r="590" spans="1:17">
      <c r="A590" s="438">
        <v>16</v>
      </c>
      <c r="B590" s="384" t="s">
        <v>171</v>
      </c>
      <c r="C590" s="376" t="s">
        <v>851</v>
      </c>
      <c r="D590" s="376">
        <f t="shared" si="41"/>
        <v>15</v>
      </c>
      <c r="E590" s="493" t="s">
        <v>599</v>
      </c>
      <c r="F590" s="438">
        <v>572.5</v>
      </c>
      <c r="G590" s="380">
        <v>15</v>
      </c>
      <c r="H590" s="380">
        <f t="shared" si="42"/>
        <v>8587.5</v>
      </c>
      <c r="I590" s="380"/>
      <c r="J590" s="380"/>
      <c r="K590" s="380"/>
      <c r="L590" s="380"/>
      <c r="M590" s="380"/>
      <c r="N590" s="380"/>
      <c r="O590" s="380"/>
      <c r="P590" s="380">
        <f t="shared" si="40"/>
        <v>0</v>
      </c>
      <c r="Q590" s="380">
        <f t="shared" si="39"/>
        <v>15</v>
      </c>
    </row>
    <row r="591" spans="1:17">
      <c r="A591" s="438">
        <v>17</v>
      </c>
      <c r="B591" s="384" t="s">
        <v>165</v>
      </c>
      <c r="C591" s="376" t="s">
        <v>852</v>
      </c>
      <c r="D591" s="376">
        <f t="shared" si="41"/>
        <v>21</v>
      </c>
      <c r="E591" s="493" t="s">
        <v>599</v>
      </c>
      <c r="F591" s="438">
        <v>1030.5</v>
      </c>
      <c r="G591" s="380">
        <v>21</v>
      </c>
      <c r="H591" s="380">
        <f t="shared" si="42"/>
        <v>21640.5</v>
      </c>
      <c r="I591" s="380"/>
      <c r="J591" s="380"/>
      <c r="K591" s="380"/>
      <c r="L591" s="380"/>
      <c r="M591" s="380"/>
      <c r="N591" s="380"/>
      <c r="O591" s="380"/>
      <c r="P591" s="380">
        <f t="shared" si="40"/>
        <v>0</v>
      </c>
      <c r="Q591" s="380">
        <f t="shared" si="39"/>
        <v>21</v>
      </c>
    </row>
    <row r="592" spans="1:17">
      <c r="A592" s="438">
        <v>18</v>
      </c>
      <c r="B592" s="384" t="s">
        <v>166</v>
      </c>
      <c r="C592" s="376" t="s">
        <v>853</v>
      </c>
      <c r="D592" s="376">
        <f t="shared" si="41"/>
        <v>20</v>
      </c>
      <c r="E592" s="493" t="s">
        <v>599</v>
      </c>
      <c r="F592" s="438">
        <v>10</v>
      </c>
      <c r="G592" s="380"/>
      <c r="H592" s="380">
        <f t="shared" si="42"/>
        <v>0</v>
      </c>
      <c r="I592" s="380"/>
      <c r="J592" s="380"/>
      <c r="K592" s="380"/>
      <c r="L592" s="380"/>
      <c r="M592" s="380"/>
      <c r="N592" s="380"/>
      <c r="O592" s="380">
        <v>20</v>
      </c>
      <c r="P592" s="380">
        <f t="shared" si="40"/>
        <v>200</v>
      </c>
      <c r="Q592" s="380">
        <f t="shared" si="39"/>
        <v>20</v>
      </c>
    </row>
    <row r="593" spans="1:17">
      <c r="A593" s="438">
        <v>19</v>
      </c>
      <c r="B593" s="384" t="s">
        <v>166</v>
      </c>
      <c r="C593" s="376" t="s">
        <v>854</v>
      </c>
      <c r="D593" s="376">
        <f t="shared" si="41"/>
        <v>90</v>
      </c>
      <c r="E593" s="493" t="s">
        <v>599</v>
      </c>
      <c r="F593" s="438">
        <v>65</v>
      </c>
      <c r="G593" s="380">
        <v>90</v>
      </c>
      <c r="H593" s="380">
        <f t="shared" si="42"/>
        <v>5850</v>
      </c>
      <c r="I593" s="379"/>
      <c r="J593" s="380">
        <f>I593*F593</f>
        <v>0</v>
      </c>
      <c r="K593" s="379"/>
      <c r="L593" s="380">
        <f>K593*F593</f>
        <v>0</v>
      </c>
      <c r="M593" s="379"/>
      <c r="N593" s="380">
        <f>F593*M593</f>
        <v>0</v>
      </c>
      <c r="O593" s="379"/>
      <c r="P593" s="380">
        <f t="shared" si="40"/>
        <v>0</v>
      </c>
      <c r="Q593" s="380">
        <f t="shared" si="39"/>
        <v>90</v>
      </c>
    </row>
    <row r="594" spans="1:17">
      <c r="A594" s="438">
        <v>20</v>
      </c>
      <c r="B594" s="384" t="s">
        <v>855</v>
      </c>
      <c r="C594" s="376" t="s">
        <v>856</v>
      </c>
      <c r="D594" s="376">
        <f t="shared" si="41"/>
        <v>5</v>
      </c>
      <c r="E594" s="493" t="s">
        <v>599</v>
      </c>
      <c r="F594" s="438">
        <v>600</v>
      </c>
      <c r="G594" s="380">
        <v>5</v>
      </c>
      <c r="H594" s="380">
        <f t="shared" si="42"/>
        <v>3000</v>
      </c>
      <c r="I594" s="380"/>
      <c r="J594" s="380"/>
      <c r="K594" s="380"/>
      <c r="L594" s="380"/>
      <c r="M594" s="380"/>
      <c r="N594" s="380"/>
      <c r="O594" s="380"/>
      <c r="P594" s="380">
        <f t="shared" si="40"/>
        <v>0</v>
      </c>
      <c r="Q594" s="380">
        <f t="shared" si="39"/>
        <v>5</v>
      </c>
    </row>
    <row r="595" spans="1:17">
      <c r="A595" s="438">
        <v>21</v>
      </c>
      <c r="B595" s="384" t="s">
        <v>167</v>
      </c>
      <c r="C595" s="376" t="s">
        <v>857</v>
      </c>
      <c r="D595" s="376">
        <f t="shared" si="41"/>
        <v>1</v>
      </c>
      <c r="E595" s="493" t="s">
        <v>599</v>
      </c>
      <c r="F595" s="438">
        <v>2400</v>
      </c>
      <c r="G595" s="380">
        <v>1</v>
      </c>
      <c r="H595" s="380">
        <f t="shared" si="42"/>
        <v>2400</v>
      </c>
      <c r="I595" s="380"/>
      <c r="J595" s="380"/>
      <c r="K595" s="380"/>
      <c r="L595" s="380"/>
      <c r="M595" s="380"/>
      <c r="N595" s="380"/>
      <c r="O595" s="380"/>
      <c r="P595" s="380">
        <f t="shared" si="40"/>
        <v>0</v>
      </c>
      <c r="Q595" s="380">
        <f t="shared" si="39"/>
        <v>1</v>
      </c>
    </row>
    <row r="596" spans="1:17">
      <c r="A596" s="438">
        <v>22</v>
      </c>
      <c r="B596" s="384" t="s">
        <v>171</v>
      </c>
      <c r="C596" s="376" t="s">
        <v>858</v>
      </c>
      <c r="D596" s="376">
        <f t="shared" si="41"/>
        <v>2</v>
      </c>
      <c r="E596" s="493" t="s">
        <v>599</v>
      </c>
      <c r="F596" s="438">
        <v>113.44</v>
      </c>
      <c r="G596" s="380">
        <v>2</v>
      </c>
      <c r="H596" s="380">
        <f t="shared" si="42"/>
        <v>226.88</v>
      </c>
      <c r="I596" s="380"/>
      <c r="J596" s="380"/>
      <c r="K596" s="380"/>
      <c r="L596" s="380"/>
      <c r="M596" s="380"/>
      <c r="N596" s="380"/>
      <c r="O596" s="380"/>
      <c r="P596" s="380">
        <f t="shared" si="40"/>
        <v>0</v>
      </c>
      <c r="Q596" s="380">
        <f t="shared" si="39"/>
        <v>2</v>
      </c>
    </row>
    <row r="597" spans="1:17">
      <c r="A597" s="438">
        <v>23</v>
      </c>
      <c r="B597" s="384" t="s">
        <v>165</v>
      </c>
      <c r="C597" s="376" t="s">
        <v>859</v>
      </c>
      <c r="D597" s="376">
        <f t="shared" si="41"/>
        <v>6</v>
      </c>
      <c r="E597" s="493" t="s">
        <v>599</v>
      </c>
      <c r="F597" s="438">
        <v>250</v>
      </c>
      <c r="G597" s="380">
        <v>6</v>
      </c>
      <c r="H597" s="380">
        <f t="shared" si="42"/>
        <v>1500</v>
      </c>
      <c r="I597" s="380"/>
      <c r="J597" s="380"/>
      <c r="K597" s="380"/>
      <c r="L597" s="380"/>
      <c r="M597" s="380"/>
      <c r="N597" s="380"/>
      <c r="O597" s="380"/>
      <c r="P597" s="380">
        <f t="shared" si="40"/>
        <v>0</v>
      </c>
      <c r="Q597" s="380">
        <f t="shared" si="39"/>
        <v>6</v>
      </c>
    </row>
    <row r="598" spans="1:17">
      <c r="A598" s="438">
        <v>24</v>
      </c>
      <c r="B598" s="384" t="s">
        <v>860</v>
      </c>
      <c r="C598" s="390" t="s">
        <v>861</v>
      </c>
      <c r="D598" s="376">
        <f>G598+I598+K598+M598+O598</f>
        <v>9</v>
      </c>
      <c r="E598" s="493" t="s">
        <v>599</v>
      </c>
      <c r="F598" s="438">
        <v>3000</v>
      </c>
      <c r="G598" s="380">
        <v>9</v>
      </c>
      <c r="H598" s="380">
        <f>G598*F598</f>
        <v>27000</v>
      </c>
      <c r="I598" s="380"/>
      <c r="J598" s="380"/>
      <c r="K598" s="380"/>
      <c r="L598" s="380"/>
      <c r="M598" s="380"/>
      <c r="N598" s="380"/>
      <c r="O598" s="380"/>
      <c r="P598" s="380">
        <f>O598*F598</f>
        <v>0</v>
      </c>
      <c r="Q598" s="380">
        <f>G598+I598+K598+M598+O598</f>
        <v>9</v>
      </c>
    </row>
    <row r="599" spans="1:17">
      <c r="A599" s="468"/>
      <c r="B599" s="495"/>
      <c r="C599" s="496"/>
      <c r="D599" s="496"/>
      <c r="E599" s="497" t="s">
        <v>421</v>
      </c>
      <c r="F599" s="497"/>
      <c r="G599" s="473"/>
      <c r="H599" s="473">
        <f>SUM(H575:H598)</f>
        <v>366049.913</v>
      </c>
      <c r="I599" s="473"/>
      <c r="J599" s="473">
        <f>SUM(J575:J597)</f>
        <v>0</v>
      </c>
      <c r="K599" s="473"/>
      <c r="L599" s="473">
        <f>SUM(L575:L597)</f>
        <v>0</v>
      </c>
      <c r="M599" s="473"/>
      <c r="N599" s="473">
        <f>SUM(N575:N597)</f>
        <v>0</v>
      </c>
      <c r="O599" s="473"/>
      <c r="P599" s="498">
        <f>SUM(P575:P597)</f>
        <v>11625</v>
      </c>
      <c r="Q599" s="474"/>
    </row>
    <row r="600" spans="1:17">
      <c r="A600" s="499"/>
      <c r="B600" s="500"/>
      <c r="C600" s="501"/>
      <c r="D600" s="501"/>
      <c r="E600" s="502"/>
      <c r="F600" s="503"/>
      <c r="G600" s="504"/>
      <c r="H600" s="505">
        <f>H599+J599+L599+N599+P599</f>
        <v>377674.913</v>
      </c>
      <c r="I600" s="505"/>
      <c r="J600" s="505"/>
      <c r="K600" s="505"/>
      <c r="L600" s="505"/>
      <c r="M600" s="505"/>
      <c r="N600" s="505"/>
      <c r="O600" s="505"/>
      <c r="P600" s="505"/>
      <c r="Q600" s="118" t="e">
        <f>H600-#REF!</f>
        <v>#REF!</v>
      </c>
    </row>
    <row r="601" spans="1:17">
      <c r="A601" s="452"/>
      <c r="B601" s="506"/>
      <c r="C601" s="507"/>
      <c r="D601" s="507"/>
      <c r="E601" s="508"/>
      <c r="F601" s="509"/>
      <c r="G601" s="118"/>
      <c r="H601" s="118"/>
      <c r="I601" s="118"/>
      <c r="J601" s="118"/>
      <c r="K601" s="118"/>
      <c r="L601" s="118"/>
      <c r="M601" s="118"/>
      <c r="N601" s="118"/>
      <c r="O601" s="118"/>
      <c r="P601" s="510"/>
      <c r="Q601" s="511"/>
    </row>
    <row r="602" spans="1:17">
      <c r="A602" s="452"/>
      <c r="B602" s="506"/>
      <c r="C602" s="507"/>
      <c r="D602" s="507"/>
      <c r="E602" s="508"/>
      <c r="F602" s="509"/>
      <c r="G602" s="118"/>
      <c r="H602" s="118"/>
      <c r="I602" s="118"/>
      <c r="J602" s="118"/>
      <c r="K602" s="118"/>
      <c r="L602" s="118"/>
      <c r="M602" s="118"/>
      <c r="N602" s="118"/>
      <c r="O602" s="118"/>
      <c r="P602" s="118"/>
      <c r="Q602" s="118"/>
    </row>
    <row r="603" spans="1:17">
      <c r="A603" s="452"/>
      <c r="B603" s="506"/>
      <c r="C603" s="507"/>
      <c r="D603" s="507"/>
      <c r="E603" s="508"/>
      <c r="F603" s="509"/>
      <c r="G603" s="118"/>
      <c r="H603" s="118"/>
      <c r="I603" s="118"/>
      <c r="J603" s="118"/>
      <c r="K603" s="118"/>
      <c r="L603" s="118"/>
      <c r="M603" s="118"/>
      <c r="N603" s="118"/>
      <c r="O603" s="118"/>
      <c r="P603" s="118"/>
      <c r="Q603" s="118"/>
    </row>
    <row r="604" spans="1:17">
      <c r="A604" s="512" t="s">
        <v>862</v>
      </c>
      <c r="B604" s="513"/>
      <c r="C604" s="513"/>
      <c r="D604" s="513"/>
      <c r="E604" s="513"/>
      <c r="F604" s="513"/>
      <c r="G604" s="514" t="s">
        <v>18</v>
      </c>
      <c r="H604" s="514"/>
      <c r="I604" s="515" t="s">
        <v>29</v>
      </c>
      <c r="J604" s="515"/>
      <c r="K604" s="515" t="s">
        <v>21</v>
      </c>
      <c r="L604" s="515"/>
      <c r="M604" s="515" t="s">
        <v>586</v>
      </c>
      <c r="N604" s="515"/>
      <c r="O604" s="515" t="s">
        <v>587</v>
      </c>
      <c r="P604" s="515"/>
      <c r="Q604" s="516"/>
    </row>
    <row r="605" spans="1:17">
      <c r="A605" s="517"/>
      <c r="B605" s="518"/>
      <c r="C605" s="518"/>
      <c r="D605" s="518"/>
      <c r="E605" s="518"/>
      <c r="F605" s="518"/>
      <c r="G605" s="519"/>
      <c r="H605" s="519"/>
      <c r="I605" s="520"/>
      <c r="J605" s="520"/>
      <c r="K605" s="520"/>
      <c r="L605" s="520"/>
      <c r="M605" s="520"/>
      <c r="N605" s="520"/>
      <c r="O605" s="520"/>
      <c r="P605" s="520"/>
      <c r="Q605" s="521"/>
    </row>
    <row r="606" spans="1:17">
      <c r="A606" s="344" t="s">
        <v>863</v>
      </c>
      <c r="B606" s="344" t="s">
        <v>28</v>
      </c>
      <c r="C606" s="344" t="s">
        <v>582</v>
      </c>
      <c r="D606" s="367"/>
      <c r="E606" s="347" t="s">
        <v>584</v>
      </c>
      <c r="F606" s="347" t="s">
        <v>585</v>
      </c>
      <c r="G606" s="522"/>
      <c r="H606" s="523"/>
      <c r="I606" s="524"/>
      <c r="J606" s="525"/>
      <c r="K606" s="526"/>
      <c r="L606" s="525"/>
      <c r="M606" s="526"/>
      <c r="N606" s="525"/>
      <c r="O606" s="526"/>
      <c r="P606" s="525"/>
      <c r="Q606" s="526"/>
    </row>
    <row r="607" spans="1:17">
      <c r="A607" s="344"/>
      <c r="B607" s="344"/>
      <c r="C607" s="344"/>
      <c r="D607" s="367"/>
      <c r="E607" s="347"/>
      <c r="F607" s="347"/>
      <c r="G607" s="371" t="s">
        <v>583</v>
      </c>
      <c r="H607" s="371" t="s">
        <v>864</v>
      </c>
      <c r="I607" s="371" t="s">
        <v>583</v>
      </c>
      <c r="J607" s="371" t="s">
        <v>864</v>
      </c>
      <c r="K607" s="371" t="s">
        <v>583</v>
      </c>
      <c r="L607" s="371" t="s">
        <v>864</v>
      </c>
      <c r="M607" s="371" t="s">
        <v>583</v>
      </c>
      <c r="N607" s="371" t="s">
        <v>864</v>
      </c>
      <c r="O607" s="371" t="s">
        <v>583</v>
      </c>
      <c r="P607" s="371" t="s">
        <v>864</v>
      </c>
      <c r="Q607" s="371"/>
    </row>
    <row r="608" spans="1:17">
      <c r="A608" s="344"/>
      <c r="B608" s="344"/>
      <c r="C608" s="344"/>
      <c r="D608" s="367"/>
      <c r="E608" s="347"/>
      <c r="F608" s="347"/>
      <c r="G608" s="527"/>
      <c r="H608" s="371"/>
      <c r="I608" s="371"/>
      <c r="J608" s="372"/>
      <c r="K608" s="372"/>
      <c r="L608" s="371"/>
      <c r="M608" s="371"/>
      <c r="N608" s="371"/>
      <c r="O608" s="371"/>
      <c r="P608" s="371"/>
      <c r="Q608" s="371"/>
    </row>
    <row r="609" spans="1:17">
      <c r="A609" s="528">
        <v>1</v>
      </c>
      <c r="B609" s="29" t="s">
        <v>865</v>
      </c>
      <c r="C609" s="529" t="s">
        <v>866</v>
      </c>
      <c r="D609" s="386">
        <f>G609+I609+K609+M609+O609</f>
        <v>3</v>
      </c>
      <c r="E609" s="29" t="s">
        <v>599</v>
      </c>
      <c r="F609" s="8"/>
      <c r="G609" s="386"/>
      <c r="H609" s="386">
        <f>F609*G609</f>
        <v>0</v>
      </c>
      <c r="I609" s="386"/>
      <c r="J609" s="386">
        <f>F609*I609</f>
        <v>0</v>
      </c>
      <c r="K609" s="386"/>
      <c r="L609" s="386">
        <f>K609*F609</f>
        <v>0</v>
      </c>
      <c r="M609" s="386"/>
      <c r="N609" s="386">
        <f>M609*F609</f>
        <v>0</v>
      </c>
      <c r="O609" s="386">
        <v>3</v>
      </c>
      <c r="P609" s="386">
        <f>O609*F609</f>
        <v>0</v>
      </c>
      <c r="Q609" s="386"/>
    </row>
    <row r="610" spans="1:17">
      <c r="A610" s="528">
        <v>2</v>
      </c>
      <c r="B610" s="528" t="s">
        <v>867</v>
      </c>
      <c r="C610" s="529" t="s">
        <v>868</v>
      </c>
      <c r="D610" s="386">
        <f t="shared" ref="D610:D673" si="43">G610+I610+K610+M610+O610</f>
        <v>1</v>
      </c>
      <c r="E610" s="29" t="s">
        <v>599</v>
      </c>
      <c r="F610" s="8"/>
      <c r="G610" s="386"/>
      <c r="H610" s="386">
        <f t="shared" ref="H610:H673" si="44">F610*G610</f>
        <v>0</v>
      </c>
      <c r="I610" s="386"/>
      <c r="J610" s="386">
        <f t="shared" ref="J610:J673" si="45">F610*I610</f>
        <v>0</v>
      </c>
      <c r="K610" s="386"/>
      <c r="L610" s="386">
        <f t="shared" ref="L610:L673" si="46">K610*F610</f>
        <v>0</v>
      </c>
      <c r="M610" s="386"/>
      <c r="N610" s="386">
        <f t="shared" ref="N610:N673" si="47">M610*F610</f>
        <v>0</v>
      </c>
      <c r="O610" s="386">
        <v>1</v>
      </c>
      <c r="P610" s="386">
        <f t="shared" ref="P610:P673" si="48">O610*F610</f>
        <v>0</v>
      </c>
      <c r="Q610" s="386"/>
    </row>
    <row r="611" spans="1:17">
      <c r="A611" s="528">
        <v>3</v>
      </c>
      <c r="B611" s="29" t="s">
        <v>869</v>
      </c>
      <c r="C611" s="441" t="s">
        <v>870</v>
      </c>
      <c r="D611" s="386">
        <f t="shared" si="43"/>
        <v>1</v>
      </c>
      <c r="E611" s="29" t="s">
        <v>599</v>
      </c>
      <c r="F611" s="8"/>
      <c r="G611" s="386"/>
      <c r="H611" s="386">
        <f t="shared" si="44"/>
        <v>0</v>
      </c>
      <c r="I611" s="386"/>
      <c r="J611" s="386">
        <f t="shared" si="45"/>
        <v>0</v>
      </c>
      <c r="K611" s="386"/>
      <c r="L611" s="386">
        <f t="shared" si="46"/>
        <v>0</v>
      </c>
      <c r="M611" s="386"/>
      <c r="N611" s="386">
        <f t="shared" si="47"/>
        <v>0</v>
      </c>
      <c r="O611" s="386">
        <v>1</v>
      </c>
      <c r="P611" s="386">
        <f t="shared" si="48"/>
        <v>0</v>
      </c>
      <c r="Q611" s="386"/>
    </row>
    <row r="612" spans="1:17">
      <c r="A612" s="528">
        <v>4</v>
      </c>
      <c r="B612" s="29" t="s">
        <v>871</v>
      </c>
      <c r="C612" s="441" t="s">
        <v>872</v>
      </c>
      <c r="D612" s="386">
        <f t="shared" si="43"/>
        <v>1</v>
      </c>
      <c r="E612" s="29" t="s">
        <v>599</v>
      </c>
      <c r="F612" s="8"/>
      <c r="G612" s="386"/>
      <c r="H612" s="386">
        <f t="shared" si="44"/>
        <v>0</v>
      </c>
      <c r="I612" s="386"/>
      <c r="J612" s="386">
        <f t="shared" si="45"/>
        <v>0</v>
      </c>
      <c r="K612" s="386"/>
      <c r="L612" s="386">
        <f t="shared" si="46"/>
        <v>0</v>
      </c>
      <c r="M612" s="386"/>
      <c r="N612" s="386">
        <f t="shared" si="47"/>
        <v>0</v>
      </c>
      <c r="O612" s="386">
        <v>1</v>
      </c>
      <c r="P612" s="386">
        <f t="shared" si="48"/>
        <v>0</v>
      </c>
      <c r="Q612" s="386"/>
    </row>
    <row r="613" spans="1:17">
      <c r="A613" s="528">
        <v>5</v>
      </c>
      <c r="B613" s="528" t="s">
        <v>873</v>
      </c>
      <c r="C613" s="529" t="s">
        <v>874</v>
      </c>
      <c r="D613" s="386">
        <f t="shared" si="43"/>
        <v>1</v>
      </c>
      <c r="E613" s="29" t="s">
        <v>599</v>
      </c>
      <c r="F613" s="8"/>
      <c r="G613" s="386"/>
      <c r="H613" s="386">
        <f t="shared" si="44"/>
        <v>0</v>
      </c>
      <c r="I613" s="386"/>
      <c r="J613" s="386">
        <f t="shared" si="45"/>
        <v>0</v>
      </c>
      <c r="K613" s="386"/>
      <c r="L613" s="386">
        <f t="shared" si="46"/>
        <v>0</v>
      </c>
      <c r="M613" s="386"/>
      <c r="N613" s="386">
        <f t="shared" si="47"/>
        <v>0</v>
      </c>
      <c r="O613" s="386">
        <v>1</v>
      </c>
      <c r="P613" s="386">
        <f t="shared" si="48"/>
        <v>0</v>
      </c>
      <c r="Q613" s="386"/>
    </row>
    <row r="614" spans="1:17">
      <c r="A614" s="528">
        <v>6</v>
      </c>
      <c r="B614" s="528" t="s">
        <v>232</v>
      </c>
      <c r="C614" s="529" t="s">
        <v>875</v>
      </c>
      <c r="D614" s="386">
        <f t="shared" si="43"/>
        <v>1</v>
      </c>
      <c r="E614" s="29" t="s">
        <v>599</v>
      </c>
      <c r="F614" s="8"/>
      <c r="G614" s="386">
        <v>1</v>
      </c>
      <c r="H614" s="386">
        <f t="shared" si="44"/>
        <v>0</v>
      </c>
      <c r="I614" s="386"/>
      <c r="J614" s="386">
        <f t="shared" si="45"/>
        <v>0</v>
      </c>
      <c r="K614" s="386"/>
      <c r="L614" s="386">
        <f t="shared" si="46"/>
        <v>0</v>
      </c>
      <c r="M614" s="386"/>
      <c r="N614" s="386">
        <f t="shared" si="47"/>
        <v>0</v>
      </c>
      <c r="O614" s="386"/>
      <c r="P614" s="386">
        <f t="shared" si="48"/>
        <v>0</v>
      </c>
      <c r="Q614" s="386"/>
    </row>
    <row r="615" spans="1:17">
      <c r="A615" s="528">
        <v>7</v>
      </c>
      <c r="B615" s="29" t="s">
        <v>876</v>
      </c>
      <c r="C615" s="441" t="s">
        <v>877</v>
      </c>
      <c r="D615" s="386">
        <f t="shared" si="43"/>
        <v>1</v>
      </c>
      <c r="E615" s="29" t="s">
        <v>599</v>
      </c>
      <c r="F615" s="8"/>
      <c r="G615" s="386"/>
      <c r="H615" s="386">
        <f t="shared" si="44"/>
        <v>0</v>
      </c>
      <c r="I615" s="386"/>
      <c r="J615" s="386">
        <f t="shared" si="45"/>
        <v>0</v>
      </c>
      <c r="K615" s="386"/>
      <c r="L615" s="386">
        <f t="shared" si="46"/>
        <v>0</v>
      </c>
      <c r="M615" s="386"/>
      <c r="N615" s="386">
        <f t="shared" si="47"/>
        <v>0</v>
      </c>
      <c r="O615" s="386">
        <v>1</v>
      </c>
      <c r="P615" s="386">
        <f t="shared" si="48"/>
        <v>0</v>
      </c>
      <c r="Q615" s="386"/>
    </row>
    <row r="616" spans="1:17">
      <c r="A616" s="528">
        <v>8</v>
      </c>
      <c r="B616" s="29" t="s">
        <v>878</v>
      </c>
      <c r="C616" s="441" t="s">
        <v>879</v>
      </c>
      <c r="D616" s="386">
        <f t="shared" si="43"/>
        <v>1</v>
      </c>
      <c r="E616" s="29" t="s">
        <v>599</v>
      </c>
      <c r="F616" s="8"/>
      <c r="G616" s="386"/>
      <c r="H616" s="386">
        <f t="shared" si="44"/>
        <v>0</v>
      </c>
      <c r="I616" s="386"/>
      <c r="J616" s="386">
        <f t="shared" si="45"/>
        <v>0</v>
      </c>
      <c r="K616" s="386"/>
      <c r="L616" s="386">
        <f t="shared" si="46"/>
        <v>0</v>
      </c>
      <c r="M616" s="386"/>
      <c r="N616" s="386">
        <f t="shared" si="47"/>
        <v>0</v>
      </c>
      <c r="O616" s="386">
        <v>1</v>
      </c>
      <c r="P616" s="386">
        <f t="shared" si="48"/>
        <v>0</v>
      </c>
      <c r="Q616" s="386"/>
    </row>
    <row r="617" spans="1:17">
      <c r="A617" s="528">
        <v>9</v>
      </c>
      <c r="B617" s="29" t="s">
        <v>880</v>
      </c>
      <c r="C617" s="441" t="s">
        <v>881</v>
      </c>
      <c r="D617" s="386">
        <f t="shared" si="43"/>
        <v>1</v>
      </c>
      <c r="E617" s="29" t="s">
        <v>599</v>
      </c>
      <c r="F617" s="8"/>
      <c r="G617" s="386"/>
      <c r="H617" s="386">
        <f t="shared" si="44"/>
        <v>0</v>
      </c>
      <c r="I617" s="386"/>
      <c r="J617" s="386">
        <f t="shared" si="45"/>
        <v>0</v>
      </c>
      <c r="K617" s="386"/>
      <c r="L617" s="386">
        <f t="shared" si="46"/>
        <v>0</v>
      </c>
      <c r="M617" s="386"/>
      <c r="N617" s="386">
        <f t="shared" si="47"/>
        <v>0</v>
      </c>
      <c r="O617" s="386">
        <v>1</v>
      </c>
      <c r="P617" s="386">
        <f t="shared" si="48"/>
        <v>0</v>
      </c>
      <c r="Q617" s="386"/>
    </row>
    <row r="618" spans="1:17">
      <c r="A618" s="528">
        <v>10</v>
      </c>
      <c r="B618" s="29" t="s">
        <v>882</v>
      </c>
      <c r="C618" s="441" t="s">
        <v>883</v>
      </c>
      <c r="D618" s="386">
        <f t="shared" si="43"/>
        <v>1</v>
      </c>
      <c r="E618" s="29" t="s">
        <v>599</v>
      </c>
      <c r="F618" s="8"/>
      <c r="G618" s="386">
        <v>1</v>
      </c>
      <c r="H618" s="386">
        <f t="shared" si="44"/>
        <v>0</v>
      </c>
      <c r="I618" s="386"/>
      <c r="J618" s="386">
        <f t="shared" si="45"/>
        <v>0</v>
      </c>
      <c r="K618" s="386"/>
      <c r="L618" s="386">
        <f t="shared" si="46"/>
        <v>0</v>
      </c>
      <c r="M618" s="386"/>
      <c r="N618" s="386">
        <f t="shared" si="47"/>
        <v>0</v>
      </c>
      <c r="O618" s="386"/>
      <c r="P618" s="386">
        <f t="shared" si="48"/>
        <v>0</v>
      </c>
      <c r="Q618" s="386"/>
    </row>
    <row r="619" spans="1:17">
      <c r="A619" s="528">
        <v>11</v>
      </c>
      <c r="B619" s="29" t="s">
        <v>884</v>
      </c>
      <c r="C619" s="441" t="s">
        <v>885</v>
      </c>
      <c r="D619" s="386">
        <f t="shared" si="43"/>
        <v>1</v>
      </c>
      <c r="E619" s="29" t="s">
        <v>599</v>
      </c>
      <c r="F619" s="8"/>
      <c r="G619" s="386"/>
      <c r="H619" s="386">
        <f t="shared" si="44"/>
        <v>0</v>
      </c>
      <c r="I619" s="386"/>
      <c r="J619" s="386">
        <f t="shared" si="45"/>
        <v>0</v>
      </c>
      <c r="K619" s="386"/>
      <c r="L619" s="386">
        <f t="shared" si="46"/>
        <v>0</v>
      </c>
      <c r="M619" s="386"/>
      <c r="N619" s="386">
        <f t="shared" si="47"/>
        <v>0</v>
      </c>
      <c r="O619" s="386">
        <v>1</v>
      </c>
      <c r="P619" s="386">
        <f t="shared" si="48"/>
        <v>0</v>
      </c>
      <c r="Q619" s="386"/>
    </row>
    <row r="620" spans="1:17">
      <c r="A620" s="528">
        <v>12</v>
      </c>
      <c r="B620" s="29" t="s">
        <v>886</v>
      </c>
      <c r="C620" s="441" t="s">
        <v>887</v>
      </c>
      <c r="D620" s="386">
        <f t="shared" si="43"/>
        <v>1</v>
      </c>
      <c r="E620" s="29" t="s">
        <v>599</v>
      </c>
      <c r="F620" s="8"/>
      <c r="G620" s="386"/>
      <c r="H620" s="386">
        <f t="shared" si="44"/>
        <v>0</v>
      </c>
      <c r="I620" s="386"/>
      <c r="J620" s="386">
        <f t="shared" si="45"/>
        <v>0</v>
      </c>
      <c r="K620" s="386"/>
      <c r="L620" s="386">
        <f t="shared" si="46"/>
        <v>0</v>
      </c>
      <c r="M620" s="386"/>
      <c r="N620" s="386">
        <f t="shared" si="47"/>
        <v>0</v>
      </c>
      <c r="O620" s="386">
        <v>1</v>
      </c>
      <c r="P620" s="386">
        <f t="shared" si="48"/>
        <v>0</v>
      </c>
      <c r="Q620" s="386"/>
    </row>
    <row r="621" spans="1:17">
      <c r="A621" s="528">
        <v>13</v>
      </c>
      <c r="B621" s="528" t="s">
        <v>867</v>
      </c>
      <c r="C621" s="529" t="s">
        <v>888</v>
      </c>
      <c r="D621" s="386">
        <f t="shared" si="43"/>
        <v>1</v>
      </c>
      <c r="E621" s="29" t="s">
        <v>599</v>
      </c>
      <c r="F621" s="8"/>
      <c r="G621" s="386"/>
      <c r="H621" s="386">
        <f t="shared" si="44"/>
        <v>0</v>
      </c>
      <c r="I621" s="386"/>
      <c r="J621" s="386">
        <f t="shared" si="45"/>
        <v>0</v>
      </c>
      <c r="K621" s="386"/>
      <c r="L621" s="386">
        <f t="shared" si="46"/>
        <v>0</v>
      </c>
      <c r="M621" s="386"/>
      <c r="N621" s="386">
        <f t="shared" si="47"/>
        <v>0</v>
      </c>
      <c r="O621" s="386">
        <v>1</v>
      </c>
      <c r="P621" s="386">
        <f t="shared" si="48"/>
        <v>0</v>
      </c>
      <c r="Q621" s="386"/>
    </row>
    <row r="622" spans="1:17">
      <c r="A622" s="528">
        <v>14</v>
      </c>
      <c r="B622" s="29" t="s">
        <v>889</v>
      </c>
      <c r="C622" s="441" t="s">
        <v>890</v>
      </c>
      <c r="D622" s="386">
        <f t="shared" si="43"/>
        <v>4</v>
      </c>
      <c r="E622" s="29" t="s">
        <v>599</v>
      </c>
      <c r="F622" s="8"/>
      <c r="G622" s="386"/>
      <c r="H622" s="386">
        <f t="shared" si="44"/>
        <v>0</v>
      </c>
      <c r="I622" s="386"/>
      <c r="J622" s="386">
        <f t="shared" si="45"/>
        <v>0</v>
      </c>
      <c r="K622" s="386"/>
      <c r="L622" s="386">
        <f t="shared" si="46"/>
        <v>0</v>
      </c>
      <c r="M622" s="386"/>
      <c r="N622" s="386">
        <f t="shared" si="47"/>
        <v>0</v>
      </c>
      <c r="O622" s="386">
        <v>4</v>
      </c>
      <c r="P622" s="386">
        <f t="shared" si="48"/>
        <v>0</v>
      </c>
      <c r="Q622" s="386"/>
    </row>
    <row r="623" spans="1:17">
      <c r="A623" s="528">
        <v>15</v>
      </c>
      <c r="B623" s="530" t="s">
        <v>891</v>
      </c>
      <c r="C623" s="441" t="s">
        <v>892</v>
      </c>
      <c r="D623" s="386">
        <f t="shared" si="43"/>
        <v>1</v>
      </c>
      <c r="E623" s="29" t="s">
        <v>599</v>
      </c>
      <c r="F623" s="8"/>
      <c r="G623" s="386">
        <v>1</v>
      </c>
      <c r="H623" s="386">
        <f t="shared" si="44"/>
        <v>0</v>
      </c>
      <c r="I623" s="386"/>
      <c r="J623" s="386">
        <f t="shared" si="45"/>
        <v>0</v>
      </c>
      <c r="K623" s="386"/>
      <c r="L623" s="386">
        <f t="shared" si="46"/>
        <v>0</v>
      </c>
      <c r="M623" s="386"/>
      <c r="N623" s="386">
        <f t="shared" si="47"/>
        <v>0</v>
      </c>
      <c r="O623" s="386"/>
      <c r="P623" s="386">
        <f t="shared" si="48"/>
        <v>0</v>
      </c>
      <c r="Q623" s="386"/>
    </row>
    <row r="624" spans="1:17">
      <c r="A624" s="528">
        <v>16</v>
      </c>
      <c r="B624" s="211" t="s">
        <v>893</v>
      </c>
      <c r="C624" s="441" t="s">
        <v>894</v>
      </c>
      <c r="D624" s="386">
        <f t="shared" si="43"/>
        <v>1</v>
      </c>
      <c r="E624" s="29" t="s">
        <v>599</v>
      </c>
      <c r="F624" s="8"/>
      <c r="G624" s="386">
        <v>1</v>
      </c>
      <c r="H624" s="386">
        <f t="shared" si="44"/>
        <v>0</v>
      </c>
      <c r="I624" s="386"/>
      <c r="J624" s="386">
        <f t="shared" si="45"/>
        <v>0</v>
      </c>
      <c r="K624" s="386"/>
      <c r="L624" s="386">
        <f t="shared" si="46"/>
        <v>0</v>
      </c>
      <c r="M624" s="386"/>
      <c r="N624" s="386">
        <f t="shared" si="47"/>
        <v>0</v>
      </c>
      <c r="O624" s="386"/>
      <c r="P624" s="386">
        <f t="shared" si="48"/>
        <v>0</v>
      </c>
      <c r="Q624" s="386"/>
    </row>
    <row r="625" spans="1:17">
      <c r="A625" s="528">
        <v>17</v>
      </c>
      <c r="B625" s="211" t="s">
        <v>895</v>
      </c>
      <c r="C625" s="529" t="s">
        <v>896</v>
      </c>
      <c r="D625" s="386">
        <f t="shared" si="43"/>
        <v>1</v>
      </c>
      <c r="E625" s="29" t="s">
        <v>599</v>
      </c>
      <c r="F625" s="8"/>
      <c r="G625" s="386">
        <v>1</v>
      </c>
      <c r="H625" s="386">
        <f t="shared" si="44"/>
        <v>0</v>
      </c>
      <c r="I625" s="386"/>
      <c r="J625" s="386">
        <f t="shared" si="45"/>
        <v>0</v>
      </c>
      <c r="K625" s="386"/>
      <c r="L625" s="386">
        <f t="shared" si="46"/>
        <v>0</v>
      </c>
      <c r="M625" s="386"/>
      <c r="N625" s="386">
        <f t="shared" si="47"/>
        <v>0</v>
      </c>
      <c r="O625" s="386"/>
      <c r="P625" s="386">
        <f t="shared" si="48"/>
        <v>0</v>
      </c>
      <c r="Q625" s="386"/>
    </row>
    <row r="626" spans="1:17">
      <c r="A626" s="528">
        <v>18</v>
      </c>
      <c r="B626" s="29" t="s">
        <v>897</v>
      </c>
      <c r="C626" s="441" t="s">
        <v>898</v>
      </c>
      <c r="D626" s="386">
        <f t="shared" si="43"/>
        <v>1</v>
      </c>
      <c r="E626" s="29" t="s">
        <v>599</v>
      </c>
      <c r="F626" s="8"/>
      <c r="G626" s="386">
        <v>1</v>
      </c>
      <c r="H626" s="386">
        <f t="shared" si="44"/>
        <v>0</v>
      </c>
      <c r="I626" s="386"/>
      <c r="J626" s="386">
        <f t="shared" si="45"/>
        <v>0</v>
      </c>
      <c r="K626" s="386"/>
      <c r="L626" s="386">
        <f t="shared" si="46"/>
        <v>0</v>
      </c>
      <c r="M626" s="386"/>
      <c r="N626" s="386">
        <f t="shared" si="47"/>
        <v>0</v>
      </c>
      <c r="O626" s="386"/>
      <c r="P626" s="386">
        <f t="shared" si="48"/>
        <v>0</v>
      </c>
      <c r="Q626" s="386"/>
    </row>
    <row r="627" spans="1:17">
      <c r="A627" s="528">
        <v>19</v>
      </c>
      <c r="B627" s="29" t="s">
        <v>899</v>
      </c>
      <c r="C627" s="441" t="s">
        <v>900</v>
      </c>
      <c r="D627" s="386">
        <f t="shared" si="43"/>
        <v>1</v>
      </c>
      <c r="E627" s="29" t="s">
        <v>599</v>
      </c>
      <c r="F627" s="8"/>
      <c r="G627" s="386">
        <v>1</v>
      </c>
      <c r="H627" s="386">
        <f t="shared" si="44"/>
        <v>0</v>
      </c>
      <c r="I627" s="386"/>
      <c r="J627" s="386">
        <f t="shared" si="45"/>
        <v>0</v>
      </c>
      <c r="K627" s="386"/>
      <c r="L627" s="386">
        <f t="shared" si="46"/>
        <v>0</v>
      </c>
      <c r="M627" s="386"/>
      <c r="N627" s="386">
        <f t="shared" si="47"/>
        <v>0</v>
      </c>
      <c r="O627" s="386"/>
      <c r="P627" s="386">
        <f t="shared" si="48"/>
        <v>0</v>
      </c>
      <c r="Q627" s="386"/>
    </row>
    <row r="628" spans="1:17">
      <c r="A628" s="528">
        <v>20</v>
      </c>
      <c r="B628" s="29" t="s">
        <v>901</v>
      </c>
      <c r="C628" s="441" t="s">
        <v>902</v>
      </c>
      <c r="D628" s="386">
        <f t="shared" si="43"/>
        <v>1</v>
      </c>
      <c r="E628" s="29" t="s">
        <v>599</v>
      </c>
      <c r="F628" s="8"/>
      <c r="G628" s="386">
        <v>1</v>
      </c>
      <c r="H628" s="386">
        <f t="shared" si="44"/>
        <v>0</v>
      </c>
      <c r="I628" s="386"/>
      <c r="J628" s="386">
        <f t="shared" si="45"/>
        <v>0</v>
      </c>
      <c r="K628" s="386"/>
      <c r="L628" s="386">
        <f t="shared" si="46"/>
        <v>0</v>
      </c>
      <c r="M628" s="386"/>
      <c r="N628" s="386">
        <f t="shared" si="47"/>
        <v>0</v>
      </c>
      <c r="O628" s="386"/>
      <c r="P628" s="386">
        <f t="shared" si="48"/>
        <v>0</v>
      </c>
      <c r="Q628" s="386"/>
    </row>
    <row r="629" spans="1:17">
      <c r="A629" s="528">
        <v>21</v>
      </c>
      <c r="B629" s="29" t="s">
        <v>903</v>
      </c>
      <c r="C629" s="441" t="s">
        <v>904</v>
      </c>
      <c r="D629" s="386">
        <f t="shared" si="43"/>
        <v>1</v>
      </c>
      <c r="E629" s="29" t="s">
        <v>599</v>
      </c>
      <c r="F629" s="8"/>
      <c r="G629" s="386">
        <v>1</v>
      </c>
      <c r="H629" s="386">
        <f t="shared" si="44"/>
        <v>0</v>
      </c>
      <c r="I629" s="386"/>
      <c r="J629" s="386">
        <f t="shared" si="45"/>
        <v>0</v>
      </c>
      <c r="K629" s="386"/>
      <c r="L629" s="386">
        <f t="shared" si="46"/>
        <v>0</v>
      </c>
      <c r="M629" s="386"/>
      <c r="N629" s="386">
        <f t="shared" si="47"/>
        <v>0</v>
      </c>
      <c r="O629" s="386"/>
      <c r="P629" s="386">
        <f t="shared" si="48"/>
        <v>0</v>
      </c>
      <c r="Q629" s="386"/>
    </row>
    <row r="630" spans="1:17">
      <c r="A630" s="528">
        <v>22</v>
      </c>
      <c r="B630" s="29" t="s">
        <v>488</v>
      </c>
      <c r="C630" s="441" t="s">
        <v>905</v>
      </c>
      <c r="D630" s="386">
        <f t="shared" si="43"/>
        <v>2</v>
      </c>
      <c r="E630" s="29" t="s">
        <v>599</v>
      </c>
      <c r="F630" s="8"/>
      <c r="G630" s="386"/>
      <c r="H630" s="386">
        <f t="shared" si="44"/>
        <v>0</v>
      </c>
      <c r="I630" s="386"/>
      <c r="J630" s="386">
        <f t="shared" si="45"/>
        <v>0</v>
      </c>
      <c r="K630" s="386"/>
      <c r="L630" s="386">
        <f t="shared" si="46"/>
        <v>0</v>
      </c>
      <c r="M630" s="386"/>
      <c r="N630" s="386">
        <f t="shared" si="47"/>
        <v>0</v>
      </c>
      <c r="O630" s="386">
        <v>2</v>
      </c>
      <c r="P630" s="386">
        <f t="shared" si="48"/>
        <v>0</v>
      </c>
      <c r="Q630" s="386"/>
    </row>
    <row r="631" spans="1:17">
      <c r="A631" s="528">
        <v>23</v>
      </c>
      <c r="B631" s="29" t="s">
        <v>906</v>
      </c>
      <c r="C631" s="441" t="s">
        <v>907</v>
      </c>
      <c r="D631" s="386">
        <f t="shared" si="43"/>
        <v>2</v>
      </c>
      <c r="E631" s="29" t="s">
        <v>599</v>
      </c>
      <c r="F631" s="8"/>
      <c r="G631" s="386"/>
      <c r="H631" s="386">
        <f t="shared" si="44"/>
        <v>0</v>
      </c>
      <c r="I631" s="386"/>
      <c r="J631" s="386">
        <f t="shared" si="45"/>
        <v>0</v>
      </c>
      <c r="K631" s="386"/>
      <c r="L631" s="386">
        <f t="shared" si="46"/>
        <v>0</v>
      </c>
      <c r="M631" s="386"/>
      <c r="N631" s="386">
        <f t="shared" si="47"/>
        <v>0</v>
      </c>
      <c r="O631" s="386">
        <v>2</v>
      </c>
      <c r="P631" s="386">
        <f t="shared" si="48"/>
        <v>0</v>
      </c>
      <c r="Q631" s="386"/>
    </row>
    <row r="632" spans="1:17">
      <c r="A632" s="528">
        <v>24</v>
      </c>
      <c r="B632" s="528" t="s">
        <v>908</v>
      </c>
      <c r="C632" s="529" t="s">
        <v>909</v>
      </c>
      <c r="D632" s="386">
        <f t="shared" si="43"/>
        <v>1</v>
      </c>
      <c r="E632" s="29" t="s">
        <v>599</v>
      </c>
      <c r="F632" s="8"/>
      <c r="G632" s="386"/>
      <c r="H632" s="386">
        <f t="shared" si="44"/>
        <v>0</v>
      </c>
      <c r="I632" s="386"/>
      <c r="J632" s="386">
        <f t="shared" si="45"/>
        <v>0</v>
      </c>
      <c r="K632" s="386"/>
      <c r="L632" s="386">
        <f t="shared" si="46"/>
        <v>0</v>
      </c>
      <c r="M632" s="386"/>
      <c r="N632" s="386">
        <f t="shared" si="47"/>
        <v>0</v>
      </c>
      <c r="O632" s="386">
        <v>1</v>
      </c>
      <c r="P632" s="386">
        <f t="shared" si="48"/>
        <v>0</v>
      </c>
      <c r="Q632" s="386"/>
    </row>
    <row r="633" spans="1:17">
      <c r="A633" s="528">
        <v>25</v>
      </c>
      <c r="B633" s="29" t="s">
        <v>122</v>
      </c>
      <c r="C633" s="441" t="s">
        <v>910</v>
      </c>
      <c r="D633" s="386">
        <f t="shared" si="43"/>
        <v>4</v>
      </c>
      <c r="E633" s="29" t="s">
        <v>599</v>
      </c>
      <c r="F633" s="8"/>
      <c r="G633" s="386"/>
      <c r="H633" s="386">
        <f t="shared" si="44"/>
        <v>0</v>
      </c>
      <c r="I633" s="386"/>
      <c r="J633" s="386">
        <f t="shared" si="45"/>
        <v>0</v>
      </c>
      <c r="K633" s="386"/>
      <c r="L633" s="386">
        <f t="shared" si="46"/>
        <v>0</v>
      </c>
      <c r="M633" s="386"/>
      <c r="N633" s="386">
        <f t="shared" si="47"/>
        <v>0</v>
      </c>
      <c r="O633" s="386">
        <v>4</v>
      </c>
      <c r="P633" s="386">
        <f t="shared" si="48"/>
        <v>0</v>
      </c>
      <c r="Q633" s="386"/>
    </row>
    <row r="634" spans="1:17">
      <c r="A634" s="528">
        <v>26</v>
      </c>
      <c r="B634" s="29" t="s">
        <v>911</v>
      </c>
      <c r="C634" s="529" t="s">
        <v>912</v>
      </c>
      <c r="D634" s="386">
        <f t="shared" si="43"/>
        <v>2</v>
      </c>
      <c r="E634" s="29" t="s">
        <v>599</v>
      </c>
      <c r="F634" s="8"/>
      <c r="G634" s="386">
        <v>2</v>
      </c>
      <c r="H634" s="386">
        <f t="shared" si="44"/>
        <v>0</v>
      </c>
      <c r="I634" s="386"/>
      <c r="J634" s="386">
        <f t="shared" si="45"/>
        <v>0</v>
      </c>
      <c r="K634" s="386"/>
      <c r="L634" s="386">
        <f t="shared" si="46"/>
        <v>0</v>
      </c>
      <c r="M634" s="386"/>
      <c r="N634" s="386">
        <f t="shared" si="47"/>
        <v>0</v>
      </c>
      <c r="O634" s="386"/>
      <c r="P634" s="386">
        <f t="shared" si="48"/>
        <v>0</v>
      </c>
      <c r="Q634" s="386"/>
    </row>
    <row r="635" spans="1:17" ht="30">
      <c r="A635" s="528">
        <v>27</v>
      </c>
      <c r="B635" s="29" t="s">
        <v>913</v>
      </c>
      <c r="C635" s="441" t="s">
        <v>914</v>
      </c>
      <c r="D635" s="386">
        <f t="shared" si="43"/>
        <v>1</v>
      </c>
      <c r="E635" s="29" t="s">
        <v>599</v>
      </c>
      <c r="F635" s="8"/>
      <c r="G635" s="386"/>
      <c r="H635" s="386">
        <f t="shared" si="44"/>
        <v>0</v>
      </c>
      <c r="I635" s="386"/>
      <c r="J635" s="386">
        <f t="shared" si="45"/>
        <v>0</v>
      </c>
      <c r="K635" s="386"/>
      <c r="L635" s="386">
        <f t="shared" si="46"/>
        <v>0</v>
      </c>
      <c r="M635" s="386"/>
      <c r="N635" s="386">
        <f t="shared" si="47"/>
        <v>0</v>
      </c>
      <c r="O635" s="386">
        <v>1</v>
      </c>
      <c r="P635" s="386">
        <f t="shared" si="48"/>
        <v>0</v>
      </c>
      <c r="Q635" s="386"/>
    </row>
    <row r="636" spans="1:17">
      <c r="A636" s="528">
        <v>28</v>
      </c>
      <c r="B636" s="29" t="s">
        <v>129</v>
      </c>
      <c r="C636" s="441" t="s">
        <v>915</v>
      </c>
      <c r="D636" s="386">
        <f t="shared" si="43"/>
        <v>2</v>
      </c>
      <c r="E636" s="29" t="s">
        <v>599</v>
      </c>
      <c r="F636" s="8"/>
      <c r="G636" s="386">
        <v>2</v>
      </c>
      <c r="H636" s="386">
        <f t="shared" si="44"/>
        <v>0</v>
      </c>
      <c r="I636" s="386"/>
      <c r="J636" s="386">
        <f t="shared" si="45"/>
        <v>0</v>
      </c>
      <c r="K636" s="386"/>
      <c r="L636" s="386">
        <f t="shared" si="46"/>
        <v>0</v>
      </c>
      <c r="M636" s="386"/>
      <c r="N636" s="386">
        <f t="shared" si="47"/>
        <v>0</v>
      </c>
      <c r="O636" s="386"/>
      <c r="P636" s="386">
        <f t="shared" si="48"/>
        <v>0</v>
      </c>
      <c r="Q636" s="386"/>
    </row>
    <row r="637" spans="1:17">
      <c r="A637" s="528">
        <v>29</v>
      </c>
      <c r="B637" s="29" t="s">
        <v>133</v>
      </c>
      <c r="C637" s="441" t="s">
        <v>916</v>
      </c>
      <c r="D637" s="386">
        <f t="shared" si="43"/>
        <v>2</v>
      </c>
      <c r="E637" s="29" t="s">
        <v>599</v>
      </c>
      <c r="F637" s="8"/>
      <c r="G637" s="386">
        <v>2</v>
      </c>
      <c r="H637" s="386">
        <f t="shared" si="44"/>
        <v>0</v>
      </c>
      <c r="I637" s="386"/>
      <c r="J637" s="386">
        <f t="shared" si="45"/>
        <v>0</v>
      </c>
      <c r="K637" s="386"/>
      <c r="L637" s="386">
        <f t="shared" si="46"/>
        <v>0</v>
      </c>
      <c r="M637" s="386"/>
      <c r="N637" s="386">
        <f t="shared" si="47"/>
        <v>0</v>
      </c>
      <c r="O637" s="386"/>
      <c r="P637" s="386">
        <f t="shared" si="48"/>
        <v>0</v>
      </c>
      <c r="Q637" s="386"/>
    </row>
    <row r="638" spans="1:17">
      <c r="A638" s="528">
        <v>30</v>
      </c>
      <c r="B638" s="29" t="s">
        <v>917</v>
      </c>
      <c r="C638" s="441" t="s">
        <v>918</v>
      </c>
      <c r="D638" s="386">
        <f t="shared" si="43"/>
        <v>2</v>
      </c>
      <c r="E638" s="29" t="s">
        <v>599</v>
      </c>
      <c r="F638" s="8"/>
      <c r="G638" s="386">
        <v>2</v>
      </c>
      <c r="H638" s="386">
        <f t="shared" si="44"/>
        <v>0</v>
      </c>
      <c r="I638" s="386"/>
      <c r="J638" s="386">
        <f t="shared" si="45"/>
        <v>0</v>
      </c>
      <c r="K638" s="386"/>
      <c r="L638" s="386">
        <f t="shared" si="46"/>
        <v>0</v>
      </c>
      <c r="M638" s="386"/>
      <c r="N638" s="386">
        <f t="shared" si="47"/>
        <v>0</v>
      </c>
      <c r="O638" s="386"/>
      <c r="P638" s="386">
        <f t="shared" si="48"/>
        <v>0</v>
      </c>
      <c r="Q638" s="386"/>
    </row>
    <row r="639" spans="1:17">
      <c r="A639" s="528">
        <v>31</v>
      </c>
      <c r="B639" s="29" t="s">
        <v>128</v>
      </c>
      <c r="C639" s="441" t="s">
        <v>919</v>
      </c>
      <c r="D639" s="386">
        <f t="shared" si="43"/>
        <v>1</v>
      </c>
      <c r="E639" s="29" t="s">
        <v>599</v>
      </c>
      <c r="F639" s="8"/>
      <c r="G639" s="386">
        <v>1</v>
      </c>
      <c r="H639" s="386">
        <f t="shared" si="44"/>
        <v>0</v>
      </c>
      <c r="I639" s="386"/>
      <c r="J639" s="386">
        <f t="shared" si="45"/>
        <v>0</v>
      </c>
      <c r="K639" s="386"/>
      <c r="L639" s="386">
        <f t="shared" si="46"/>
        <v>0</v>
      </c>
      <c r="M639" s="386"/>
      <c r="N639" s="386">
        <f t="shared" si="47"/>
        <v>0</v>
      </c>
      <c r="O639" s="386"/>
      <c r="P639" s="386">
        <f t="shared" si="48"/>
        <v>0</v>
      </c>
      <c r="Q639" s="386"/>
    </row>
    <row r="640" spans="1:17">
      <c r="A640" s="528">
        <v>32</v>
      </c>
      <c r="B640" s="29" t="s">
        <v>920</v>
      </c>
      <c r="C640" s="441" t="s">
        <v>921</v>
      </c>
      <c r="D640" s="386">
        <f t="shared" si="43"/>
        <v>2</v>
      </c>
      <c r="E640" s="29" t="s">
        <v>599</v>
      </c>
      <c r="F640" s="8"/>
      <c r="G640" s="386"/>
      <c r="H640" s="386">
        <f t="shared" si="44"/>
        <v>0</v>
      </c>
      <c r="I640" s="386"/>
      <c r="J640" s="386">
        <f t="shared" si="45"/>
        <v>0</v>
      </c>
      <c r="K640" s="386"/>
      <c r="L640" s="386">
        <f t="shared" si="46"/>
        <v>0</v>
      </c>
      <c r="M640" s="386"/>
      <c r="N640" s="386">
        <f t="shared" si="47"/>
        <v>0</v>
      </c>
      <c r="O640" s="386">
        <v>2</v>
      </c>
      <c r="P640" s="386">
        <f t="shared" si="48"/>
        <v>0</v>
      </c>
      <c r="Q640" s="386"/>
    </row>
    <row r="641" spans="1:17">
      <c r="A641" s="528">
        <v>33</v>
      </c>
      <c r="B641" s="29" t="s">
        <v>922</v>
      </c>
      <c r="C641" s="441" t="s">
        <v>923</v>
      </c>
      <c r="D641" s="386">
        <f t="shared" si="43"/>
        <v>1</v>
      </c>
      <c r="E641" s="29" t="s">
        <v>599</v>
      </c>
      <c r="F641" s="8"/>
      <c r="G641" s="386">
        <v>1</v>
      </c>
      <c r="H641" s="386">
        <f t="shared" si="44"/>
        <v>0</v>
      </c>
      <c r="I641" s="386"/>
      <c r="J641" s="386">
        <f t="shared" si="45"/>
        <v>0</v>
      </c>
      <c r="K641" s="386"/>
      <c r="L641" s="386">
        <f t="shared" si="46"/>
        <v>0</v>
      </c>
      <c r="M641" s="386"/>
      <c r="N641" s="386">
        <f t="shared" si="47"/>
        <v>0</v>
      </c>
      <c r="O641" s="386"/>
      <c r="P641" s="386">
        <f t="shared" si="48"/>
        <v>0</v>
      </c>
      <c r="Q641" s="386"/>
    </row>
    <row r="642" spans="1:17">
      <c r="A642" s="528">
        <v>34</v>
      </c>
      <c r="B642" s="29" t="s">
        <v>924</v>
      </c>
      <c r="C642" s="441" t="s">
        <v>925</v>
      </c>
      <c r="D642" s="386">
        <f t="shared" si="43"/>
        <v>1</v>
      </c>
      <c r="E642" s="29" t="s">
        <v>599</v>
      </c>
      <c r="F642" s="8"/>
      <c r="G642" s="386"/>
      <c r="H642" s="386">
        <f t="shared" si="44"/>
        <v>0</v>
      </c>
      <c r="I642" s="386"/>
      <c r="J642" s="386">
        <f t="shared" si="45"/>
        <v>0</v>
      </c>
      <c r="K642" s="386"/>
      <c r="L642" s="386">
        <f t="shared" si="46"/>
        <v>0</v>
      </c>
      <c r="M642" s="386"/>
      <c r="N642" s="386">
        <f t="shared" si="47"/>
        <v>0</v>
      </c>
      <c r="O642" s="386">
        <v>1</v>
      </c>
      <c r="P642" s="386">
        <f t="shared" si="48"/>
        <v>0</v>
      </c>
      <c r="Q642" s="386"/>
    </row>
    <row r="643" spans="1:17">
      <c r="A643" s="528">
        <v>35</v>
      </c>
      <c r="B643" s="29" t="s">
        <v>926</v>
      </c>
      <c r="C643" s="441" t="s">
        <v>927</v>
      </c>
      <c r="D643" s="386">
        <f t="shared" si="43"/>
        <v>1</v>
      </c>
      <c r="E643" s="29" t="s">
        <v>599</v>
      </c>
      <c r="F643" s="8"/>
      <c r="G643" s="386"/>
      <c r="H643" s="386">
        <f t="shared" si="44"/>
        <v>0</v>
      </c>
      <c r="I643" s="386"/>
      <c r="J643" s="386">
        <f t="shared" si="45"/>
        <v>0</v>
      </c>
      <c r="K643" s="386"/>
      <c r="L643" s="386">
        <f t="shared" si="46"/>
        <v>0</v>
      </c>
      <c r="M643" s="386"/>
      <c r="N643" s="386">
        <f t="shared" si="47"/>
        <v>0</v>
      </c>
      <c r="O643" s="386">
        <v>1</v>
      </c>
      <c r="P643" s="386">
        <f t="shared" si="48"/>
        <v>0</v>
      </c>
      <c r="Q643" s="386"/>
    </row>
    <row r="644" spans="1:17">
      <c r="A644" s="528">
        <v>36</v>
      </c>
      <c r="B644" s="29" t="s">
        <v>928</v>
      </c>
      <c r="C644" s="441" t="s">
        <v>929</v>
      </c>
      <c r="D644" s="386">
        <f t="shared" si="43"/>
        <v>1</v>
      </c>
      <c r="E644" s="29" t="s">
        <v>599</v>
      </c>
      <c r="F644" s="8"/>
      <c r="G644" s="386"/>
      <c r="H644" s="386">
        <f t="shared" si="44"/>
        <v>0</v>
      </c>
      <c r="I644" s="386"/>
      <c r="J644" s="386">
        <f t="shared" si="45"/>
        <v>0</v>
      </c>
      <c r="K644" s="386"/>
      <c r="L644" s="386">
        <f t="shared" si="46"/>
        <v>0</v>
      </c>
      <c r="M644" s="386"/>
      <c r="N644" s="386">
        <f t="shared" si="47"/>
        <v>0</v>
      </c>
      <c r="O644" s="386">
        <v>1</v>
      </c>
      <c r="P644" s="386">
        <f t="shared" si="48"/>
        <v>0</v>
      </c>
      <c r="Q644" s="386"/>
    </row>
    <row r="645" spans="1:17">
      <c r="A645" s="528">
        <v>37</v>
      </c>
      <c r="B645" s="528" t="s">
        <v>232</v>
      </c>
      <c r="C645" s="529" t="s">
        <v>930</v>
      </c>
      <c r="D645" s="386">
        <f t="shared" si="43"/>
        <v>8</v>
      </c>
      <c r="E645" s="29" t="s">
        <v>599</v>
      </c>
      <c r="F645" s="8"/>
      <c r="G645" s="386">
        <v>4</v>
      </c>
      <c r="H645" s="386">
        <f t="shared" si="44"/>
        <v>0</v>
      </c>
      <c r="I645" s="386"/>
      <c r="J645" s="386">
        <f t="shared" si="45"/>
        <v>0</v>
      </c>
      <c r="K645" s="386"/>
      <c r="L645" s="386">
        <f t="shared" si="46"/>
        <v>0</v>
      </c>
      <c r="M645" s="386"/>
      <c r="N645" s="386">
        <f t="shared" si="47"/>
        <v>0</v>
      </c>
      <c r="O645" s="386">
        <v>4</v>
      </c>
      <c r="P645" s="386">
        <f t="shared" si="48"/>
        <v>0</v>
      </c>
      <c r="Q645" s="386"/>
    </row>
    <row r="646" spans="1:17">
      <c r="A646" s="528">
        <v>38</v>
      </c>
      <c r="B646" s="528" t="s">
        <v>232</v>
      </c>
      <c r="C646" s="529" t="s">
        <v>931</v>
      </c>
      <c r="D646" s="386">
        <f t="shared" si="43"/>
        <v>4</v>
      </c>
      <c r="E646" s="29" t="s">
        <v>599</v>
      </c>
      <c r="F646" s="8"/>
      <c r="G646" s="386"/>
      <c r="H646" s="386">
        <f t="shared" si="44"/>
        <v>0</v>
      </c>
      <c r="I646" s="386"/>
      <c r="J646" s="386">
        <f t="shared" si="45"/>
        <v>0</v>
      </c>
      <c r="K646" s="386"/>
      <c r="L646" s="386">
        <f t="shared" si="46"/>
        <v>0</v>
      </c>
      <c r="M646" s="386"/>
      <c r="N646" s="386">
        <f t="shared" si="47"/>
        <v>0</v>
      </c>
      <c r="O646" s="386">
        <v>4</v>
      </c>
      <c r="P646" s="386">
        <f t="shared" si="48"/>
        <v>0</v>
      </c>
      <c r="Q646" s="386"/>
    </row>
    <row r="647" spans="1:17">
      <c r="A647" s="528">
        <v>39</v>
      </c>
      <c r="B647" s="528" t="s">
        <v>232</v>
      </c>
      <c r="C647" s="529" t="s">
        <v>932</v>
      </c>
      <c r="D647" s="386">
        <f t="shared" si="43"/>
        <v>4</v>
      </c>
      <c r="E647" s="29" t="s">
        <v>599</v>
      </c>
      <c r="F647" s="8"/>
      <c r="G647" s="386"/>
      <c r="H647" s="386">
        <f t="shared" si="44"/>
        <v>0</v>
      </c>
      <c r="I647" s="386"/>
      <c r="J647" s="386">
        <f t="shared" si="45"/>
        <v>0</v>
      </c>
      <c r="K647" s="386"/>
      <c r="L647" s="386">
        <f t="shared" si="46"/>
        <v>0</v>
      </c>
      <c r="M647" s="386"/>
      <c r="N647" s="386">
        <f t="shared" si="47"/>
        <v>0</v>
      </c>
      <c r="O647" s="386">
        <v>4</v>
      </c>
      <c r="P647" s="386">
        <f t="shared" si="48"/>
        <v>0</v>
      </c>
      <c r="Q647" s="386"/>
    </row>
    <row r="648" spans="1:17">
      <c r="A648" s="528">
        <v>40</v>
      </c>
      <c r="B648" s="29" t="s">
        <v>933</v>
      </c>
      <c r="C648" s="529" t="s">
        <v>934</v>
      </c>
      <c r="D648" s="386">
        <f t="shared" si="43"/>
        <v>1</v>
      </c>
      <c r="E648" s="29" t="s">
        <v>599</v>
      </c>
      <c r="F648" s="8"/>
      <c r="G648" s="386">
        <v>1</v>
      </c>
      <c r="H648" s="386">
        <f t="shared" si="44"/>
        <v>0</v>
      </c>
      <c r="I648" s="386"/>
      <c r="J648" s="386">
        <f t="shared" si="45"/>
        <v>0</v>
      </c>
      <c r="K648" s="386"/>
      <c r="L648" s="386">
        <f t="shared" si="46"/>
        <v>0</v>
      </c>
      <c r="M648" s="386"/>
      <c r="N648" s="386">
        <f t="shared" si="47"/>
        <v>0</v>
      </c>
      <c r="O648" s="386"/>
      <c r="P648" s="386">
        <f t="shared" si="48"/>
        <v>0</v>
      </c>
      <c r="Q648" s="386"/>
    </row>
    <row r="649" spans="1:17">
      <c r="A649" s="528">
        <v>41</v>
      </c>
      <c r="B649" s="29" t="s">
        <v>143</v>
      </c>
      <c r="C649" s="390" t="s">
        <v>935</v>
      </c>
      <c r="D649" s="386">
        <f t="shared" si="43"/>
        <v>1</v>
      </c>
      <c r="E649" s="29" t="s">
        <v>599</v>
      </c>
      <c r="F649" s="8">
        <v>37230</v>
      </c>
      <c r="G649" s="386">
        <v>1</v>
      </c>
      <c r="H649" s="386">
        <f t="shared" si="44"/>
        <v>37230</v>
      </c>
      <c r="I649" s="386"/>
      <c r="J649" s="386">
        <f t="shared" si="45"/>
        <v>0</v>
      </c>
      <c r="K649" s="386"/>
      <c r="L649" s="386">
        <f t="shared" si="46"/>
        <v>0</v>
      </c>
      <c r="M649" s="386"/>
      <c r="N649" s="386">
        <f t="shared" si="47"/>
        <v>0</v>
      </c>
      <c r="O649" s="386"/>
      <c r="P649" s="386">
        <f t="shared" si="48"/>
        <v>0</v>
      </c>
      <c r="Q649" s="386"/>
    </row>
    <row r="650" spans="1:17" ht="30">
      <c r="A650" s="528">
        <v>42</v>
      </c>
      <c r="B650" s="29" t="s">
        <v>143</v>
      </c>
      <c r="C650" s="376" t="s">
        <v>936</v>
      </c>
      <c r="D650" s="386">
        <f t="shared" si="43"/>
        <v>1</v>
      </c>
      <c r="E650" s="29" t="s">
        <v>599</v>
      </c>
      <c r="F650" s="8">
        <v>11118</v>
      </c>
      <c r="G650" s="386">
        <v>1</v>
      </c>
      <c r="H650" s="386">
        <f t="shared" si="44"/>
        <v>11118</v>
      </c>
      <c r="I650" s="386"/>
      <c r="J650" s="386">
        <f t="shared" si="45"/>
        <v>0</v>
      </c>
      <c r="K650" s="386"/>
      <c r="L650" s="386">
        <f t="shared" si="46"/>
        <v>0</v>
      </c>
      <c r="M650" s="386"/>
      <c r="N650" s="386">
        <f t="shared" si="47"/>
        <v>0</v>
      </c>
      <c r="O650" s="386"/>
      <c r="P650" s="386">
        <f t="shared" si="48"/>
        <v>0</v>
      </c>
      <c r="Q650" s="386"/>
    </row>
    <row r="651" spans="1:17">
      <c r="A651" s="528">
        <v>43</v>
      </c>
      <c r="B651" s="29" t="s">
        <v>937</v>
      </c>
      <c r="C651" s="376" t="s">
        <v>938</v>
      </c>
      <c r="D651" s="386">
        <f t="shared" si="43"/>
        <v>3</v>
      </c>
      <c r="E651" s="29" t="s">
        <v>599</v>
      </c>
      <c r="F651" s="8">
        <v>12138</v>
      </c>
      <c r="G651" s="386">
        <v>3</v>
      </c>
      <c r="H651" s="386">
        <f t="shared" si="44"/>
        <v>36414</v>
      </c>
      <c r="I651" s="386"/>
      <c r="J651" s="386">
        <f t="shared" si="45"/>
        <v>0</v>
      </c>
      <c r="K651" s="386"/>
      <c r="L651" s="386">
        <f t="shared" si="46"/>
        <v>0</v>
      </c>
      <c r="M651" s="386"/>
      <c r="N651" s="386">
        <f t="shared" si="47"/>
        <v>0</v>
      </c>
      <c r="O651" s="386"/>
      <c r="P651" s="386">
        <f t="shared" si="48"/>
        <v>0</v>
      </c>
      <c r="Q651" s="386"/>
    </row>
    <row r="652" spans="1:17">
      <c r="A652" s="528">
        <v>44</v>
      </c>
      <c r="B652" s="29" t="s">
        <v>939</v>
      </c>
      <c r="C652" s="376" t="s">
        <v>940</v>
      </c>
      <c r="D652" s="386">
        <f t="shared" si="43"/>
        <v>1</v>
      </c>
      <c r="E652" s="29" t="s">
        <v>599</v>
      </c>
      <c r="F652" s="8">
        <v>10302</v>
      </c>
      <c r="G652" s="386">
        <v>1</v>
      </c>
      <c r="H652" s="386">
        <f t="shared" si="44"/>
        <v>10302</v>
      </c>
      <c r="I652" s="386"/>
      <c r="J652" s="386">
        <f t="shared" si="45"/>
        <v>0</v>
      </c>
      <c r="K652" s="386"/>
      <c r="L652" s="386">
        <f t="shared" si="46"/>
        <v>0</v>
      </c>
      <c r="M652" s="386"/>
      <c r="N652" s="386">
        <f t="shared" si="47"/>
        <v>0</v>
      </c>
      <c r="O652" s="386"/>
      <c r="P652" s="386">
        <f t="shared" si="48"/>
        <v>0</v>
      </c>
      <c r="Q652" s="386"/>
    </row>
    <row r="653" spans="1:17">
      <c r="A653" s="528">
        <v>45</v>
      </c>
      <c r="B653" s="29" t="s">
        <v>941</v>
      </c>
      <c r="C653" s="376" t="s">
        <v>942</v>
      </c>
      <c r="D653" s="386">
        <f t="shared" si="43"/>
        <v>1</v>
      </c>
      <c r="E653" s="29" t="s">
        <v>599</v>
      </c>
      <c r="F653" s="8">
        <v>1734</v>
      </c>
      <c r="G653" s="386">
        <v>1</v>
      </c>
      <c r="H653" s="386">
        <f t="shared" si="44"/>
        <v>1734</v>
      </c>
      <c r="I653" s="386"/>
      <c r="J653" s="386">
        <f t="shared" si="45"/>
        <v>0</v>
      </c>
      <c r="K653" s="386"/>
      <c r="L653" s="386">
        <f t="shared" si="46"/>
        <v>0</v>
      </c>
      <c r="M653" s="386"/>
      <c r="N653" s="386">
        <f t="shared" si="47"/>
        <v>0</v>
      </c>
      <c r="O653" s="386"/>
      <c r="P653" s="386">
        <f t="shared" si="48"/>
        <v>0</v>
      </c>
      <c r="Q653" s="386"/>
    </row>
    <row r="654" spans="1:17">
      <c r="A654" s="528">
        <v>46</v>
      </c>
      <c r="B654" s="29" t="s">
        <v>943</v>
      </c>
      <c r="C654" s="376" t="s">
        <v>944</v>
      </c>
      <c r="D654" s="386">
        <f t="shared" si="43"/>
        <v>1</v>
      </c>
      <c r="E654" s="29" t="s">
        <v>599</v>
      </c>
      <c r="F654" s="8">
        <v>3978</v>
      </c>
      <c r="G654" s="386">
        <v>1</v>
      </c>
      <c r="H654" s="386">
        <f t="shared" si="44"/>
        <v>3978</v>
      </c>
      <c r="I654" s="386"/>
      <c r="J654" s="386">
        <f t="shared" si="45"/>
        <v>0</v>
      </c>
      <c r="K654" s="386"/>
      <c r="L654" s="386">
        <f t="shared" si="46"/>
        <v>0</v>
      </c>
      <c r="M654" s="386"/>
      <c r="N654" s="386">
        <f t="shared" si="47"/>
        <v>0</v>
      </c>
      <c r="O654" s="386"/>
      <c r="P654" s="386">
        <f t="shared" si="48"/>
        <v>0</v>
      </c>
      <c r="Q654" s="386"/>
    </row>
    <row r="655" spans="1:17">
      <c r="A655" s="528">
        <v>47</v>
      </c>
      <c r="B655" s="29" t="s">
        <v>143</v>
      </c>
      <c r="C655" s="390" t="s">
        <v>945</v>
      </c>
      <c r="D655" s="386">
        <f t="shared" si="43"/>
        <v>1</v>
      </c>
      <c r="E655" s="8" t="s">
        <v>599</v>
      </c>
      <c r="F655" s="8">
        <v>20610</v>
      </c>
      <c r="G655" s="397"/>
      <c r="H655" s="386">
        <f t="shared" si="44"/>
        <v>0</v>
      </c>
      <c r="I655" s="386"/>
      <c r="J655" s="386">
        <f t="shared" si="45"/>
        <v>0</v>
      </c>
      <c r="K655" s="397"/>
      <c r="L655" s="386">
        <f t="shared" si="46"/>
        <v>0</v>
      </c>
      <c r="M655" s="397"/>
      <c r="N655" s="386">
        <f t="shared" si="47"/>
        <v>0</v>
      </c>
      <c r="O655" s="397">
        <v>1</v>
      </c>
      <c r="P655" s="386">
        <f t="shared" si="48"/>
        <v>20610</v>
      </c>
      <c r="Q655" s="386"/>
    </row>
    <row r="656" spans="1:17">
      <c r="A656" s="528">
        <v>48</v>
      </c>
      <c r="B656" s="29" t="s">
        <v>946</v>
      </c>
      <c r="C656" s="390" t="s">
        <v>947</v>
      </c>
      <c r="D656" s="386">
        <f t="shared" si="43"/>
        <v>1</v>
      </c>
      <c r="E656" s="8" t="s">
        <v>599</v>
      </c>
      <c r="F656" s="8">
        <v>9160</v>
      </c>
      <c r="G656" s="397">
        <v>1</v>
      </c>
      <c r="H656" s="386">
        <f t="shared" si="44"/>
        <v>9160</v>
      </c>
      <c r="I656" s="386"/>
      <c r="J656" s="386">
        <f t="shared" si="45"/>
        <v>0</v>
      </c>
      <c r="K656" s="397"/>
      <c r="L656" s="386">
        <f t="shared" si="46"/>
        <v>0</v>
      </c>
      <c r="M656" s="397"/>
      <c r="N656" s="386">
        <f t="shared" si="47"/>
        <v>0</v>
      </c>
      <c r="O656" s="397"/>
      <c r="P656" s="386">
        <f t="shared" si="48"/>
        <v>0</v>
      </c>
      <c r="Q656" s="386"/>
    </row>
    <row r="657" spans="1:17">
      <c r="A657" s="528">
        <v>49</v>
      </c>
      <c r="B657" s="528" t="s">
        <v>948</v>
      </c>
      <c r="C657" s="390" t="s">
        <v>949</v>
      </c>
      <c r="D657" s="386">
        <f t="shared" si="43"/>
        <v>1</v>
      </c>
      <c r="E657" s="8" t="s">
        <v>599</v>
      </c>
      <c r="F657" s="8">
        <v>40075</v>
      </c>
      <c r="G657" s="397">
        <v>1</v>
      </c>
      <c r="H657" s="386">
        <f t="shared" si="44"/>
        <v>40075</v>
      </c>
      <c r="I657" s="386"/>
      <c r="J657" s="386">
        <f t="shared" si="45"/>
        <v>0</v>
      </c>
      <c r="K657" s="397"/>
      <c r="L657" s="386">
        <f t="shared" si="46"/>
        <v>0</v>
      </c>
      <c r="M657" s="397"/>
      <c r="N657" s="386">
        <f t="shared" si="47"/>
        <v>0</v>
      </c>
      <c r="O657" s="397"/>
      <c r="P657" s="386">
        <f t="shared" si="48"/>
        <v>0</v>
      </c>
      <c r="Q657" s="386"/>
    </row>
    <row r="658" spans="1:17" ht="30">
      <c r="A658" s="528">
        <v>50</v>
      </c>
      <c r="B658" s="528" t="s">
        <v>950</v>
      </c>
      <c r="C658" s="390" t="s">
        <v>951</v>
      </c>
      <c r="D658" s="386">
        <f t="shared" si="43"/>
        <v>1</v>
      </c>
      <c r="E658" s="8" t="s">
        <v>599</v>
      </c>
      <c r="F658" s="8">
        <v>62975</v>
      </c>
      <c r="G658" s="397">
        <v>1</v>
      </c>
      <c r="H658" s="386">
        <f t="shared" si="44"/>
        <v>62975</v>
      </c>
      <c r="I658" s="386"/>
      <c r="J658" s="386">
        <f t="shared" si="45"/>
        <v>0</v>
      </c>
      <c r="K658" s="397"/>
      <c r="L658" s="386">
        <f t="shared" si="46"/>
        <v>0</v>
      </c>
      <c r="M658" s="397"/>
      <c r="N658" s="386">
        <f t="shared" si="47"/>
        <v>0</v>
      </c>
      <c r="O658" s="397"/>
      <c r="P658" s="386">
        <f t="shared" si="48"/>
        <v>0</v>
      </c>
      <c r="Q658" s="386"/>
    </row>
    <row r="659" spans="1:17">
      <c r="A659" s="528">
        <v>51</v>
      </c>
      <c r="B659" s="29" t="s">
        <v>952</v>
      </c>
      <c r="C659" s="376" t="s">
        <v>953</v>
      </c>
      <c r="D659" s="386">
        <f t="shared" si="43"/>
        <v>1</v>
      </c>
      <c r="E659" s="8" t="s">
        <v>599</v>
      </c>
      <c r="F659" s="8">
        <v>10877.5</v>
      </c>
      <c r="G659" s="397">
        <v>1</v>
      </c>
      <c r="H659" s="386">
        <f t="shared" si="44"/>
        <v>10877.5</v>
      </c>
      <c r="I659" s="386"/>
      <c r="J659" s="386">
        <f t="shared" si="45"/>
        <v>0</v>
      </c>
      <c r="K659" s="397"/>
      <c r="L659" s="386">
        <f t="shared" si="46"/>
        <v>0</v>
      </c>
      <c r="M659" s="397"/>
      <c r="N659" s="386">
        <f t="shared" si="47"/>
        <v>0</v>
      </c>
      <c r="O659" s="397"/>
      <c r="P659" s="386">
        <f t="shared" si="48"/>
        <v>0</v>
      </c>
      <c r="Q659" s="386"/>
    </row>
    <row r="660" spans="1:17">
      <c r="A660" s="528">
        <v>52</v>
      </c>
      <c r="B660" s="528" t="s">
        <v>232</v>
      </c>
      <c r="C660" s="390" t="s">
        <v>954</v>
      </c>
      <c r="D660" s="386">
        <f t="shared" si="43"/>
        <v>1</v>
      </c>
      <c r="E660" s="8" t="s">
        <v>599</v>
      </c>
      <c r="F660" s="8">
        <v>20610</v>
      </c>
      <c r="G660" s="397">
        <v>1</v>
      </c>
      <c r="H660" s="386">
        <f t="shared" si="44"/>
        <v>20610</v>
      </c>
      <c r="I660" s="386"/>
      <c r="J660" s="386">
        <f t="shared" si="45"/>
        <v>0</v>
      </c>
      <c r="K660" s="397"/>
      <c r="L660" s="386">
        <f t="shared" si="46"/>
        <v>0</v>
      </c>
      <c r="M660" s="397"/>
      <c r="N660" s="386">
        <f t="shared" si="47"/>
        <v>0</v>
      </c>
      <c r="O660" s="397"/>
      <c r="P660" s="386">
        <f t="shared" si="48"/>
        <v>0</v>
      </c>
      <c r="Q660" s="386"/>
    </row>
    <row r="661" spans="1:17">
      <c r="A661" s="528">
        <v>53</v>
      </c>
      <c r="B661" s="29" t="s">
        <v>955</v>
      </c>
      <c r="C661" s="376" t="s">
        <v>956</v>
      </c>
      <c r="D661" s="386">
        <f t="shared" si="43"/>
        <v>1</v>
      </c>
      <c r="E661" s="8" t="s">
        <v>599</v>
      </c>
      <c r="F661" s="8">
        <v>5152.5</v>
      </c>
      <c r="G661" s="397">
        <v>1</v>
      </c>
      <c r="H661" s="386">
        <f t="shared" si="44"/>
        <v>5152.5</v>
      </c>
      <c r="I661" s="386"/>
      <c r="J661" s="386">
        <f t="shared" si="45"/>
        <v>0</v>
      </c>
      <c r="K661" s="397"/>
      <c r="L661" s="386">
        <f t="shared" si="46"/>
        <v>0</v>
      </c>
      <c r="M661" s="397"/>
      <c r="N661" s="386">
        <f t="shared" si="47"/>
        <v>0</v>
      </c>
      <c r="O661" s="397"/>
      <c r="P661" s="386">
        <f t="shared" si="48"/>
        <v>0</v>
      </c>
      <c r="Q661" s="386"/>
    </row>
    <row r="662" spans="1:17">
      <c r="A662" s="528">
        <v>54</v>
      </c>
      <c r="B662" s="528" t="s">
        <v>523</v>
      </c>
      <c r="C662" s="390" t="s">
        <v>957</v>
      </c>
      <c r="D662" s="386">
        <f t="shared" si="43"/>
        <v>1</v>
      </c>
      <c r="E662" s="8" t="s">
        <v>599</v>
      </c>
      <c r="F662" s="8">
        <v>21755</v>
      </c>
      <c r="G662" s="386">
        <v>1</v>
      </c>
      <c r="H662" s="386">
        <f t="shared" si="44"/>
        <v>21755</v>
      </c>
      <c r="I662" s="386"/>
      <c r="J662" s="386">
        <f t="shared" si="45"/>
        <v>0</v>
      </c>
      <c r="K662" s="386"/>
      <c r="L662" s="386">
        <f t="shared" si="46"/>
        <v>0</v>
      </c>
      <c r="M662" s="386"/>
      <c r="N662" s="386">
        <f t="shared" si="47"/>
        <v>0</v>
      </c>
      <c r="O662" s="386"/>
      <c r="P662" s="386">
        <f t="shared" si="48"/>
        <v>0</v>
      </c>
      <c r="Q662" s="386"/>
    </row>
    <row r="663" spans="1:17">
      <c r="A663" s="528">
        <v>55</v>
      </c>
      <c r="B663" s="528" t="s">
        <v>958</v>
      </c>
      <c r="C663" s="390" t="s">
        <v>959</v>
      </c>
      <c r="D663" s="386">
        <f t="shared" si="43"/>
        <v>4</v>
      </c>
      <c r="E663" s="8" t="s">
        <v>599</v>
      </c>
      <c r="F663" s="8">
        <v>1717.5</v>
      </c>
      <c r="G663" s="386"/>
      <c r="H663" s="386">
        <f t="shared" si="44"/>
        <v>0</v>
      </c>
      <c r="I663" s="386"/>
      <c r="J663" s="386">
        <f t="shared" si="45"/>
        <v>0</v>
      </c>
      <c r="K663" s="386"/>
      <c r="L663" s="386">
        <f t="shared" si="46"/>
        <v>0</v>
      </c>
      <c r="M663" s="386"/>
      <c r="N663" s="386">
        <f t="shared" si="47"/>
        <v>0</v>
      </c>
      <c r="O663" s="386">
        <v>4</v>
      </c>
      <c r="P663" s="386">
        <f t="shared" si="48"/>
        <v>6870</v>
      </c>
      <c r="Q663" s="386"/>
    </row>
    <row r="664" spans="1:17">
      <c r="A664" s="528">
        <v>56</v>
      </c>
      <c r="B664" s="29" t="s">
        <v>497</v>
      </c>
      <c r="C664" s="376" t="s">
        <v>960</v>
      </c>
      <c r="D664" s="386">
        <f t="shared" si="43"/>
        <v>4</v>
      </c>
      <c r="E664" s="8" t="s">
        <v>961</v>
      </c>
      <c r="F664" s="8">
        <v>1145</v>
      </c>
      <c r="G664" s="386"/>
      <c r="H664" s="386">
        <f t="shared" si="44"/>
        <v>0</v>
      </c>
      <c r="I664" s="386"/>
      <c r="J664" s="386">
        <f t="shared" si="45"/>
        <v>0</v>
      </c>
      <c r="K664" s="386"/>
      <c r="L664" s="386">
        <f t="shared" si="46"/>
        <v>0</v>
      </c>
      <c r="M664" s="386"/>
      <c r="N664" s="386">
        <f t="shared" si="47"/>
        <v>0</v>
      </c>
      <c r="O664" s="386">
        <v>4</v>
      </c>
      <c r="P664" s="386">
        <f t="shared" si="48"/>
        <v>4580</v>
      </c>
      <c r="Q664" s="386"/>
    </row>
    <row r="665" spans="1:17">
      <c r="A665" s="528">
        <v>57</v>
      </c>
      <c r="B665" s="29" t="s">
        <v>962</v>
      </c>
      <c r="C665" s="376" t="s">
        <v>963</v>
      </c>
      <c r="D665" s="386">
        <f t="shared" si="43"/>
        <v>4</v>
      </c>
      <c r="E665" s="8" t="s">
        <v>961</v>
      </c>
      <c r="F665" s="8">
        <v>1431.25</v>
      </c>
      <c r="G665" s="397"/>
      <c r="H665" s="386">
        <f t="shared" si="44"/>
        <v>0</v>
      </c>
      <c r="I665" s="386"/>
      <c r="J665" s="386">
        <f t="shared" si="45"/>
        <v>0</v>
      </c>
      <c r="K665" s="397"/>
      <c r="L665" s="386">
        <f t="shared" si="46"/>
        <v>0</v>
      </c>
      <c r="M665" s="397"/>
      <c r="N665" s="386">
        <f t="shared" si="47"/>
        <v>0</v>
      </c>
      <c r="O665" s="397">
        <v>4</v>
      </c>
      <c r="P665" s="386">
        <f t="shared" si="48"/>
        <v>5725</v>
      </c>
      <c r="Q665" s="386"/>
    </row>
    <row r="666" spans="1:17">
      <c r="A666" s="528">
        <v>58</v>
      </c>
      <c r="B666" s="29" t="s">
        <v>964</v>
      </c>
      <c r="C666" s="376" t="s">
        <v>965</v>
      </c>
      <c r="D666" s="386">
        <f t="shared" si="43"/>
        <v>1</v>
      </c>
      <c r="E666" s="8" t="s">
        <v>599</v>
      </c>
      <c r="F666" s="8">
        <v>43510</v>
      </c>
      <c r="G666" s="397">
        <v>1</v>
      </c>
      <c r="H666" s="386">
        <f t="shared" si="44"/>
        <v>43510</v>
      </c>
      <c r="I666" s="386"/>
      <c r="J666" s="386">
        <f t="shared" si="45"/>
        <v>0</v>
      </c>
      <c r="K666" s="397"/>
      <c r="L666" s="386">
        <f t="shared" si="46"/>
        <v>0</v>
      </c>
      <c r="M666" s="397"/>
      <c r="N666" s="386">
        <f t="shared" si="47"/>
        <v>0</v>
      </c>
      <c r="O666" s="397"/>
      <c r="P666" s="386">
        <f t="shared" si="48"/>
        <v>0</v>
      </c>
      <c r="Q666" s="386"/>
    </row>
    <row r="667" spans="1:17">
      <c r="A667" s="528">
        <v>59</v>
      </c>
      <c r="B667" s="29" t="s">
        <v>966</v>
      </c>
      <c r="C667" s="376" t="s">
        <v>967</v>
      </c>
      <c r="D667" s="386">
        <f t="shared" si="43"/>
        <v>1</v>
      </c>
      <c r="E667" s="8" t="s">
        <v>599</v>
      </c>
      <c r="F667" s="8">
        <v>33205</v>
      </c>
      <c r="G667" s="397">
        <v>1</v>
      </c>
      <c r="H667" s="386">
        <f t="shared" si="44"/>
        <v>33205</v>
      </c>
      <c r="I667" s="386"/>
      <c r="J667" s="386">
        <f t="shared" si="45"/>
        <v>0</v>
      </c>
      <c r="K667" s="397"/>
      <c r="L667" s="386">
        <f t="shared" si="46"/>
        <v>0</v>
      </c>
      <c r="M667" s="397"/>
      <c r="N667" s="386">
        <f t="shared" si="47"/>
        <v>0</v>
      </c>
      <c r="O667" s="397"/>
      <c r="P667" s="386">
        <f t="shared" si="48"/>
        <v>0</v>
      </c>
      <c r="Q667" s="386"/>
    </row>
    <row r="668" spans="1:17">
      <c r="A668" s="528">
        <v>60</v>
      </c>
      <c r="B668" s="531" t="s">
        <v>968</v>
      </c>
      <c r="C668" s="390" t="s">
        <v>969</v>
      </c>
      <c r="D668" s="386">
        <f t="shared" si="43"/>
        <v>3</v>
      </c>
      <c r="E668" s="8" t="s">
        <v>599</v>
      </c>
      <c r="F668" s="8">
        <v>16602.5</v>
      </c>
      <c r="G668" s="397">
        <v>3</v>
      </c>
      <c r="H668" s="386">
        <f t="shared" si="44"/>
        <v>49807.5</v>
      </c>
      <c r="I668" s="386"/>
      <c r="J668" s="386">
        <f t="shared" si="45"/>
        <v>0</v>
      </c>
      <c r="K668" s="397"/>
      <c r="L668" s="386">
        <f t="shared" si="46"/>
        <v>0</v>
      </c>
      <c r="M668" s="397"/>
      <c r="N668" s="386">
        <f t="shared" si="47"/>
        <v>0</v>
      </c>
      <c r="O668" s="397"/>
      <c r="P668" s="386">
        <f t="shared" si="48"/>
        <v>0</v>
      </c>
      <c r="Q668" s="386"/>
    </row>
    <row r="669" spans="1:17">
      <c r="A669" s="528">
        <v>61</v>
      </c>
      <c r="B669" s="29" t="s">
        <v>504</v>
      </c>
      <c r="C669" s="376" t="s">
        <v>970</v>
      </c>
      <c r="D669" s="386">
        <f t="shared" si="43"/>
        <v>4</v>
      </c>
      <c r="E669" s="8" t="s">
        <v>599</v>
      </c>
      <c r="F669" s="8">
        <v>12022.5</v>
      </c>
      <c r="G669" s="397">
        <v>4</v>
      </c>
      <c r="H669" s="386">
        <f t="shared" si="44"/>
        <v>48090</v>
      </c>
      <c r="I669" s="386"/>
      <c r="J669" s="386">
        <f t="shared" si="45"/>
        <v>0</v>
      </c>
      <c r="K669" s="397"/>
      <c r="L669" s="386">
        <f t="shared" si="46"/>
        <v>0</v>
      </c>
      <c r="M669" s="397"/>
      <c r="N669" s="386">
        <f t="shared" si="47"/>
        <v>0</v>
      </c>
      <c r="O669" s="397"/>
      <c r="P669" s="386">
        <f t="shared" si="48"/>
        <v>0</v>
      </c>
      <c r="Q669" s="386"/>
    </row>
    <row r="670" spans="1:17">
      <c r="A670" s="528">
        <v>62</v>
      </c>
      <c r="B670" s="528" t="s">
        <v>971</v>
      </c>
      <c r="C670" s="390" t="s">
        <v>972</v>
      </c>
      <c r="D670" s="386">
        <f t="shared" si="43"/>
        <v>1</v>
      </c>
      <c r="E670" s="8" t="s">
        <v>599</v>
      </c>
      <c r="F670" s="8">
        <v>22900</v>
      </c>
      <c r="G670" s="397">
        <v>1</v>
      </c>
      <c r="H670" s="386">
        <f t="shared" si="44"/>
        <v>22900</v>
      </c>
      <c r="I670" s="386"/>
      <c r="J670" s="386">
        <f t="shared" si="45"/>
        <v>0</v>
      </c>
      <c r="K670" s="397"/>
      <c r="L670" s="386">
        <f t="shared" si="46"/>
        <v>0</v>
      </c>
      <c r="M670" s="397"/>
      <c r="N670" s="386">
        <f t="shared" si="47"/>
        <v>0</v>
      </c>
      <c r="O670" s="397"/>
      <c r="P670" s="386">
        <f t="shared" si="48"/>
        <v>0</v>
      </c>
      <c r="Q670" s="386"/>
    </row>
    <row r="671" spans="1:17">
      <c r="A671" s="528">
        <v>63</v>
      </c>
      <c r="B671" s="528" t="s">
        <v>208</v>
      </c>
      <c r="C671" s="390" t="s">
        <v>973</v>
      </c>
      <c r="D671" s="386">
        <f t="shared" si="43"/>
        <v>2</v>
      </c>
      <c r="E671" s="8" t="s">
        <v>599</v>
      </c>
      <c r="F671" s="8">
        <v>14312.5</v>
      </c>
      <c r="G671" s="397">
        <v>2</v>
      </c>
      <c r="H671" s="386">
        <f t="shared" si="44"/>
        <v>28625</v>
      </c>
      <c r="I671" s="386"/>
      <c r="J671" s="386">
        <f t="shared" si="45"/>
        <v>0</v>
      </c>
      <c r="K671" s="397"/>
      <c r="L671" s="386">
        <f t="shared" si="46"/>
        <v>0</v>
      </c>
      <c r="M671" s="397"/>
      <c r="N671" s="386">
        <f t="shared" si="47"/>
        <v>0</v>
      </c>
      <c r="O671" s="397"/>
      <c r="P671" s="386">
        <f t="shared" si="48"/>
        <v>0</v>
      </c>
      <c r="Q671" s="386"/>
    </row>
    <row r="672" spans="1:17">
      <c r="A672" s="528">
        <v>64</v>
      </c>
      <c r="B672" s="29" t="s">
        <v>974</v>
      </c>
      <c r="C672" s="376" t="s">
        <v>975</v>
      </c>
      <c r="D672" s="386">
        <f t="shared" si="43"/>
        <v>2</v>
      </c>
      <c r="E672" s="8" t="s">
        <v>599</v>
      </c>
      <c r="F672" s="8">
        <v>12022.5</v>
      </c>
      <c r="G672" s="397">
        <v>2</v>
      </c>
      <c r="H672" s="386">
        <f t="shared" si="44"/>
        <v>24045</v>
      </c>
      <c r="I672" s="386"/>
      <c r="J672" s="386">
        <f t="shared" si="45"/>
        <v>0</v>
      </c>
      <c r="K672" s="397"/>
      <c r="L672" s="386">
        <f t="shared" si="46"/>
        <v>0</v>
      </c>
      <c r="M672" s="397"/>
      <c r="N672" s="386">
        <f t="shared" si="47"/>
        <v>0</v>
      </c>
      <c r="O672" s="397"/>
      <c r="P672" s="386">
        <f t="shared" si="48"/>
        <v>0</v>
      </c>
      <c r="Q672" s="386"/>
    </row>
    <row r="673" spans="1:17">
      <c r="A673" s="528">
        <v>65</v>
      </c>
      <c r="B673" s="528" t="s">
        <v>976</v>
      </c>
      <c r="C673" s="390" t="s">
        <v>977</v>
      </c>
      <c r="D673" s="386">
        <f t="shared" si="43"/>
        <v>2</v>
      </c>
      <c r="E673" s="8" t="s">
        <v>599</v>
      </c>
      <c r="F673" s="8">
        <v>9160</v>
      </c>
      <c r="G673" s="386">
        <v>2</v>
      </c>
      <c r="H673" s="386">
        <f t="shared" si="44"/>
        <v>18320</v>
      </c>
      <c r="I673" s="386"/>
      <c r="J673" s="386">
        <f t="shared" si="45"/>
        <v>0</v>
      </c>
      <c r="K673" s="386"/>
      <c r="L673" s="386">
        <f t="shared" si="46"/>
        <v>0</v>
      </c>
      <c r="M673" s="386"/>
      <c r="N673" s="386">
        <f t="shared" si="47"/>
        <v>0</v>
      </c>
      <c r="O673" s="386"/>
      <c r="P673" s="386">
        <f t="shared" si="48"/>
        <v>0</v>
      </c>
      <c r="Q673" s="386"/>
    </row>
    <row r="674" spans="1:17">
      <c r="A674" s="528">
        <v>66</v>
      </c>
      <c r="B674" s="29" t="s">
        <v>507</v>
      </c>
      <c r="C674" s="376" t="s">
        <v>978</v>
      </c>
      <c r="D674" s="386">
        <f t="shared" ref="D674:D693" si="49">G674+I674+K674+M674+O674</f>
        <v>4</v>
      </c>
      <c r="E674" s="8" t="s">
        <v>599</v>
      </c>
      <c r="F674" s="8">
        <v>4007.5</v>
      </c>
      <c r="G674" s="386">
        <v>4</v>
      </c>
      <c r="H674" s="386">
        <f t="shared" ref="H674:H691" si="50">F674*G674</f>
        <v>16030</v>
      </c>
      <c r="I674" s="386"/>
      <c r="J674" s="386">
        <f t="shared" ref="J674:J692" si="51">F674*I674</f>
        <v>0</v>
      </c>
      <c r="K674" s="386"/>
      <c r="L674" s="386">
        <f t="shared" ref="L674:L692" si="52">K674*F674</f>
        <v>0</v>
      </c>
      <c r="M674" s="386"/>
      <c r="N674" s="386">
        <f t="shared" ref="N674:N692" si="53">M674*F674</f>
        <v>0</v>
      </c>
      <c r="O674" s="386"/>
      <c r="P674" s="386">
        <f t="shared" ref="P674:P692" si="54">O674*F674</f>
        <v>0</v>
      </c>
      <c r="Q674" s="386"/>
    </row>
    <row r="675" spans="1:17">
      <c r="A675" s="528">
        <v>67</v>
      </c>
      <c r="B675" s="29" t="s">
        <v>886</v>
      </c>
      <c r="C675" s="376" t="s">
        <v>979</v>
      </c>
      <c r="D675" s="386">
        <f t="shared" si="49"/>
        <v>1</v>
      </c>
      <c r="E675" s="35" t="s">
        <v>599</v>
      </c>
      <c r="F675" s="406">
        <v>7500</v>
      </c>
      <c r="G675" s="386">
        <v>0</v>
      </c>
      <c r="H675" s="386">
        <f t="shared" si="50"/>
        <v>0</v>
      </c>
      <c r="I675" s="386"/>
      <c r="J675" s="386">
        <f t="shared" si="51"/>
        <v>0</v>
      </c>
      <c r="K675" s="386"/>
      <c r="L675" s="386">
        <f t="shared" si="52"/>
        <v>0</v>
      </c>
      <c r="M675" s="386">
        <v>1</v>
      </c>
      <c r="N675" s="386">
        <f t="shared" si="53"/>
        <v>7500</v>
      </c>
      <c r="O675" s="386"/>
      <c r="P675" s="386">
        <f t="shared" si="54"/>
        <v>0</v>
      </c>
      <c r="Q675" s="386"/>
    </row>
    <row r="676" spans="1:17">
      <c r="A676" s="528">
        <v>68</v>
      </c>
      <c r="B676" s="528" t="s">
        <v>980</v>
      </c>
      <c r="C676" s="390" t="s">
        <v>981</v>
      </c>
      <c r="D676" s="386">
        <f t="shared" si="49"/>
        <v>1</v>
      </c>
      <c r="E676" s="8" t="s">
        <v>599</v>
      </c>
      <c r="F676" s="395">
        <v>16933</v>
      </c>
      <c r="G676" s="386">
        <v>1</v>
      </c>
      <c r="H676" s="386">
        <f t="shared" si="50"/>
        <v>16933</v>
      </c>
      <c r="I676" s="386"/>
      <c r="J676" s="386">
        <f t="shared" si="51"/>
        <v>0</v>
      </c>
      <c r="K676" s="386"/>
      <c r="L676" s="386">
        <f t="shared" si="52"/>
        <v>0</v>
      </c>
      <c r="M676" s="386"/>
      <c r="N676" s="386">
        <f t="shared" si="53"/>
        <v>0</v>
      </c>
      <c r="O676" s="386"/>
      <c r="P676" s="386">
        <f t="shared" si="54"/>
        <v>0</v>
      </c>
      <c r="Q676" s="386"/>
    </row>
    <row r="677" spans="1:17">
      <c r="A677" s="528">
        <v>69</v>
      </c>
      <c r="B677" s="29" t="s">
        <v>886</v>
      </c>
      <c r="C677" s="532" t="s">
        <v>982</v>
      </c>
      <c r="D677" s="386">
        <f t="shared" si="49"/>
        <v>1</v>
      </c>
      <c r="E677" s="30" t="s">
        <v>599</v>
      </c>
      <c r="F677" s="397">
        <v>1100</v>
      </c>
      <c r="G677" s="386">
        <v>1</v>
      </c>
      <c r="H677" s="386">
        <f t="shared" si="50"/>
        <v>1100</v>
      </c>
      <c r="I677" s="386"/>
      <c r="J677" s="386">
        <f t="shared" si="51"/>
        <v>0</v>
      </c>
      <c r="K677" s="386"/>
      <c r="L677" s="386">
        <f t="shared" si="52"/>
        <v>0</v>
      </c>
      <c r="M677" s="386"/>
      <c r="N677" s="386">
        <f t="shared" si="53"/>
        <v>0</v>
      </c>
      <c r="O677" s="386"/>
      <c r="P677" s="386">
        <f t="shared" si="54"/>
        <v>0</v>
      </c>
      <c r="Q677" s="386"/>
    </row>
    <row r="678" spans="1:17" ht="30">
      <c r="A678" s="528">
        <v>70</v>
      </c>
      <c r="B678" s="29" t="s">
        <v>128</v>
      </c>
      <c r="C678" s="532" t="s">
        <v>983</v>
      </c>
      <c r="D678" s="386">
        <f t="shared" si="49"/>
        <v>2</v>
      </c>
      <c r="E678" s="29" t="s">
        <v>984</v>
      </c>
      <c r="F678" s="397">
        <v>4661</v>
      </c>
      <c r="G678" s="533">
        <v>2</v>
      </c>
      <c r="H678" s="386">
        <f t="shared" si="50"/>
        <v>9322</v>
      </c>
      <c r="I678" s="386"/>
      <c r="J678" s="386">
        <f t="shared" si="51"/>
        <v>0</v>
      </c>
      <c r="K678" s="386"/>
      <c r="L678" s="386">
        <f t="shared" si="52"/>
        <v>0</v>
      </c>
      <c r="M678" s="386"/>
      <c r="N678" s="386">
        <f t="shared" si="53"/>
        <v>0</v>
      </c>
      <c r="O678" s="386"/>
      <c r="P678" s="386">
        <f t="shared" si="54"/>
        <v>0</v>
      </c>
      <c r="Q678" s="386"/>
    </row>
    <row r="679" spans="1:17">
      <c r="A679" s="528">
        <v>71</v>
      </c>
      <c r="B679" s="528" t="s">
        <v>985</v>
      </c>
      <c r="C679" s="534" t="s">
        <v>986</v>
      </c>
      <c r="D679" s="386">
        <f t="shared" si="49"/>
        <v>1</v>
      </c>
      <c r="E679" s="29" t="s">
        <v>984</v>
      </c>
      <c r="F679" s="397">
        <v>4071</v>
      </c>
      <c r="G679" s="533">
        <v>1</v>
      </c>
      <c r="H679" s="386">
        <f t="shared" si="50"/>
        <v>4071</v>
      </c>
      <c r="I679" s="386"/>
      <c r="J679" s="386">
        <f t="shared" si="51"/>
        <v>0</v>
      </c>
      <c r="K679" s="386"/>
      <c r="L679" s="386">
        <f t="shared" si="52"/>
        <v>0</v>
      </c>
      <c r="M679" s="386"/>
      <c r="N679" s="386">
        <f t="shared" si="53"/>
        <v>0</v>
      </c>
      <c r="O679" s="386"/>
      <c r="P679" s="386">
        <f t="shared" si="54"/>
        <v>0</v>
      </c>
      <c r="Q679" s="386"/>
    </row>
    <row r="680" spans="1:17">
      <c r="A680" s="528">
        <v>72</v>
      </c>
      <c r="B680" s="528" t="s">
        <v>987</v>
      </c>
      <c r="C680" s="534" t="s">
        <v>988</v>
      </c>
      <c r="D680" s="386">
        <f t="shared" si="49"/>
        <v>2</v>
      </c>
      <c r="E680" s="29" t="s">
        <v>984</v>
      </c>
      <c r="F680" s="397">
        <v>2619.6</v>
      </c>
      <c r="G680" s="533">
        <v>2</v>
      </c>
      <c r="H680" s="386">
        <f t="shared" si="50"/>
        <v>5239.2</v>
      </c>
      <c r="I680" s="386"/>
      <c r="J680" s="386">
        <f t="shared" si="51"/>
        <v>0</v>
      </c>
      <c r="K680" s="386"/>
      <c r="L680" s="386">
        <f t="shared" si="52"/>
        <v>0</v>
      </c>
      <c r="M680" s="386"/>
      <c r="N680" s="386">
        <f t="shared" si="53"/>
        <v>0</v>
      </c>
      <c r="O680" s="386"/>
      <c r="P680" s="386">
        <f t="shared" si="54"/>
        <v>0</v>
      </c>
      <c r="Q680" s="386"/>
    </row>
    <row r="681" spans="1:17">
      <c r="A681" s="528">
        <v>73</v>
      </c>
      <c r="B681" s="528" t="s">
        <v>237</v>
      </c>
      <c r="C681" s="534" t="s">
        <v>989</v>
      </c>
      <c r="D681" s="386">
        <f t="shared" si="49"/>
        <v>2</v>
      </c>
      <c r="E681" s="29" t="s">
        <v>984</v>
      </c>
      <c r="F681" s="397">
        <v>401.2</v>
      </c>
      <c r="G681" s="533">
        <v>2</v>
      </c>
      <c r="H681" s="386">
        <f t="shared" si="50"/>
        <v>802.4</v>
      </c>
      <c r="I681" s="386"/>
      <c r="J681" s="386">
        <f t="shared" si="51"/>
        <v>0</v>
      </c>
      <c r="K681" s="386"/>
      <c r="L681" s="386">
        <f t="shared" si="52"/>
        <v>0</v>
      </c>
      <c r="M681" s="386"/>
      <c r="N681" s="386">
        <f t="shared" si="53"/>
        <v>0</v>
      </c>
      <c r="O681" s="386"/>
      <c r="P681" s="386">
        <f t="shared" si="54"/>
        <v>0</v>
      </c>
      <c r="Q681" s="386"/>
    </row>
    <row r="682" spans="1:17" ht="30">
      <c r="A682" s="528">
        <v>74</v>
      </c>
      <c r="B682" s="29" t="s">
        <v>123</v>
      </c>
      <c r="C682" s="532" t="s">
        <v>990</v>
      </c>
      <c r="D682" s="386">
        <f t="shared" si="49"/>
        <v>4</v>
      </c>
      <c r="E682" s="29" t="s">
        <v>984</v>
      </c>
      <c r="F682" s="397">
        <v>4472.2</v>
      </c>
      <c r="G682" s="533">
        <v>4</v>
      </c>
      <c r="H682" s="386">
        <f t="shared" si="50"/>
        <v>17888.8</v>
      </c>
      <c r="I682" s="386"/>
      <c r="J682" s="386">
        <f t="shared" si="51"/>
        <v>0</v>
      </c>
      <c r="K682" s="386"/>
      <c r="L682" s="386">
        <f t="shared" si="52"/>
        <v>0</v>
      </c>
      <c r="M682" s="386"/>
      <c r="N682" s="386">
        <f t="shared" si="53"/>
        <v>0</v>
      </c>
      <c r="O682" s="386"/>
      <c r="P682" s="386">
        <f t="shared" si="54"/>
        <v>0</v>
      </c>
      <c r="Q682" s="386"/>
    </row>
    <row r="683" spans="1:17">
      <c r="A683" s="528">
        <v>75</v>
      </c>
      <c r="B683" s="29" t="s">
        <v>991</v>
      </c>
      <c r="C683" s="532" t="s">
        <v>992</v>
      </c>
      <c r="D683" s="386">
        <f t="shared" si="49"/>
        <v>1</v>
      </c>
      <c r="E683" s="29" t="s">
        <v>984</v>
      </c>
      <c r="F683" s="397">
        <v>5451.6</v>
      </c>
      <c r="G683" s="535">
        <v>1</v>
      </c>
      <c r="H683" s="386">
        <f t="shared" si="50"/>
        <v>5451.6</v>
      </c>
      <c r="I683" s="386"/>
      <c r="J683" s="386">
        <f t="shared" si="51"/>
        <v>0</v>
      </c>
      <c r="K683" s="386"/>
      <c r="L683" s="386">
        <f t="shared" si="52"/>
        <v>0</v>
      </c>
      <c r="M683" s="386"/>
      <c r="N683" s="386">
        <f t="shared" si="53"/>
        <v>0</v>
      </c>
      <c r="O683" s="386"/>
      <c r="P683" s="386">
        <f t="shared" si="54"/>
        <v>0</v>
      </c>
      <c r="Q683" s="386"/>
    </row>
    <row r="684" spans="1:17">
      <c r="A684" s="528">
        <v>76</v>
      </c>
      <c r="B684" s="29" t="s">
        <v>175</v>
      </c>
      <c r="C684" s="532" t="s">
        <v>993</v>
      </c>
      <c r="D684" s="386">
        <f t="shared" si="49"/>
        <v>1</v>
      </c>
      <c r="E684" s="29" t="s">
        <v>984</v>
      </c>
      <c r="F684" s="397">
        <v>15281</v>
      </c>
      <c r="G684" s="535">
        <v>1</v>
      </c>
      <c r="H684" s="386">
        <f t="shared" si="50"/>
        <v>15281</v>
      </c>
      <c r="I684" s="386"/>
      <c r="J684" s="386">
        <f t="shared" si="51"/>
        <v>0</v>
      </c>
      <c r="K684" s="386"/>
      <c r="L684" s="386">
        <f t="shared" si="52"/>
        <v>0</v>
      </c>
      <c r="M684" s="386"/>
      <c r="N684" s="386">
        <f t="shared" si="53"/>
        <v>0</v>
      </c>
      <c r="O684" s="386"/>
      <c r="P684" s="386">
        <f t="shared" si="54"/>
        <v>0</v>
      </c>
      <c r="Q684" s="386"/>
    </row>
    <row r="685" spans="1:17">
      <c r="A685" s="528">
        <v>77</v>
      </c>
      <c r="B685" s="528" t="s">
        <v>994</v>
      </c>
      <c r="C685" s="534" t="s">
        <v>995</v>
      </c>
      <c r="D685" s="386">
        <f t="shared" si="49"/>
        <v>1</v>
      </c>
      <c r="E685" s="29" t="s">
        <v>984</v>
      </c>
      <c r="F685" s="397">
        <v>20602.8</v>
      </c>
      <c r="G685" s="535">
        <v>1</v>
      </c>
      <c r="H685" s="386">
        <f t="shared" si="50"/>
        <v>20602.8</v>
      </c>
      <c r="I685" s="386"/>
      <c r="J685" s="386">
        <f t="shared" si="51"/>
        <v>0</v>
      </c>
      <c r="K685" s="386"/>
      <c r="L685" s="386">
        <f t="shared" si="52"/>
        <v>0</v>
      </c>
      <c r="M685" s="386"/>
      <c r="N685" s="386">
        <f t="shared" si="53"/>
        <v>0</v>
      </c>
      <c r="O685" s="386"/>
      <c r="P685" s="386">
        <f t="shared" si="54"/>
        <v>0</v>
      </c>
      <c r="Q685" s="386"/>
    </row>
    <row r="686" spans="1:17">
      <c r="A686" s="528">
        <v>78</v>
      </c>
      <c r="B686" s="528" t="s">
        <v>958</v>
      </c>
      <c r="C686" s="376" t="s">
        <v>996</v>
      </c>
      <c r="D686" s="386">
        <f t="shared" si="49"/>
        <v>6</v>
      </c>
      <c r="E686" s="382" t="s">
        <v>751</v>
      </c>
      <c r="F686" s="383">
        <v>4248</v>
      </c>
      <c r="G686" s="535">
        <v>6</v>
      </c>
      <c r="H686" s="386">
        <f t="shared" si="50"/>
        <v>25488</v>
      </c>
      <c r="I686" s="386"/>
      <c r="J686" s="386">
        <f t="shared" si="51"/>
        <v>0</v>
      </c>
      <c r="K686" s="386"/>
      <c r="L686" s="386">
        <f t="shared" si="52"/>
        <v>0</v>
      </c>
      <c r="M686" s="386"/>
      <c r="N686" s="386">
        <f t="shared" si="53"/>
        <v>0</v>
      </c>
      <c r="O686" s="386"/>
      <c r="P686" s="386">
        <f t="shared" si="54"/>
        <v>0</v>
      </c>
      <c r="Q686" s="386"/>
    </row>
    <row r="687" spans="1:17">
      <c r="A687" s="528">
        <v>79</v>
      </c>
      <c r="B687" s="29" t="s">
        <v>962</v>
      </c>
      <c r="C687" s="376" t="s">
        <v>997</v>
      </c>
      <c r="D687" s="386">
        <f t="shared" si="49"/>
        <v>5</v>
      </c>
      <c r="E687" s="382" t="s">
        <v>751</v>
      </c>
      <c r="F687" s="383">
        <v>11800</v>
      </c>
      <c r="G687" s="535">
        <v>5</v>
      </c>
      <c r="H687" s="386">
        <f t="shared" si="50"/>
        <v>59000</v>
      </c>
      <c r="I687" s="386"/>
      <c r="J687" s="386">
        <f t="shared" si="51"/>
        <v>0</v>
      </c>
      <c r="K687" s="386"/>
      <c r="L687" s="386">
        <f t="shared" si="52"/>
        <v>0</v>
      </c>
      <c r="M687" s="386"/>
      <c r="N687" s="386">
        <f t="shared" si="53"/>
        <v>0</v>
      </c>
      <c r="O687" s="386"/>
      <c r="P687" s="386">
        <f t="shared" si="54"/>
        <v>0</v>
      </c>
      <c r="Q687" s="386"/>
    </row>
    <row r="688" spans="1:17">
      <c r="A688" s="536">
        <v>80</v>
      </c>
      <c r="B688" s="389" t="s">
        <v>122</v>
      </c>
      <c r="C688" s="537" t="s">
        <v>998</v>
      </c>
      <c r="D688" s="386">
        <f t="shared" si="49"/>
        <v>6</v>
      </c>
      <c r="E688" s="538" t="s">
        <v>751</v>
      </c>
      <c r="F688" s="539">
        <v>5074</v>
      </c>
      <c r="G688" s="540">
        <v>6</v>
      </c>
      <c r="H688" s="386">
        <f t="shared" si="50"/>
        <v>30444</v>
      </c>
      <c r="I688" s="541"/>
      <c r="J688" s="386">
        <f t="shared" si="51"/>
        <v>0</v>
      </c>
      <c r="K688" s="541"/>
      <c r="L688" s="386">
        <f t="shared" si="52"/>
        <v>0</v>
      </c>
      <c r="M688" s="541"/>
      <c r="N688" s="386">
        <f t="shared" si="53"/>
        <v>0</v>
      </c>
      <c r="O688" s="541"/>
      <c r="P688" s="386">
        <f t="shared" si="54"/>
        <v>0</v>
      </c>
      <c r="Q688" s="541"/>
    </row>
    <row r="689" spans="1:17" ht="30">
      <c r="A689" s="528">
        <v>81</v>
      </c>
      <c r="B689" s="528" t="s">
        <v>999</v>
      </c>
      <c r="C689" s="390" t="s">
        <v>1000</v>
      </c>
      <c r="D689" s="386">
        <f t="shared" si="49"/>
        <v>2</v>
      </c>
      <c r="E689" s="376" t="s">
        <v>13</v>
      </c>
      <c r="F689" s="376">
        <f>16490*1.18</f>
        <v>19458.2</v>
      </c>
      <c r="G689" s="542">
        <v>2</v>
      </c>
      <c r="H689" s="386">
        <f t="shared" si="50"/>
        <v>38916.400000000001</v>
      </c>
      <c r="I689" s="386"/>
      <c r="J689" s="386">
        <f t="shared" si="51"/>
        <v>0</v>
      </c>
      <c r="K689" s="386"/>
      <c r="L689" s="386">
        <f t="shared" si="52"/>
        <v>0</v>
      </c>
      <c r="M689" s="386"/>
      <c r="N689" s="386">
        <f t="shared" si="53"/>
        <v>0</v>
      </c>
      <c r="O689" s="386"/>
      <c r="P689" s="386">
        <f t="shared" si="54"/>
        <v>0</v>
      </c>
      <c r="Q689" s="386"/>
    </row>
    <row r="690" spans="1:17">
      <c r="A690" s="528">
        <v>82</v>
      </c>
      <c r="B690" s="528" t="s">
        <v>1001</v>
      </c>
      <c r="C690" s="390" t="s">
        <v>1002</v>
      </c>
      <c r="D690" s="386">
        <f t="shared" si="49"/>
        <v>2</v>
      </c>
      <c r="E690" s="376" t="s">
        <v>13</v>
      </c>
      <c r="F690" s="376">
        <f>3995*1.18</f>
        <v>4714.0999999999995</v>
      </c>
      <c r="G690" s="542">
        <v>2</v>
      </c>
      <c r="H690" s="386">
        <f t="shared" si="50"/>
        <v>9428.1999999999989</v>
      </c>
      <c r="I690" s="386"/>
      <c r="J690" s="386">
        <f t="shared" si="51"/>
        <v>0</v>
      </c>
      <c r="K690" s="386"/>
      <c r="L690" s="386">
        <f t="shared" si="52"/>
        <v>0</v>
      </c>
      <c r="M690" s="386"/>
      <c r="N690" s="386">
        <f t="shared" si="53"/>
        <v>0</v>
      </c>
      <c r="O690" s="386"/>
      <c r="P690" s="386">
        <f t="shared" si="54"/>
        <v>0</v>
      </c>
      <c r="Q690" s="386"/>
    </row>
    <row r="691" spans="1:17" ht="30">
      <c r="A691" s="528">
        <v>83</v>
      </c>
      <c r="B691" s="528" t="s">
        <v>1003</v>
      </c>
      <c r="C691" s="390" t="s">
        <v>1004</v>
      </c>
      <c r="D691" s="386">
        <f t="shared" si="49"/>
        <v>1</v>
      </c>
      <c r="E691" s="376" t="s">
        <v>13</v>
      </c>
      <c r="F691" s="376">
        <f>27990*1.18</f>
        <v>33028.199999999997</v>
      </c>
      <c r="G691" s="542">
        <v>1</v>
      </c>
      <c r="H691" s="386">
        <f t="shared" si="50"/>
        <v>33028.199999999997</v>
      </c>
      <c r="I691" s="386"/>
      <c r="J691" s="386">
        <f t="shared" si="51"/>
        <v>0</v>
      </c>
      <c r="K691" s="386"/>
      <c r="L691" s="386">
        <f t="shared" si="52"/>
        <v>0</v>
      </c>
      <c r="M691" s="386"/>
      <c r="N691" s="386">
        <f t="shared" si="53"/>
        <v>0</v>
      </c>
      <c r="O691" s="386"/>
      <c r="P691" s="386">
        <f t="shared" si="54"/>
        <v>0</v>
      </c>
      <c r="Q691" s="386"/>
    </row>
    <row r="692" spans="1:17" ht="45">
      <c r="A692" s="528">
        <v>84</v>
      </c>
      <c r="B692" s="528" t="s">
        <v>1005</v>
      </c>
      <c r="C692" s="390" t="s">
        <v>1006</v>
      </c>
      <c r="D692" s="386">
        <f t="shared" si="49"/>
        <v>1</v>
      </c>
      <c r="E692" s="376" t="s">
        <v>13</v>
      </c>
      <c r="F692" s="376">
        <f>20990*1.18</f>
        <v>24768.199999999997</v>
      </c>
      <c r="G692" s="542">
        <v>1</v>
      </c>
      <c r="H692" s="386">
        <f>F692*G692</f>
        <v>24768.199999999997</v>
      </c>
      <c r="I692" s="386"/>
      <c r="J692" s="386">
        <f t="shared" si="51"/>
        <v>0</v>
      </c>
      <c r="K692" s="386"/>
      <c r="L692" s="386">
        <f t="shared" si="52"/>
        <v>0</v>
      </c>
      <c r="M692" s="386"/>
      <c r="N692" s="386">
        <f t="shared" si="53"/>
        <v>0</v>
      </c>
      <c r="O692" s="386"/>
      <c r="P692" s="386">
        <f t="shared" si="54"/>
        <v>0</v>
      </c>
      <c r="Q692" s="386"/>
    </row>
    <row r="693" spans="1:17">
      <c r="A693" s="395">
        <v>85</v>
      </c>
      <c r="B693" s="395"/>
      <c r="C693" s="543" t="s">
        <v>1007</v>
      </c>
      <c r="D693" s="462">
        <f t="shared" si="49"/>
        <v>1</v>
      </c>
      <c r="E693" s="462" t="s">
        <v>599</v>
      </c>
      <c r="F693" s="407">
        <v>71508</v>
      </c>
      <c r="G693" s="535">
        <v>1</v>
      </c>
      <c r="H693" s="386">
        <f>F693*G693</f>
        <v>71508</v>
      </c>
      <c r="I693" s="386"/>
      <c r="J693" s="386"/>
      <c r="K693" s="386"/>
      <c r="L693" s="386"/>
      <c r="M693" s="386"/>
      <c r="N693" s="386"/>
      <c r="O693" s="386"/>
      <c r="P693" s="386"/>
      <c r="Q693" s="386"/>
    </row>
    <row r="694" spans="1:17">
      <c r="A694" s="528"/>
      <c r="B694" s="528"/>
      <c r="C694" s="544"/>
      <c r="D694" s="544"/>
      <c r="E694" s="29"/>
      <c r="F694" s="397"/>
      <c r="G694" s="545"/>
      <c r="H694" s="542">
        <f>SUM(H609:H693)</f>
        <v>945186.29999999993</v>
      </c>
      <c r="I694" s="386"/>
      <c r="J694" s="386">
        <f>SUM(J609:J692)</f>
        <v>0</v>
      </c>
      <c r="K694" s="386"/>
      <c r="L694" s="386">
        <f>SUM(L609:L692)</f>
        <v>0</v>
      </c>
      <c r="M694" s="386"/>
      <c r="N694" s="386">
        <f>SUM(N609:N692)</f>
        <v>7500</v>
      </c>
      <c r="O694" s="386"/>
      <c r="P694" s="386">
        <f>SUM(P609:P692)</f>
        <v>37785</v>
      </c>
      <c r="Q694" s="386"/>
    </row>
    <row r="695" spans="1:17">
      <c r="A695" s="528"/>
      <c r="B695" s="528"/>
      <c r="C695" s="544"/>
      <c r="D695" s="544"/>
      <c r="E695" s="30"/>
      <c r="F695" s="397"/>
      <c r="G695" s="546"/>
      <c r="H695" s="547"/>
      <c r="I695" s="546">
        <f>H694+J694+L694+N694+P694</f>
        <v>990471.29999999993</v>
      </c>
      <c r="J695" s="548"/>
      <c r="K695" s="548"/>
      <c r="L695" s="548"/>
      <c r="M695" s="548"/>
      <c r="N695" s="548"/>
      <c r="O695" s="548"/>
      <c r="P695" s="548"/>
      <c r="Q695" s="547"/>
    </row>
    <row r="696" spans="1:17">
      <c r="A696" s="549"/>
      <c r="B696" s="549"/>
      <c r="C696" s="550"/>
      <c r="D696" s="550"/>
      <c r="E696" s="551"/>
      <c r="F696" s="552"/>
      <c r="G696" s="452"/>
      <c r="H696" s="452"/>
      <c r="I696" s="452"/>
      <c r="J696" s="452"/>
      <c r="K696" s="452"/>
      <c r="L696" s="452"/>
      <c r="M696" s="452"/>
      <c r="N696" s="452"/>
      <c r="O696" s="452"/>
      <c r="P696" s="452"/>
      <c r="Q696" s="452"/>
    </row>
    <row r="697" spans="1:17">
      <c r="A697" s="512" t="s">
        <v>1008</v>
      </c>
      <c r="B697" s="513"/>
      <c r="C697" s="513"/>
      <c r="D697" s="513"/>
      <c r="E697" s="513"/>
      <c r="F697" s="513"/>
      <c r="G697" s="553"/>
      <c r="H697" s="371" t="s">
        <v>18</v>
      </c>
      <c r="I697" s="371"/>
      <c r="J697" s="554" t="s">
        <v>29</v>
      </c>
      <c r="K697" s="555"/>
      <c r="L697" s="555"/>
      <c r="M697" s="556"/>
      <c r="N697" s="554" t="s">
        <v>586</v>
      </c>
      <c r="O697" s="556"/>
      <c r="P697" s="554" t="s">
        <v>587</v>
      </c>
      <c r="Q697" s="556"/>
    </row>
    <row r="698" spans="1:17">
      <c r="A698" s="517"/>
      <c r="B698" s="518"/>
      <c r="C698" s="518"/>
      <c r="D698" s="518"/>
      <c r="E698" s="518"/>
      <c r="F698" s="518"/>
      <c r="G698" s="557"/>
      <c r="H698" s="371"/>
      <c r="I698" s="371"/>
      <c r="J698" s="372"/>
      <c r="K698" s="372"/>
      <c r="L698" s="372"/>
      <c r="M698" s="372"/>
      <c r="N698" s="372"/>
      <c r="O698" s="372"/>
      <c r="P698" s="372"/>
      <c r="Q698" s="372"/>
    </row>
    <row r="699" spans="1:17">
      <c r="A699" s="344" t="s">
        <v>863</v>
      </c>
      <c r="B699" s="344" t="s">
        <v>28</v>
      </c>
      <c r="C699" s="344" t="s">
        <v>582</v>
      </c>
      <c r="D699" s="367"/>
      <c r="E699" s="347" t="s">
        <v>584</v>
      </c>
      <c r="F699" s="347" t="s">
        <v>585</v>
      </c>
      <c r="G699" s="558" t="s">
        <v>1009</v>
      </c>
      <c r="H699" s="371"/>
      <c r="I699" s="371"/>
      <c r="J699" s="372"/>
      <c r="K699" s="372"/>
      <c r="L699" s="372"/>
      <c r="M699" s="372"/>
      <c r="N699" s="372"/>
      <c r="O699" s="372"/>
      <c r="P699" s="372"/>
      <c r="Q699" s="372"/>
    </row>
    <row r="700" spans="1:17">
      <c r="A700" s="344"/>
      <c r="B700" s="344"/>
      <c r="C700" s="344"/>
      <c r="D700" s="367"/>
      <c r="E700" s="347"/>
      <c r="F700" s="347"/>
      <c r="G700" s="559"/>
      <c r="H700" s="371" t="s">
        <v>583</v>
      </c>
      <c r="I700" s="371" t="s">
        <v>0</v>
      </c>
      <c r="J700" s="372" t="s">
        <v>583</v>
      </c>
      <c r="K700" s="372" t="s">
        <v>0</v>
      </c>
      <c r="L700" s="371" t="s">
        <v>583</v>
      </c>
      <c r="M700" s="371" t="s">
        <v>0</v>
      </c>
      <c r="N700" s="371" t="s">
        <v>583</v>
      </c>
      <c r="O700" s="371" t="s">
        <v>0</v>
      </c>
      <c r="P700" s="371" t="s">
        <v>583</v>
      </c>
      <c r="Q700" s="371" t="s">
        <v>0</v>
      </c>
    </row>
    <row r="701" spans="1:17">
      <c r="A701" s="344"/>
      <c r="B701" s="344"/>
      <c r="C701" s="344"/>
      <c r="D701" s="367"/>
      <c r="E701" s="347"/>
      <c r="F701" s="347"/>
      <c r="G701" s="560"/>
      <c r="H701" s="371"/>
      <c r="I701" s="371"/>
      <c r="J701" s="372"/>
      <c r="K701" s="372"/>
      <c r="L701" s="371"/>
      <c r="M701" s="371"/>
      <c r="N701" s="371"/>
      <c r="O701" s="371"/>
      <c r="P701" s="371"/>
      <c r="Q701" s="371"/>
    </row>
    <row r="702" spans="1:17">
      <c r="A702" s="561">
        <v>1</v>
      </c>
      <c r="B702" s="29" t="s">
        <v>119</v>
      </c>
      <c r="C702" s="376" t="s">
        <v>1010</v>
      </c>
      <c r="D702" s="376"/>
      <c r="E702" s="462" t="s">
        <v>9</v>
      </c>
      <c r="F702" s="467">
        <v>653000</v>
      </c>
      <c r="G702" s="412">
        <v>1</v>
      </c>
      <c r="H702" s="412">
        <v>1</v>
      </c>
      <c r="I702" s="412">
        <f>F702*H702</f>
        <v>653000</v>
      </c>
      <c r="J702" s="397"/>
      <c r="K702" s="397"/>
      <c r="L702" s="397"/>
      <c r="M702" s="397"/>
      <c r="N702" s="397"/>
      <c r="O702" s="397"/>
      <c r="P702" s="397"/>
      <c r="Q702" s="397"/>
    </row>
    <row r="703" spans="1:17">
      <c r="A703" s="562">
        <v>2</v>
      </c>
      <c r="B703" s="29" t="s">
        <v>130</v>
      </c>
      <c r="C703" s="390" t="s">
        <v>1011</v>
      </c>
      <c r="D703" s="376"/>
      <c r="E703" s="462" t="s">
        <v>9</v>
      </c>
      <c r="F703" s="467">
        <v>1650000</v>
      </c>
      <c r="G703" s="412">
        <v>1</v>
      </c>
      <c r="H703" s="412">
        <v>1</v>
      </c>
      <c r="I703" s="412">
        <f>F703*H703</f>
        <v>1650000</v>
      </c>
      <c r="J703" s="397"/>
      <c r="K703" s="397"/>
      <c r="L703" s="397"/>
      <c r="M703" s="397"/>
      <c r="N703" s="397"/>
      <c r="O703" s="397"/>
      <c r="P703" s="397"/>
      <c r="Q703" s="397"/>
    </row>
    <row r="704" spans="1:17">
      <c r="A704" s="562"/>
      <c r="B704" s="562"/>
      <c r="C704" s="376"/>
      <c r="D704" s="376"/>
      <c r="E704" s="462"/>
      <c r="F704" s="467"/>
      <c r="G704" s="412"/>
      <c r="H704" s="377" t="s">
        <v>1012</v>
      </c>
      <c r="I704" s="412">
        <f>SUM(I702:I703)</f>
        <v>2303000</v>
      </c>
      <c r="J704" s="397"/>
      <c r="K704" s="397"/>
      <c r="L704" s="397"/>
      <c r="M704" s="397"/>
      <c r="N704" s="397"/>
      <c r="O704" s="397"/>
      <c r="P704" s="397"/>
      <c r="Q704" s="397"/>
    </row>
    <row r="705" spans="1:17">
      <c r="A705" s="452"/>
      <c r="B705" s="506"/>
      <c r="C705" s="507"/>
      <c r="D705" s="507"/>
      <c r="E705" s="508"/>
      <c r="F705" s="509"/>
      <c r="G705" s="118"/>
      <c r="H705" s="118"/>
      <c r="I705" s="118"/>
      <c r="J705" s="118"/>
      <c r="K705" s="118"/>
      <c r="L705" s="118"/>
      <c r="M705" s="118"/>
      <c r="N705" s="118"/>
      <c r="O705" s="118"/>
      <c r="P705" s="118"/>
      <c r="Q705" s="118"/>
    </row>
    <row r="706" spans="1:17">
      <c r="A706" s="452"/>
      <c r="B706" s="506"/>
      <c r="C706" s="507"/>
      <c r="D706" s="507"/>
      <c r="E706" s="508"/>
      <c r="F706" s="509"/>
      <c r="G706" s="118"/>
      <c r="H706" s="118"/>
      <c r="I706" s="118"/>
      <c r="J706" s="118"/>
      <c r="K706" s="118"/>
      <c r="L706" s="118"/>
      <c r="M706" s="118"/>
      <c r="N706" s="118"/>
      <c r="O706" s="118"/>
      <c r="P706" s="118"/>
      <c r="Q706" s="118"/>
    </row>
    <row r="707" spans="1:17" ht="23.25">
      <c r="A707" s="563" t="s">
        <v>253</v>
      </c>
      <c r="B707" s="564"/>
      <c r="C707" s="564"/>
      <c r="D707" s="564"/>
      <c r="E707" s="564"/>
      <c r="F707" s="564"/>
      <c r="G707" s="564"/>
      <c r="H707" s="564"/>
      <c r="I707" s="564"/>
      <c r="J707" s="565"/>
      <c r="K707" s="566"/>
      <c r="L707" s="118"/>
      <c r="M707" s="118"/>
      <c r="N707" s="118"/>
      <c r="O707" s="118"/>
      <c r="P707" s="118"/>
      <c r="Q707" s="118"/>
    </row>
    <row r="708" spans="1:17">
      <c r="A708" s="567" t="s">
        <v>1013</v>
      </c>
      <c r="B708" s="567"/>
      <c r="C708" s="568"/>
      <c r="D708" s="567"/>
      <c r="E708" s="567"/>
      <c r="F708" s="567"/>
      <c r="G708" s="567"/>
      <c r="H708" s="567"/>
      <c r="I708" s="567"/>
      <c r="J708" s="569"/>
      <c r="K708" s="570"/>
      <c r="L708" s="118"/>
      <c r="M708" s="118"/>
      <c r="N708" s="118"/>
      <c r="O708" s="118"/>
      <c r="P708" s="118"/>
      <c r="Q708" s="118"/>
    </row>
    <row r="709" spans="1:17">
      <c r="A709" s="567" t="s">
        <v>1014</v>
      </c>
      <c r="B709" s="567"/>
      <c r="C709" s="568"/>
      <c r="D709" s="567"/>
      <c r="E709" s="567"/>
      <c r="F709" s="567"/>
      <c r="G709" s="567"/>
      <c r="H709" s="567"/>
      <c r="I709" s="567"/>
      <c r="J709" s="569"/>
      <c r="K709" s="570"/>
      <c r="L709" s="118"/>
      <c r="M709" s="118"/>
      <c r="N709" s="118"/>
      <c r="O709" s="118"/>
      <c r="P709" s="118"/>
      <c r="Q709" s="118"/>
    </row>
    <row r="710" spans="1:17">
      <c r="A710" s="571" t="s">
        <v>1015</v>
      </c>
      <c r="B710" s="571"/>
      <c r="C710" s="571"/>
      <c r="D710" s="571"/>
      <c r="E710" s="571"/>
      <c r="F710" s="571"/>
      <c r="G710" s="571"/>
      <c r="H710" s="571"/>
      <c r="I710" s="571"/>
      <c r="J710" s="569"/>
      <c r="K710" s="570"/>
      <c r="L710" s="118"/>
      <c r="M710" s="118"/>
      <c r="N710" s="118"/>
      <c r="O710" s="118"/>
      <c r="P710" s="118"/>
      <c r="Q710" s="118"/>
    </row>
    <row r="711" spans="1:17">
      <c r="A711" s="572"/>
      <c r="B711" s="573"/>
      <c r="C711" s="574"/>
      <c r="D711" s="573"/>
      <c r="E711" s="572"/>
      <c r="F711" s="572"/>
      <c r="G711" s="572"/>
      <c r="H711" s="572"/>
      <c r="I711" s="572"/>
      <c r="J711" s="569"/>
      <c r="K711" s="575"/>
      <c r="L711" s="118"/>
      <c r="M711" s="118"/>
      <c r="N711" s="118"/>
      <c r="O711" s="118"/>
      <c r="P711" s="118"/>
      <c r="Q711" s="118"/>
    </row>
    <row r="712" spans="1:17" ht="51">
      <c r="A712" s="576" t="s">
        <v>1016</v>
      </c>
      <c r="B712" s="577" t="s">
        <v>262</v>
      </c>
      <c r="C712" s="577" t="s">
        <v>1017</v>
      </c>
      <c r="D712" s="577" t="s">
        <v>8</v>
      </c>
      <c r="E712" s="577" t="s">
        <v>1018</v>
      </c>
      <c r="F712" s="578" t="s">
        <v>1019</v>
      </c>
      <c r="G712" s="579" t="s">
        <v>11</v>
      </c>
      <c r="H712" s="579" t="s">
        <v>21</v>
      </c>
      <c r="I712" s="577" t="s">
        <v>1</v>
      </c>
      <c r="J712" s="579" t="s">
        <v>1020</v>
      </c>
      <c r="K712" s="580" t="s">
        <v>421</v>
      </c>
    </row>
    <row r="713" spans="1:17" ht="18.75">
      <c r="A713" s="581">
        <v>2</v>
      </c>
      <c r="B713" s="582" t="s">
        <v>164</v>
      </c>
      <c r="C713" s="583" t="s">
        <v>1021</v>
      </c>
      <c r="D713" s="582" t="s">
        <v>4</v>
      </c>
      <c r="E713" s="582">
        <v>920</v>
      </c>
      <c r="F713" s="584"/>
      <c r="G713" s="584"/>
      <c r="H713" s="584"/>
      <c r="I713" s="582"/>
      <c r="J713" s="582">
        <v>111.54300000000001</v>
      </c>
      <c r="K713" s="585">
        <f t="shared" ref="K713:K725" si="55">J713*E713</f>
        <v>102619.56000000001</v>
      </c>
    </row>
    <row r="714" spans="1:17" ht="18.75">
      <c r="A714" s="581">
        <v>4</v>
      </c>
      <c r="B714" s="586" t="s">
        <v>1022</v>
      </c>
      <c r="C714" s="587" t="s">
        <v>1023</v>
      </c>
      <c r="D714" s="582" t="s">
        <v>1024</v>
      </c>
      <c r="E714" s="582">
        <v>240</v>
      </c>
      <c r="F714" s="588"/>
      <c r="G714" s="588"/>
      <c r="H714" s="588"/>
      <c r="I714" s="588"/>
      <c r="J714" s="589">
        <v>963.37300000000005</v>
      </c>
      <c r="K714" s="585">
        <f t="shared" si="55"/>
        <v>231209.52000000002</v>
      </c>
    </row>
    <row r="715" spans="1:17" ht="18.75">
      <c r="A715" s="581">
        <v>9</v>
      </c>
      <c r="B715" s="580" t="s">
        <v>1025</v>
      </c>
      <c r="C715" s="587" t="s">
        <v>1026</v>
      </c>
      <c r="D715" s="582" t="s">
        <v>1024</v>
      </c>
      <c r="E715" s="582">
        <v>242.17</v>
      </c>
      <c r="F715" s="588"/>
      <c r="G715" s="588"/>
      <c r="H715" s="588"/>
      <c r="I715" s="588"/>
      <c r="J715" s="589">
        <v>71</v>
      </c>
      <c r="K715" s="585">
        <f t="shared" si="55"/>
        <v>17194.07</v>
      </c>
    </row>
    <row r="716" spans="1:17" ht="18.75">
      <c r="A716" s="590">
        <v>10</v>
      </c>
      <c r="B716" s="580" t="s">
        <v>1027</v>
      </c>
      <c r="C716" s="583" t="s">
        <v>1028</v>
      </c>
      <c r="D716" s="582" t="s">
        <v>324</v>
      </c>
      <c r="E716" s="582">
        <v>8.9999999999999993E-3</v>
      </c>
      <c r="F716" s="591"/>
      <c r="G716" s="591"/>
      <c r="H716" s="591"/>
      <c r="I716" s="591"/>
      <c r="J716" s="582">
        <v>28220</v>
      </c>
      <c r="K716" s="585">
        <f t="shared" si="55"/>
        <v>253.98</v>
      </c>
    </row>
    <row r="717" spans="1:17" ht="18.75">
      <c r="A717" s="576">
        <v>11</v>
      </c>
      <c r="B717" s="586" t="s">
        <v>1029</v>
      </c>
      <c r="C717" s="587" t="s">
        <v>1030</v>
      </c>
      <c r="D717" s="582" t="s">
        <v>9</v>
      </c>
      <c r="E717" s="582">
        <v>52</v>
      </c>
      <c r="F717" s="588"/>
      <c r="G717" s="588"/>
      <c r="H717" s="588"/>
      <c r="I717" s="588"/>
      <c r="J717" s="589">
        <v>464</v>
      </c>
      <c r="K717" s="585">
        <f t="shared" si="55"/>
        <v>24128</v>
      </c>
    </row>
    <row r="718" spans="1:17" ht="18.75">
      <c r="A718" s="581">
        <v>12</v>
      </c>
      <c r="B718" s="586" t="s">
        <v>1031</v>
      </c>
      <c r="C718" s="587" t="s">
        <v>1032</v>
      </c>
      <c r="D718" s="582" t="s">
        <v>9</v>
      </c>
      <c r="E718" s="582">
        <v>32</v>
      </c>
      <c r="F718" s="588"/>
      <c r="G718" s="588"/>
      <c r="H718" s="588"/>
      <c r="I718" s="588"/>
      <c r="J718" s="589">
        <v>965.24</v>
      </c>
      <c r="K718" s="585">
        <f t="shared" si="55"/>
        <v>30887.68</v>
      </c>
    </row>
    <row r="719" spans="1:17" ht="18.75">
      <c r="A719" s="590">
        <v>15</v>
      </c>
      <c r="B719" s="586" t="s">
        <v>1033</v>
      </c>
      <c r="C719" s="587" t="s">
        <v>1034</v>
      </c>
      <c r="D719" s="582" t="s">
        <v>2</v>
      </c>
      <c r="E719" s="582">
        <v>12</v>
      </c>
      <c r="F719" s="588"/>
      <c r="G719" s="588"/>
      <c r="H719" s="588"/>
      <c r="I719" s="588"/>
      <c r="J719" s="589">
        <v>948.86</v>
      </c>
      <c r="K719" s="585">
        <f t="shared" si="55"/>
        <v>11386.32</v>
      </c>
    </row>
    <row r="720" spans="1:17" ht="18.75">
      <c r="A720" s="576">
        <v>16</v>
      </c>
      <c r="B720" s="592" t="s">
        <v>331</v>
      </c>
      <c r="C720" s="593" t="s">
        <v>1035</v>
      </c>
      <c r="D720" s="582" t="s">
        <v>2</v>
      </c>
      <c r="E720" s="582">
        <v>4</v>
      </c>
      <c r="F720" s="588"/>
      <c r="G720" s="588"/>
      <c r="H720" s="588"/>
      <c r="I720" s="588"/>
      <c r="J720" s="594">
        <v>2175.5</v>
      </c>
      <c r="K720" s="585">
        <f t="shared" si="55"/>
        <v>8702</v>
      </c>
    </row>
    <row r="721" spans="1:11" ht="18.75">
      <c r="A721" s="581">
        <v>17</v>
      </c>
      <c r="B721" s="582">
        <v>1111105001</v>
      </c>
      <c r="C721" s="587" t="s">
        <v>1036</v>
      </c>
      <c r="D721" s="582" t="s">
        <v>2</v>
      </c>
      <c r="E721" s="582">
        <v>13</v>
      </c>
      <c r="F721" s="588"/>
      <c r="G721" s="588"/>
      <c r="H721" s="588"/>
      <c r="I721" s="588"/>
      <c r="J721" s="589">
        <v>3864.5</v>
      </c>
      <c r="K721" s="585">
        <f t="shared" si="55"/>
        <v>50238.5</v>
      </c>
    </row>
    <row r="722" spans="1:11" ht="18.75">
      <c r="A722" s="581">
        <v>18</v>
      </c>
      <c r="B722" s="582">
        <v>1131301004</v>
      </c>
      <c r="C722" s="587" t="s">
        <v>1037</v>
      </c>
      <c r="D722" s="582" t="s">
        <v>9</v>
      </c>
      <c r="E722" s="595">
        <v>18</v>
      </c>
      <c r="F722" s="577"/>
      <c r="G722" s="596"/>
      <c r="H722" s="596"/>
      <c r="I722" s="596"/>
      <c r="J722" s="589">
        <v>1345.2</v>
      </c>
      <c r="K722" s="585">
        <f t="shared" si="55"/>
        <v>24213.600000000002</v>
      </c>
    </row>
    <row r="723" spans="1:11" ht="18.75">
      <c r="A723" s="581">
        <v>19</v>
      </c>
      <c r="B723" s="580" t="s">
        <v>1038</v>
      </c>
      <c r="C723" s="587" t="s">
        <v>1039</v>
      </c>
      <c r="D723" s="589" t="s">
        <v>9</v>
      </c>
      <c r="E723" s="589">
        <v>18</v>
      </c>
      <c r="F723" s="597"/>
      <c r="G723" s="597"/>
      <c r="H723" s="597"/>
      <c r="I723" s="597"/>
      <c r="J723" s="589">
        <v>1418.75</v>
      </c>
      <c r="K723" s="585">
        <f t="shared" si="55"/>
        <v>25537.5</v>
      </c>
    </row>
    <row r="724" spans="1:11" ht="18.75">
      <c r="A724" s="590">
        <v>20</v>
      </c>
      <c r="B724" s="582" t="s">
        <v>628</v>
      </c>
      <c r="C724" s="587" t="s">
        <v>1040</v>
      </c>
      <c r="D724" s="598" t="s">
        <v>9</v>
      </c>
      <c r="E724" s="582">
        <v>1</v>
      </c>
      <c r="F724" s="599"/>
      <c r="G724" s="599"/>
      <c r="H724" s="599"/>
      <c r="I724" s="599"/>
      <c r="J724" s="589">
        <v>2604</v>
      </c>
      <c r="K724" s="585">
        <f t="shared" si="55"/>
        <v>2604</v>
      </c>
    </row>
    <row r="725" spans="1:11" ht="37.5">
      <c r="A725" s="576">
        <v>21</v>
      </c>
      <c r="B725" s="600" t="s">
        <v>360</v>
      </c>
      <c r="C725" s="587" t="s">
        <v>1041</v>
      </c>
      <c r="D725" s="589" t="s">
        <v>9</v>
      </c>
      <c r="E725" s="582">
        <v>1</v>
      </c>
      <c r="F725" s="591"/>
      <c r="G725" s="591"/>
      <c r="H725" s="591"/>
      <c r="I725" s="591"/>
      <c r="J725" s="589">
        <v>3348.25</v>
      </c>
      <c r="K725" s="585">
        <f t="shared" si="55"/>
        <v>3348.25</v>
      </c>
    </row>
    <row r="726" spans="1:11" ht="28.5">
      <c r="A726" s="590">
        <v>25</v>
      </c>
      <c r="B726" s="586" t="s">
        <v>315</v>
      </c>
      <c r="C726" s="601" t="s">
        <v>1042</v>
      </c>
      <c r="D726" s="602" t="s">
        <v>2</v>
      </c>
      <c r="E726" s="577">
        <v>2</v>
      </c>
      <c r="F726" s="582"/>
      <c r="G726" s="603"/>
      <c r="H726" s="603"/>
      <c r="I726" s="577"/>
      <c r="J726" s="604">
        <v>7930</v>
      </c>
      <c r="K726" s="585">
        <f>J726*E726</f>
        <v>15860</v>
      </c>
    </row>
    <row r="727" spans="1:11" ht="18.75">
      <c r="A727" s="576">
        <v>26</v>
      </c>
      <c r="B727" s="586" t="s">
        <v>709</v>
      </c>
      <c r="C727" s="587" t="s">
        <v>1043</v>
      </c>
      <c r="D727" s="582" t="s">
        <v>2</v>
      </c>
      <c r="E727" s="589">
        <v>170</v>
      </c>
      <c r="F727" s="591"/>
      <c r="G727" s="591"/>
      <c r="H727" s="591"/>
      <c r="I727" s="591"/>
      <c r="J727" s="589">
        <v>1764</v>
      </c>
      <c r="K727" s="585">
        <f>J727*E727</f>
        <v>299880</v>
      </c>
    </row>
    <row r="728" spans="1:11" ht="18.75">
      <c r="A728" s="581">
        <v>28</v>
      </c>
      <c r="B728" s="580" t="s">
        <v>1044</v>
      </c>
      <c r="C728" s="587" t="s">
        <v>1045</v>
      </c>
      <c r="D728" s="582" t="s">
        <v>9</v>
      </c>
      <c r="E728" s="582">
        <v>2</v>
      </c>
      <c r="F728" s="591"/>
      <c r="G728" s="591"/>
      <c r="H728" s="591"/>
      <c r="I728" s="591"/>
      <c r="J728" s="589">
        <v>1873</v>
      </c>
      <c r="K728" s="585">
        <f>J728*E728</f>
        <v>3746</v>
      </c>
    </row>
    <row r="729" spans="1:11" ht="18.75">
      <c r="A729" s="581">
        <v>29</v>
      </c>
      <c r="B729" s="580" t="s">
        <v>1046</v>
      </c>
      <c r="C729" s="587" t="s">
        <v>1045</v>
      </c>
      <c r="D729" s="582" t="s">
        <v>9</v>
      </c>
      <c r="E729" s="582">
        <v>3</v>
      </c>
      <c r="F729" s="584"/>
      <c r="G729" s="584"/>
      <c r="H729" s="584"/>
      <c r="I729" s="584"/>
      <c r="J729" s="589">
        <v>1129.33</v>
      </c>
      <c r="K729" s="605">
        <f>J729*E729</f>
        <v>3387.99</v>
      </c>
    </row>
    <row r="730" spans="1:11" ht="37.5">
      <c r="A730" s="576">
        <v>31</v>
      </c>
      <c r="B730" s="580" t="s">
        <v>1047</v>
      </c>
      <c r="C730" s="587" t="s">
        <v>1048</v>
      </c>
      <c r="D730" s="582" t="s">
        <v>9</v>
      </c>
      <c r="E730" s="582"/>
      <c r="F730" s="606"/>
      <c r="G730" s="582"/>
      <c r="H730" s="582"/>
      <c r="I730" s="582">
        <v>2</v>
      </c>
      <c r="J730" s="589">
        <v>1500</v>
      </c>
      <c r="K730" s="585">
        <f>J730*I730</f>
        <v>3000</v>
      </c>
    </row>
    <row r="731" spans="1:11" ht="37.5">
      <c r="A731" s="581">
        <v>33</v>
      </c>
      <c r="B731" s="580" t="s">
        <v>1049</v>
      </c>
      <c r="C731" s="587" t="s">
        <v>1050</v>
      </c>
      <c r="D731" s="582" t="s">
        <v>9</v>
      </c>
      <c r="E731" s="582"/>
      <c r="F731" s="606"/>
      <c r="G731" s="582"/>
      <c r="H731" s="582"/>
      <c r="I731" s="582">
        <v>1</v>
      </c>
      <c r="J731" s="589">
        <v>1500</v>
      </c>
      <c r="K731" s="585">
        <f>J731*I731</f>
        <v>1500</v>
      </c>
    </row>
    <row r="732" spans="1:11" ht="18.75">
      <c r="A732" s="581">
        <v>37</v>
      </c>
      <c r="B732" s="580" t="s">
        <v>206</v>
      </c>
      <c r="C732" s="587" t="s">
        <v>1051</v>
      </c>
      <c r="D732" s="582" t="s">
        <v>9</v>
      </c>
      <c r="E732" s="582">
        <v>2</v>
      </c>
      <c r="F732" s="582"/>
      <c r="G732" s="582"/>
      <c r="H732" s="582"/>
      <c r="I732" s="582"/>
      <c r="J732" s="589">
        <v>288510</v>
      </c>
      <c r="K732" s="585">
        <f>J732*E732</f>
        <v>577020</v>
      </c>
    </row>
    <row r="733" spans="1:11" ht="18.75">
      <c r="A733" s="590">
        <v>40</v>
      </c>
      <c r="B733" s="580" t="s">
        <v>1052</v>
      </c>
      <c r="C733" s="607" t="s">
        <v>1053</v>
      </c>
      <c r="D733" s="582" t="s">
        <v>193</v>
      </c>
      <c r="E733" s="591"/>
      <c r="F733" s="591"/>
      <c r="G733" s="591"/>
      <c r="H733" s="591"/>
      <c r="I733" s="582">
        <v>8</v>
      </c>
      <c r="J733" s="608">
        <v>80</v>
      </c>
      <c r="K733" s="585">
        <f>J733*I733</f>
        <v>640</v>
      </c>
    </row>
    <row r="734" spans="1:11" ht="18.75">
      <c r="A734" s="581">
        <v>42</v>
      </c>
      <c r="B734" s="580" t="s">
        <v>1054</v>
      </c>
      <c r="C734" s="607" t="s">
        <v>1055</v>
      </c>
      <c r="D734" s="582" t="s">
        <v>1056</v>
      </c>
      <c r="E734" s="582">
        <v>400</v>
      </c>
      <c r="F734" s="591"/>
      <c r="G734" s="591"/>
      <c r="H734" s="591"/>
      <c r="I734" s="591"/>
      <c r="J734" s="608">
        <v>14</v>
      </c>
      <c r="K734" s="585">
        <f>J734*E734</f>
        <v>5600</v>
      </c>
    </row>
    <row r="735" spans="1:11" ht="18.75">
      <c r="A735" s="581">
        <v>43</v>
      </c>
      <c r="B735" s="582" t="s">
        <v>1057</v>
      </c>
      <c r="C735" s="607" t="s">
        <v>1058</v>
      </c>
      <c r="D735" s="582" t="s">
        <v>4</v>
      </c>
      <c r="E735" s="609">
        <v>100</v>
      </c>
      <c r="F735" s="591"/>
      <c r="G735" s="591"/>
      <c r="H735" s="591"/>
      <c r="I735" s="591"/>
      <c r="J735" s="608">
        <v>1502.29</v>
      </c>
      <c r="K735" s="585">
        <f>J735*E735</f>
        <v>150229</v>
      </c>
    </row>
    <row r="736" spans="1:11" ht="18.75">
      <c r="A736" s="581">
        <v>44</v>
      </c>
      <c r="B736" s="582" t="s">
        <v>1057</v>
      </c>
      <c r="C736" s="607" t="s">
        <v>1059</v>
      </c>
      <c r="D736" s="582" t="s">
        <v>193</v>
      </c>
      <c r="E736" s="582"/>
      <c r="F736" s="591"/>
      <c r="G736" s="591"/>
      <c r="H736" s="591"/>
      <c r="I736" s="582">
        <v>200</v>
      </c>
      <c r="J736" s="608">
        <v>20</v>
      </c>
      <c r="K736" s="585">
        <f>J736*I736</f>
        <v>4000</v>
      </c>
    </row>
    <row r="737" spans="1:11" ht="37.5">
      <c r="A737" s="576">
        <v>46</v>
      </c>
      <c r="B737" s="580" t="s">
        <v>1060</v>
      </c>
      <c r="C737" s="587" t="s">
        <v>1061</v>
      </c>
      <c r="D737" s="582" t="s">
        <v>2</v>
      </c>
      <c r="E737" s="589">
        <v>16</v>
      </c>
      <c r="F737" s="591"/>
      <c r="G737" s="591"/>
      <c r="H737" s="591"/>
      <c r="I737" s="591"/>
      <c r="J737" s="589">
        <v>1117.97</v>
      </c>
      <c r="K737" s="585">
        <f t="shared" ref="K737:K742" si="56">J737*E737</f>
        <v>17887.52</v>
      </c>
    </row>
    <row r="738" spans="1:11" ht="56.25">
      <c r="A738" s="581">
        <v>47</v>
      </c>
      <c r="B738" s="589" t="s">
        <v>127</v>
      </c>
      <c r="C738" s="587" t="s">
        <v>1062</v>
      </c>
      <c r="D738" s="582" t="s">
        <v>2</v>
      </c>
      <c r="E738" s="589">
        <v>4</v>
      </c>
      <c r="F738" s="591"/>
      <c r="G738" s="591"/>
      <c r="H738" s="591"/>
      <c r="I738" s="591"/>
      <c r="J738" s="589">
        <v>12933.325000000001</v>
      </c>
      <c r="K738" s="585">
        <f t="shared" si="56"/>
        <v>51733.3</v>
      </c>
    </row>
    <row r="739" spans="1:11" ht="75">
      <c r="A739" s="581">
        <v>48</v>
      </c>
      <c r="B739" s="589" t="s">
        <v>127</v>
      </c>
      <c r="C739" s="587" t="s">
        <v>1063</v>
      </c>
      <c r="D739" s="582" t="s">
        <v>2</v>
      </c>
      <c r="E739" s="589">
        <v>4</v>
      </c>
      <c r="F739" s="591"/>
      <c r="G739" s="591"/>
      <c r="H739" s="591"/>
      <c r="I739" s="591"/>
      <c r="J739" s="589">
        <v>13455.424999999999</v>
      </c>
      <c r="K739" s="585">
        <f t="shared" si="56"/>
        <v>53821.7</v>
      </c>
    </row>
    <row r="740" spans="1:11" ht="18.75">
      <c r="A740" s="581">
        <v>49</v>
      </c>
      <c r="B740" s="582">
        <v>1151501005</v>
      </c>
      <c r="C740" s="587" t="s">
        <v>1064</v>
      </c>
      <c r="D740" s="582" t="s">
        <v>2</v>
      </c>
      <c r="E740" s="582">
        <v>12</v>
      </c>
      <c r="F740" s="588"/>
      <c r="G740" s="588"/>
      <c r="H740" s="588"/>
      <c r="I740" s="588"/>
      <c r="J740" s="589">
        <v>1418.75</v>
      </c>
      <c r="K740" s="585">
        <f t="shared" si="56"/>
        <v>17025</v>
      </c>
    </row>
    <row r="741" spans="1:11" ht="18.75">
      <c r="A741" s="590">
        <v>50</v>
      </c>
      <c r="B741" s="582">
        <v>1151504005</v>
      </c>
      <c r="C741" s="587" t="s">
        <v>1065</v>
      </c>
      <c r="D741" s="582" t="s">
        <v>2</v>
      </c>
      <c r="E741" s="582">
        <v>1</v>
      </c>
      <c r="F741" s="588"/>
      <c r="G741" s="588"/>
      <c r="H741" s="588"/>
      <c r="I741" s="588"/>
      <c r="J741" s="589">
        <v>1259.8499999999999</v>
      </c>
      <c r="K741" s="585">
        <f t="shared" si="56"/>
        <v>1259.8499999999999</v>
      </c>
    </row>
    <row r="742" spans="1:11" ht="26.25">
      <c r="A742" s="576">
        <v>51</v>
      </c>
      <c r="B742" s="577"/>
      <c r="C742" s="583" t="s">
        <v>1066</v>
      </c>
      <c r="D742" s="582" t="s">
        <v>2</v>
      </c>
      <c r="E742" s="582">
        <v>13</v>
      </c>
      <c r="F742" s="610"/>
      <c r="G742" s="611"/>
      <c r="H742" s="611"/>
      <c r="I742" s="611"/>
      <c r="J742" s="582">
        <v>5852.8</v>
      </c>
      <c r="K742" s="585">
        <f t="shared" si="56"/>
        <v>76086.400000000009</v>
      </c>
    </row>
    <row r="743" spans="1:11" ht="37.5">
      <c r="A743" s="581">
        <v>53</v>
      </c>
      <c r="B743" s="600" t="s">
        <v>1067</v>
      </c>
      <c r="C743" s="587" t="s">
        <v>1068</v>
      </c>
      <c r="D743" s="582" t="s">
        <v>1069</v>
      </c>
      <c r="E743" s="592"/>
      <c r="F743" s="592"/>
      <c r="G743" s="592"/>
      <c r="H743" s="592"/>
      <c r="I743" s="592">
        <v>1</v>
      </c>
      <c r="J743" s="580">
        <v>500</v>
      </c>
      <c r="K743" s="585">
        <f>J743*I743</f>
        <v>500</v>
      </c>
    </row>
    <row r="744" spans="1:11" ht="37.5">
      <c r="A744" s="581">
        <v>54</v>
      </c>
      <c r="B744" s="582" t="s">
        <v>1049</v>
      </c>
      <c r="C744" s="587" t="s">
        <v>1070</v>
      </c>
      <c r="D744" s="602" t="s">
        <v>1069</v>
      </c>
      <c r="E744" s="582">
        <v>3</v>
      </c>
      <c r="F744" s="582"/>
      <c r="G744" s="603"/>
      <c r="H744" s="603"/>
      <c r="I744" s="599"/>
      <c r="J744" s="580">
        <v>41182</v>
      </c>
      <c r="K744" s="585">
        <f>J744*E744</f>
        <v>123546</v>
      </c>
    </row>
    <row r="745" spans="1:11" ht="28.5">
      <c r="A745" s="590">
        <v>55</v>
      </c>
      <c r="B745" s="582" t="s">
        <v>809</v>
      </c>
      <c r="C745" s="612" t="s">
        <v>1071</v>
      </c>
      <c r="D745" s="602" t="s">
        <v>1069</v>
      </c>
      <c r="E745" s="582">
        <v>1</v>
      </c>
      <c r="F745" s="582"/>
      <c r="G745" s="603"/>
      <c r="H745" s="603"/>
      <c r="I745" s="599"/>
      <c r="J745" s="580">
        <v>41913</v>
      </c>
      <c r="K745" s="585">
        <f>J745*E745</f>
        <v>41913</v>
      </c>
    </row>
    <row r="746" spans="1:11" ht="37.5">
      <c r="A746" s="576">
        <v>56</v>
      </c>
      <c r="B746" s="582" t="s">
        <v>436</v>
      </c>
      <c r="C746" s="587" t="s">
        <v>1070</v>
      </c>
      <c r="D746" s="602" t="s">
        <v>1069</v>
      </c>
      <c r="E746" s="582">
        <v>1</v>
      </c>
      <c r="F746" s="582"/>
      <c r="G746" s="603"/>
      <c r="H746" s="603"/>
      <c r="I746" s="599"/>
      <c r="J746" s="580">
        <v>57994.64</v>
      </c>
      <c r="K746" s="585">
        <f>J746*E746</f>
        <v>57994.64</v>
      </c>
    </row>
    <row r="747" spans="1:11" ht="37.5">
      <c r="A747" s="581">
        <v>57</v>
      </c>
      <c r="B747" s="580" t="s">
        <v>1054</v>
      </c>
      <c r="C747" s="607" t="s">
        <v>1072</v>
      </c>
      <c r="D747" s="602" t="s">
        <v>193</v>
      </c>
      <c r="E747" s="582">
        <v>1100</v>
      </c>
      <c r="F747" s="582"/>
      <c r="G747" s="603"/>
      <c r="H747" s="603"/>
      <c r="I747" s="580"/>
      <c r="J747" s="580">
        <v>8.26</v>
      </c>
      <c r="K747" s="605">
        <f>(J747*E747)+(J747*I747)</f>
        <v>9086</v>
      </c>
    </row>
    <row r="748" spans="1:11" ht="28.5">
      <c r="A748" s="581">
        <v>58</v>
      </c>
      <c r="B748" s="586" t="s">
        <v>1031</v>
      </c>
      <c r="C748" s="587" t="s">
        <v>1073</v>
      </c>
      <c r="D748" s="602" t="s">
        <v>2</v>
      </c>
      <c r="E748" s="582">
        <v>15</v>
      </c>
      <c r="F748" s="582"/>
      <c r="G748" s="603"/>
      <c r="H748" s="603"/>
      <c r="I748" s="580"/>
      <c r="J748" s="580">
        <v>66</v>
      </c>
      <c r="K748" s="605">
        <f>(J748*E748)+(J748*I748)</f>
        <v>990</v>
      </c>
    </row>
    <row r="749" spans="1:11" ht="31.5">
      <c r="A749" s="581">
        <v>70</v>
      </c>
      <c r="B749" s="582" t="s">
        <v>1074</v>
      </c>
      <c r="C749" s="613" t="s">
        <v>1075</v>
      </c>
      <c r="D749" s="602" t="s">
        <v>1069</v>
      </c>
      <c r="E749" s="577">
        <v>1</v>
      </c>
      <c r="F749" s="582"/>
      <c r="G749" s="603"/>
      <c r="H749" s="603"/>
      <c r="I749" s="577"/>
      <c r="J749" s="604">
        <v>170937.16</v>
      </c>
      <c r="K749" s="605">
        <f t="shared" ref="K749:K793" si="57">(J749*E749)+(J749*I749)</f>
        <v>170937.16</v>
      </c>
    </row>
    <row r="750" spans="1:11" ht="28.5">
      <c r="A750" s="576">
        <v>71</v>
      </c>
      <c r="B750" s="582" t="s">
        <v>1076</v>
      </c>
      <c r="C750" s="613" t="s">
        <v>1077</v>
      </c>
      <c r="D750" s="602" t="s">
        <v>1069</v>
      </c>
      <c r="E750" s="577">
        <v>2</v>
      </c>
      <c r="F750" s="582"/>
      <c r="G750" s="603"/>
      <c r="H750" s="603"/>
      <c r="I750" s="577"/>
      <c r="J750" s="604">
        <v>198441.78</v>
      </c>
      <c r="K750" s="605">
        <f t="shared" si="57"/>
        <v>396883.56</v>
      </c>
    </row>
    <row r="751" spans="1:11" ht="28.5">
      <c r="A751" s="581">
        <v>73</v>
      </c>
      <c r="B751" s="582" t="s">
        <v>613</v>
      </c>
      <c r="C751" s="614" t="s">
        <v>1078</v>
      </c>
      <c r="D751" s="602" t="s">
        <v>2</v>
      </c>
      <c r="E751" s="577">
        <v>12</v>
      </c>
      <c r="F751" s="582"/>
      <c r="G751" s="603"/>
      <c r="H751" s="603"/>
      <c r="I751" s="577"/>
      <c r="J751" s="604">
        <v>1840.8</v>
      </c>
      <c r="K751" s="605">
        <f t="shared" si="57"/>
        <v>22089.599999999999</v>
      </c>
    </row>
    <row r="752" spans="1:11" ht="28.5">
      <c r="A752" s="581">
        <v>74</v>
      </c>
      <c r="B752" s="582" t="s">
        <v>303</v>
      </c>
      <c r="C752" s="615" t="s">
        <v>1079</v>
      </c>
      <c r="D752" s="602" t="s">
        <v>2</v>
      </c>
      <c r="E752" s="577">
        <v>8</v>
      </c>
      <c r="F752" s="582"/>
      <c r="G752" s="603"/>
      <c r="H752" s="603"/>
      <c r="I752" s="577"/>
      <c r="J752" s="604">
        <v>2749.8</v>
      </c>
      <c r="K752" s="605">
        <f t="shared" si="57"/>
        <v>21998.400000000001</v>
      </c>
    </row>
    <row r="753" spans="1:11" ht="28.5">
      <c r="A753" s="590">
        <v>75</v>
      </c>
      <c r="B753" s="582" t="s">
        <v>317</v>
      </c>
      <c r="C753" s="616" t="s">
        <v>1080</v>
      </c>
      <c r="D753" s="602" t="s">
        <v>42</v>
      </c>
      <c r="E753" s="577">
        <v>100</v>
      </c>
      <c r="F753" s="582"/>
      <c r="G753" s="603"/>
      <c r="H753" s="603"/>
      <c r="I753" s="577"/>
      <c r="J753" s="604">
        <v>279.89999999999998</v>
      </c>
      <c r="K753" s="605">
        <f t="shared" si="57"/>
        <v>27989.999999999996</v>
      </c>
    </row>
    <row r="754" spans="1:11" ht="31.5">
      <c r="A754" s="581">
        <v>77</v>
      </c>
      <c r="B754" s="582" t="s">
        <v>1081</v>
      </c>
      <c r="C754" s="617" t="s">
        <v>1082</v>
      </c>
      <c r="D754" s="577" t="s">
        <v>1083</v>
      </c>
      <c r="E754" s="577">
        <v>2</v>
      </c>
      <c r="F754" s="582"/>
      <c r="G754" s="603"/>
      <c r="H754" s="603"/>
      <c r="I754" s="577"/>
      <c r="J754" s="604">
        <v>17486.273000000001</v>
      </c>
      <c r="K754" s="605">
        <f t="shared" si="57"/>
        <v>34972.546000000002</v>
      </c>
    </row>
    <row r="755" spans="1:11" ht="28.5">
      <c r="A755" s="581">
        <v>78</v>
      </c>
      <c r="B755" s="582" t="s">
        <v>1084</v>
      </c>
      <c r="C755" s="618" t="s">
        <v>1085</v>
      </c>
      <c r="D755" s="602" t="s">
        <v>1069</v>
      </c>
      <c r="E755" s="577">
        <v>15</v>
      </c>
      <c r="F755" s="582"/>
      <c r="G755" s="603"/>
      <c r="H755" s="603"/>
      <c r="I755" s="577"/>
      <c r="J755" s="604">
        <v>567.58000000000004</v>
      </c>
      <c r="K755" s="605">
        <f t="shared" si="57"/>
        <v>8513.7000000000007</v>
      </c>
    </row>
    <row r="756" spans="1:11" ht="28.5">
      <c r="A756" s="576">
        <v>79</v>
      </c>
      <c r="B756" s="582" t="s">
        <v>663</v>
      </c>
      <c r="C756" s="618" t="s">
        <v>664</v>
      </c>
      <c r="D756" s="619" t="s">
        <v>193</v>
      </c>
      <c r="E756" s="577">
        <v>8</v>
      </c>
      <c r="F756" s="582"/>
      <c r="G756" s="603"/>
      <c r="H756" s="603"/>
      <c r="I756" s="577"/>
      <c r="J756" s="604">
        <v>5894.1</v>
      </c>
      <c r="K756" s="605">
        <f t="shared" si="57"/>
        <v>47152.800000000003</v>
      </c>
    </row>
    <row r="757" spans="1:11" ht="31.5">
      <c r="A757" s="581">
        <v>81</v>
      </c>
      <c r="B757" s="582" t="s">
        <v>1086</v>
      </c>
      <c r="C757" s="620" t="s">
        <v>1087</v>
      </c>
      <c r="D757" s="577" t="s">
        <v>2</v>
      </c>
      <c r="E757" s="577">
        <v>2</v>
      </c>
      <c r="F757" s="582"/>
      <c r="G757" s="603"/>
      <c r="H757" s="603"/>
      <c r="I757" s="577"/>
      <c r="J757" s="604">
        <v>20388.7</v>
      </c>
      <c r="K757" s="605">
        <f t="shared" si="57"/>
        <v>40777.4</v>
      </c>
    </row>
    <row r="758" spans="1:11" ht="31.5">
      <c r="A758" s="576">
        <v>82</v>
      </c>
      <c r="B758" s="582" t="s">
        <v>1088</v>
      </c>
      <c r="C758" s="620" t="s">
        <v>1089</v>
      </c>
      <c r="D758" s="577" t="s">
        <v>2</v>
      </c>
      <c r="E758" s="577">
        <v>2</v>
      </c>
      <c r="F758" s="582"/>
      <c r="G758" s="603"/>
      <c r="H758" s="603"/>
      <c r="I758" s="577"/>
      <c r="J758" s="604">
        <v>20388.7</v>
      </c>
      <c r="K758" s="605">
        <f t="shared" si="57"/>
        <v>40777.4</v>
      </c>
    </row>
    <row r="759" spans="1:11" ht="28.5">
      <c r="A759" s="581">
        <v>83</v>
      </c>
      <c r="B759" s="582" t="s">
        <v>1090</v>
      </c>
      <c r="C759" s="620" t="s">
        <v>1091</v>
      </c>
      <c r="D759" s="577" t="s">
        <v>2</v>
      </c>
      <c r="E759" s="577">
        <v>3</v>
      </c>
      <c r="F759" s="582"/>
      <c r="G759" s="603"/>
      <c r="H759" s="603"/>
      <c r="I759" s="577"/>
      <c r="J759" s="604">
        <v>6844.94</v>
      </c>
      <c r="K759" s="605">
        <f t="shared" si="57"/>
        <v>20534.82</v>
      </c>
    </row>
    <row r="760" spans="1:11" ht="28.5">
      <c r="A760" s="581">
        <v>84</v>
      </c>
      <c r="B760" s="582" t="s">
        <v>426</v>
      </c>
      <c r="C760" s="620" t="s">
        <v>1092</v>
      </c>
      <c r="D760" s="577" t="s">
        <v>2</v>
      </c>
      <c r="E760" s="577">
        <v>1</v>
      </c>
      <c r="F760" s="582"/>
      <c r="G760" s="603"/>
      <c r="H760" s="603"/>
      <c r="I760" s="577"/>
      <c r="J760" s="604">
        <v>4887.62</v>
      </c>
      <c r="K760" s="605">
        <f t="shared" si="57"/>
        <v>4887.62</v>
      </c>
    </row>
    <row r="761" spans="1:11" ht="31.5">
      <c r="A761" s="581">
        <v>93</v>
      </c>
      <c r="B761" s="582" t="s">
        <v>202</v>
      </c>
      <c r="C761" s="621" t="s">
        <v>1093</v>
      </c>
      <c r="D761" s="577" t="s">
        <v>1069</v>
      </c>
      <c r="E761" s="577">
        <v>2</v>
      </c>
      <c r="F761" s="582"/>
      <c r="G761" s="603"/>
      <c r="H761" s="603"/>
      <c r="I761" s="577"/>
      <c r="J761" s="604">
        <v>58705</v>
      </c>
      <c r="K761" s="605">
        <f t="shared" si="57"/>
        <v>117410</v>
      </c>
    </row>
    <row r="762" spans="1:11" ht="31.5">
      <c r="A762" s="581">
        <v>94</v>
      </c>
      <c r="B762" s="582" t="s">
        <v>1094</v>
      </c>
      <c r="C762" s="621" t="s">
        <v>1095</v>
      </c>
      <c r="D762" s="577" t="s">
        <v>319</v>
      </c>
      <c r="E762" s="577">
        <v>1</v>
      </c>
      <c r="F762" s="582"/>
      <c r="G762" s="603"/>
      <c r="H762" s="603"/>
      <c r="I762" s="577"/>
      <c r="J762" s="604">
        <v>143552.9</v>
      </c>
      <c r="K762" s="605">
        <f t="shared" si="57"/>
        <v>143552.9</v>
      </c>
    </row>
    <row r="763" spans="1:11" ht="31.5">
      <c r="A763" s="581">
        <v>95</v>
      </c>
      <c r="B763" s="582" t="s">
        <v>1096</v>
      </c>
      <c r="C763" s="621" t="s">
        <v>1097</v>
      </c>
      <c r="D763" s="577" t="s">
        <v>319</v>
      </c>
      <c r="E763" s="577">
        <v>1</v>
      </c>
      <c r="F763" s="582"/>
      <c r="G763" s="603"/>
      <c r="H763" s="603"/>
      <c r="I763" s="577"/>
      <c r="J763" s="604">
        <v>230182.5</v>
      </c>
      <c r="K763" s="605">
        <f t="shared" si="57"/>
        <v>230182.5</v>
      </c>
    </row>
    <row r="764" spans="1:11" ht="31.5">
      <c r="A764" s="581">
        <v>96</v>
      </c>
      <c r="B764" s="582" t="s">
        <v>1098</v>
      </c>
      <c r="C764" s="621" t="s">
        <v>1099</v>
      </c>
      <c r="D764" s="577" t="s">
        <v>319</v>
      </c>
      <c r="E764" s="604">
        <v>0.5</v>
      </c>
      <c r="F764" s="582"/>
      <c r="G764" s="603"/>
      <c r="H764" s="603"/>
      <c r="I764" s="577"/>
      <c r="J764" s="604">
        <v>322995.5</v>
      </c>
      <c r="K764" s="605">
        <f t="shared" si="57"/>
        <v>161497.75</v>
      </c>
    </row>
    <row r="765" spans="1:11" ht="31.5">
      <c r="A765" s="581">
        <v>97</v>
      </c>
      <c r="B765" s="582" t="s">
        <v>333</v>
      </c>
      <c r="C765" s="621" t="s">
        <v>1100</v>
      </c>
      <c r="D765" s="577" t="s">
        <v>319</v>
      </c>
      <c r="E765" s="604">
        <v>0.53</v>
      </c>
      <c r="F765" s="582"/>
      <c r="G765" s="603"/>
      <c r="H765" s="603"/>
      <c r="I765" s="577"/>
      <c r="J765" s="604">
        <v>494726.8</v>
      </c>
      <c r="K765" s="605">
        <f t="shared" si="57"/>
        <v>262205.20400000003</v>
      </c>
    </row>
    <row r="766" spans="1:11" ht="28.5">
      <c r="A766" s="581">
        <v>98</v>
      </c>
      <c r="B766" s="582" t="s">
        <v>1101</v>
      </c>
      <c r="C766" s="620" t="s">
        <v>1102</v>
      </c>
      <c r="D766" s="577" t="s">
        <v>1069</v>
      </c>
      <c r="E766" s="622">
        <v>3</v>
      </c>
      <c r="F766" s="582"/>
      <c r="G766" s="603"/>
      <c r="H766" s="603"/>
      <c r="I766" s="577"/>
      <c r="J766" s="622">
        <v>7000</v>
      </c>
      <c r="K766" s="605">
        <f t="shared" si="57"/>
        <v>21000</v>
      </c>
    </row>
    <row r="767" spans="1:11" ht="28.5">
      <c r="A767" s="581">
        <v>99</v>
      </c>
      <c r="B767" s="582" t="s">
        <v>431</v>
      </c>
      <c r="C767" s="620" t="s">
        <v>1103</v>
      </c>
      <c r="D767" s="577" t="s">
        <v>1069</v>
      </c>
      <c r="E767" s="622"/>
      <c r="F767" s="582"/>
      <c r="G767" s="603"/>
      <c r="H767" s="603"/>
      <c r="I767" s="577">
        <v>1</v>
      </c>
      <c r="J767" s="622">
        <v>2500</v>
      </c>
      <c r="K767" s="605">
        <f t="shared" si="57"/>
        <v>2500</v>
      </c>
    </row>
    <row r="768" spans="1:11" ht="28.5">
      <c r="A768" s="581">
        <v>100</v>
      </c>
      <c r="B768" s="582" t="s">
        <v>1104</v>
      </c>
      <c r="C768" s="620" t="s">
        <v>1105</v>
      </c>
      <c r="D768" s="577" t="s">
        <v>1069</v>
      </c>
      <c r="E768" s="622"/>
      <c r="F768" s="582"/>
      <c r="G768" s="603"/>
      <c r="H768" s="603"/>
      <c r="I768" s="577">
        <v>1</v>
      </c>
      <c r="J768" s="622">
        <v>1500</v>
      </c>
      <c r="K768" s="605">
        <f t="shared" si="57"/>
        <v>1500</v>
      </c>
    </row>
    <row r="769" spans="1:11" ht="31.5">
      <c r="A769" s="581">
        <v>101</v>
      </c>
      <c r="B769" s="582" t="s">
        <v>1106</v>
      </c>
      <c r="C769" s="618" t="s">
        <v>1107</v>
      </c>
      <c r="D769" s="577" t="s">
        <v>1069</v>
      </c>
      <c r="E769" s="622">
        <v>1</v>
      </c>
      <c r="F769" s="582"/>
      <c r="G769" s="603"/>
      <c r="H769" s="603"/>
      <c r="I769" s="577"/>
      <c r="J769" s="604">
        <v>2849.7</v>
      </c>
      <c r="K769" s="605">
        <f t="shared" si="57"/>
        <v>2849.7</v>
      </c>
    </row>
    <row r="770" spans="1:11" ht="31.5">
      <c r="A770" s="581">
        <v>102</v>
      </c>
      <c r="B770" s="582" t="s">
        <v>303</v>
      </c>
      <c r="C770" s="618" t="s">
        <v>1108</v>
      </c>
      <c r="D770" s="577" t="s">
        <v>1069</v>
      </c>
      <c r="E770" s="622">
        <v>3</v>
      </c>
      <c r="F770" s="582"/>
      <c r="G770" s="603"/>
      <c r="H770" s="603"/>
      <c r="I770" s="577"/>
      <c r="J770" s="604">
        <v>2855.6</v>
      </c>
      <c r="K770" s="605">
        <f t="shared" si="57"/>
        <v>8566.7999999999993</v>
      </c>
    </row>
    <row r="771" spans="1:11" ht="28.5">
      <c r="A771" s="581">
        <v>103</v>
      </c>
      <c r="B771" s="582" t="s">
        <v>1109</v>
      </c>
      <c r="C771" s="620" t="s">
        <v>1110</v>
      </c>
      <c r="D771" s="577" t="s">
        <v>193</v>
      </c>
      <c r="E771" s="577"/>
      <c r="F771" s="582"/>
      <c r="G771" s="603"/>
      <c r="H771" s="603"/>
      <c r="I771" s="577">
        <v>15</v>
      </c>
      <c r="J771" s="622">
        <v>350</v>
      </c>
      <c r="K771" s="605">
        <f t="shared" si="57"/>
        <v>5250</v>
      </c>
    </row>
    <row r="772" spans="1:11" ht="28.5">
      <c r="A772" s="581">
        <v>104</v>
      </c>
      <c r="B772" s="582" t="s">
        <v>1111</v>
      </c>
      <c r="C772" s="620" t="s">
        <v>755</v>
      </c>
      <c r="D772" s="577" t="s">
        <v>193</v>
      </c>
      <c r="E772" s="577"/>
      <c r="F772" s="582"/>
      <c r="G772" s="603"/>
      <c r="H772" s="603"/>
      <c r="I772" s="577">
        <v>10</v>
      </c>
      <c r="J772" s="622">
        <v>200</v>
      </c>
      <c r="K772" s="605">
        <f t="shared" si="57"/>
        <v>2000</v>
      </c>
    </row>
    <row r="773" spans="1:11" ht="28.5">
      <c r="A773" s="581">
        <v>105</v>
      </c>
      <c r="B773" s="623" t="s">
        <v>1112</v>
      </c>
      <c r="C773" s="620" t="s">
        <v>1113</v>
      </c>
      <c r="D773" s="577" t="s">
        <v>1069</v>
      </c>
      <c r="E773" s="577"/>
      <c r="F773" s="582"/>
      <c r="G773" s="603"/>
      <c r="H773" s="603"/>
      <c r="I773" s="577">
        <v>7</v>
      </c>
      <c r="J773" s="622">
        <v>200</v>
      </c>
      <c r="K773" s="605">
        <f t="shared" si="57"/>
        <v>1400</v>
      </c>
    </row>
    <row r="774" spans="1:11" ht="28.5">
      <c r="A774" s="581">
        <v>106</v>
      </c>
      <c r="B774" s="582" t="s">
        <v>1114</v>
      </c>
      <c r="C774" s="615" t="s">
        <v>1115</v>
      </c>
      <c r="D774" s="577" t="s">
        <v>1069</v>
      </c>
      <c r="E774" s="577"/>
      <c r="F774" s="582"/>
      <c r="G774" s="603"/>
      <c r="H774" s="603"/>
      <c r="I774" s="577">
        <v>15</v>
      </c>
      <c r="J774" s="622">
        <v>50</v>
      </c>
      <c r="K774" s="605">
        <f t="shared" si="57"/>
        <v>750</v>
      </c>
    </row>
    <row r="775" spans="1:11" ht="28.5">
      <c r="A775" s="581">
        <v>107</v>
      </c>
      <c r="B775" s="577" t="s">
        <v>206</v>
      </c>
      <c r="C775" s="617" t="s">
        <v>1116</v>
      </c>
      <c r="D775" s="577" t="s">
        <v>1069</v>
      </c>
      <c r="E775" s="577"/>
      <c r="F775" s="582"/>
      <c r="G775" s="603"/>
      <c r="H775" s="603"/>
      <c r="I775" s="577">
        <v>3</v>
      </c>
      <c r="J775" s="622">
        <v>5000</v>
      </c>
      <c r="K775" s="605">
        <f t="shared" si="57"/>
        <v>15000</v>
      </c>
    </row>
    <row r="776" spans="1:11" ht="47.25">
      <c r="A776" s="581">
        <v>108</v>
      </c>
      <c r="B776" s="580" t="s">
        <v>1047</v>
      </c>
      <c r="C776" s="624" t="s">
        <v>1117</v>
      </c>
      <c r="D776" s="577" t="s">
        <v>1069</v>
      </c>
      <c r="E776" s="577">
        <v>3</v>
      </c>
      <c r="F776" s="582"/>
      <c r="G776" s="603"/>
      <c r="H776" s="603"/>
      <c r="I776" s="577"/>
      <c r="J776" s="604">
        <v>92021.36</v>
      </c>
      <c r="K776" s="605">
        <f t="shared" si="57"/>
        <v>276064.08</v>
      </c>
    </row>
    <row r="777" spans="1:11" ht="63">
      <c r="A777" s="581">
        <v>113</v>
      </c>
      <c r="B777" s="625" t="s">
        <v>1118</v>
      </c>
      <c r="C777" s="613" t="s">
        <v>1119</v>
      </c>
      <c r="D777" s="577" t="s">
        <v>1069</v>
      </c>
      <c r="E777" s="577">
        <v>1</v>
      </c>
      <c r="F777" s="582"/>
      <c r="G777" s="603"/>
      <c r="H777" s="603"/>
      <c r="I777" s="577"/>
      <c r="J777" s="604">
        <v>315100.79999999999</v>
      </c>
      <c r="K777" s="605">
        <f t="shared" si="57"/>
        <v>315100.79999999999</v>
      </c>
    </row>
    <row r="778" spans="1:11" ht="28.5">
      <c r="A778" s="581">
        <v>115</v>
      </c>
      <c r="B778" s="582" t="s">
        <v>1074</v>
      </c>
      <c r="C778" s="616" t="s">
        <v>1120</v>
      </c>
      <c r="D778" s="577" t="s">
        <v>1069</v>
      </c>
      <c r="E778" s="577"/>
      <c r="F778" s="582"/>
      <c r="G778" s="603"/>
      <c r="H778" s="603"/>
      <c r="I778" s="577">
        <v>1</v>
      </c>
      <c r="J778" s="622">
        <v>3000</v>
      </c>
      <c r="K778" s="605">
        <f t="shared" si="57"/>
        <v>3000</v>
      </c>
    </row>
    <row r="779" spans="1:11" ht="31.5">
      <c r="A779" s="581">
        <v>116</v>
      </c>
      <c r="B779" s="582" t="s">
        <v>1121</v>
      </c>
      <c r="C779" s="626" t="s">
        <v>1122</v>
      </c>
      <c r="D779" s="577" t="s">
        <v>1069</v>
      </c>
      <c r="E779" s="577">
        <v>5</v>
      </c>
      <c r="F779" s="582"/>
      <c r="G779" s="603"/>
      <c r="H779" s="603"/>
      <c r="I779" s="577"/>
      <c r="J779" s="622">
        <v>23541</v>
      </c>
      <c r="K779" s="605">
        <f t="shared" si="57"/>
        <v>117705</v>
      </c>
    </row>
    <row r="780" spans="1:11" ht="28.5">
      <c r="A780" s="581">
        <v>117</v>
      </c>
      <c r="B780" s="582" t="s">
        <v>693</v>
      </c>
      <c r="C780" s="627" t="s">
        <v>1123</v>
      </c>
      <c r="D780" s="577"/>
      <c r="E780" s="577">
        <v>10</v>
      </c>
      <c r="F780" s="582"/>
      <c r="G780" s="603"/>
      <c r="H780" s="603"/>
      <c r="I780" s="577"/>
      <c r="J780" s="604">
        <v>2846.16</v>
      </c>
      <c r="K780" s="605">
        <f t="shared" si="57"/>
        <v>28461.599999999999</v>
      </c>
    </row>
    <row r="781" spans="1:11" ht="28.5">
      <c r="A781" s="581">
        <v>118</v>
      </c>
      <c r="B781" s="582" t="s">
        <v>336</v>
      </c>
      <c r="C781" s="627" t="s">
        <v>1124</v>
      </c>
      <c r="D781" s="577"/>
      <c r="E781" s="577">
        <v>10</v>
      </c>
      <c r="F781" s="582"/>
      <c r="G781" s="603"/>
      <c r="H781" s="603"/>
      <c r="I781" s="577"/>
      <c r="J781" s="604">
        <v>2947.64</v>
      </c>
      <c r="K781" s="605">
        <f t="shared" si="57"/>
        <v>29476.399999999998</v>
      </c>
    </row>
    <row r="782" spans="1:11" ht="31.5">
      <c r="A782" s="581">
        <v>119</v>
      </c>
      <c r="B782" s="582" t="s">
        <v>1106</v>
      </c>
      <c r="C782" s="612" t="s">
        <v>1125</v>
      </c>
      <c r="D782" s="577"/>
      <c r="E782" s="577">
        <v>8</v>
      </c>
      <c r="F782" s="582"/>
      <c r="G782" s="603"/>
      <c r="H782" s="603"/>
      <c r="I782" s="577"/>
      <c r="J782" s="604">
        <v>2637.3</v>
      </c>
      <c r="K782" s="605">
        <f t="shared" si="57"/>
        <v>21098.400000000001</v>
      </c>
    </row>
    <row r="783" spans="1:11" ht="31.5">
      <c r="A783" s="581">
        <v>120</v>
      </c>
      <c r="B783" s="582" t="s">
        <v>1126</v>
      </c>
      <c r="C783" s="612" t="s">
        <v>1127</v>
      </c>
      <c r="D783" s="577"/>
      <c r="E783" s="577">
        <v>8</v>
      </c>
      <c r="F783" s="582"/>
      <c r="G783" s="603"/>
      <c r="H783" s="603"/>
      <c r="I783" s="577"/>
      <c r="J783" s="604">
        <v>2715.18</v>
      </c>
      <c r="K783" s="605">
        <f t="shared" si="57"/>
        <v>21721.439999999999</v>
      </c>
    </row>
    <row r="784" spans="1:11" ht="28.5">
      <c r="A784" s="581">
        <v>121</v>
      </c>
      <c r="B784" s="582" t="s">
        <v>693</v>
      </c>
      <c r="C784" s="627" t="s">
        <v>1128</v>
      </c>
      <c r="D784" s="577"/>
      <c r="E784" s="577">
        <v>8</v>
      </c>
      <c r="F784" s="582"/>
      <c r="G784" s="603"/>
      <c r="H784" s="603"/>
      <c r="I784" s="577"/>
      <c r="J784" s="604">
        <v>2566.5</v>
      </c>
      <c r="K784" s="605">
        <f t="shared" si="57"/>
        <v>20532</v>
      </c>
    </row>
    <row r="785" spans="1:15" ht="28.5">
      <c r="A785" s="581">
        <v>122</v>
      </c>
      <c r="B785" s="582" t="s">
        <v>1106</v>
      </c>
      <c r="C785" s="627" t="s">
        <v>1129</v>
      </c>
      <c r="D785" s="577"/>
      <c r="E785" s="577">
        <v>8</v>
      </c>
      <c r="F785" s="582"/>
      <c r="G785" s="603"/>
      <c r="H785" s="603"/>
      <c r="I785" s="577"/>
      <c r="J785" s="604">
        <v>2849.7</v>
      </c>
      <c r="K785" s="605">
        <f t="shared" si="57"/>
        <v>22797.599999999999</v>
      </c>
    </row>
    <row r="786" spans="1:15" ht="28.5">
      <c r="A786" s="581">
        <v>123</v>
      </c>
      <c r="B786" s="582" t="s">
        <v>1106</v>
      </c>
      <c r="C786" s="627" t="s">
        <v>1130</v>
      </c>
      <c r="D786" s="577"/>
      <c r="E786" s="577">
        <v>8</v>
      </c>
      <c r="F786" s="582"/>
      <c r="G786" s="603"/>
      <c r="H786" s="603"/>
      <c r="I786" s="577"/>
      <c r="J786" s="577">
        <v>2537</v>
      </c>
      <c r="K786" s="605">
        <f t="shared" si="57"/>
        <v>20296</v>
      </c>
    </row>
    <row r="787" spans="1:15" ht="31.5">
      <c r="A787" s="581">
        <v>124</v>
      </c>
      <c r="B787" s="582" t="s">
        <v>1126</v>
      </c>
      <c r="C787" s="612" t="s">
        <v>1131</v>
      </c>
      <c r="D787" s="577"/>
      <c r="E787" s="577">
        <v>8</v>
      </c>
      <c r="F787" s="582"/>
      <c r="G787" s="603"/>
      <c r="H787" s="603"/>
      <c r="I787" s="577"/>
      <c r="J787" s="604">
        <v>2433.16</v>
      </c>
      <c r="K787" s="605">
        <f t="shared" si="57"/>
        <v>19465.28</v>
      </c>
    </row>
    <row r="788" spans="1:15" ht="18.75">
      <c r="A788" s="581">
        <v>127</v>
      </c>
      <c r="B788" s="582" t="s">
        <v>1121</v>
      </c>
      <c r="C788" s="613" t="s">
        <v>1132</v>
      </c>
      <c r="D788" s="577"/>
      <c r="E788" s="577">
        <v>100</v>
      </c>
      <c r="F788" s="577"/>
      <c r="G788" s="577"/>
      <c r="H788" s="577"/>
      <c r="I788" s="577"/>
      <c r="J788" s="604">
        <v>1917.5</v>
      </c>
      <c r="K788" s="605">
        <f t="shared" si="57"/>
        <v>191750</v>
      </c>
    </row>
    <row r="789" spans="1:15" ht="18.75">
      <c r="A789" s="581">
        <v>128</v>
      </c>
      <c r="B789" s="582" t="s">
        <v>1133</v>
      </c>
      <c r="C789" s="616" t="s">
        <v>1134</v>
      </c>
      <c r="D789" s="577"/>
      <c r="E789" s="577">
        <v>6</v>
      </c>
      <c r="F789" s="577"/>
      <c r="G789" s="577"/>
      <c r="H789" s="577"/>
      <c r="I789" s="577"/>
      <c r="J789" s="604">
        <v>8821.68</v>
      </c>
      <c r="K789" s="605">
        <f t="shared" si="57"/>
        <v>52930.080000000002</v>
      </c>
    </row>
    <row r="790" spans="1:15" ht="18.75">
      <c r="A790" s="581">
        <v>129</v>
      </c>
      <c r="B790" s="582" t="s">
        <v>1135</v>
      </c>
      <c r="C790" s="616" t="s">
        <v>1136</v>
      </c>
      <c r="D790" s="577"/>
      <c r="E790" s="577">
        <v>6</v>
      </c>
      <c r="F790" s="577"/>
      <c r="G790" s="577"/>
      <c r="H790" s="577"/>
      <c r="I790" s="577"/>
      <c r="J790" s="604">
        <v>8821.68</v>
      </c>
      <c r="K790" s="605">
        <f t="shared" si="57"/>
        <v>52930.080000000002</v>
      </c>
    </row>
    <row r="791" spans="1:15" ht="18.75">
      <c r="A791" s="581">
        <v>130</v>
      </c>
      <c r="B791" s="582" t="s">
        <v>1137</v>
      </c>
      <c r="C791" s="616" t="s">
        <v>1138</v>
      </c>
      <c r="D791" s="577"/>
      <c r="E791" s="577">
        <v>4</v>
      </c>
      <c r="F791" s="577"/>
      <c r="G791" s="577"/>
      <c r="H791" s="577"/>
      <c r="I791" s="577"/>
      <c r="J791" s="604">
        <v>8991.6</v>
      </c>
      <c r="K791" s="605">
        <f t="shared" si="57"/>
        <v>35966.400000000001</v>
      </c>
    </row>
    <row r="792" spans="1:15" ht="18.75">
      <c r="A792" s="581">
        <v>131</v>
      </c>
      <c r="B792" s="582" t="s">
        <v>1139</v>
      </c>
      <c r="C792" s="616" t="s">
        <v>1140</v>
      </c>
      <c r="D792" s="577"/>
      <c r="E792" s="577">
        <v>5</v>
      </c>
      <c r="F792" s="577"/>
      <c r="G792" s="577"/>
      <c r="H792" s="577"/>
      <c r="I792" s="577"/>
      <c r="J792" s="604">
        <v>8991.6</v>
      </c>
      <c r="K792" s="605">
        <f t="shared" si="57"/>
        <v>44958</v>
      </c>
    </row>
    <row r="793" spans="1:15" ht="18.75">
      <c r="A793" s="581">
        <v>132</v>
      </c>
      <c r="B793" s="628" t="s">
        <v>1141</v>
      </c>
      <c r="C793" s="616" t="s">
        <v>1142</v>
      </c>
      <c r="D793" s="577"/>
      <c r="E793" s="577">
        <v>5</v>
      </c>
      <c r="F793" s="577"/>
      <c r="G793" s="577"/>
      <c r="H793" s="577"/>
      <c r="I793" s="577"/>
      <c r="J793" s="604">
        <v>9121.4</v>
      </c>
      <c r="K793" s="605">
        <f t="shared" si="57"/>
        <v>45607</v>
      </c>
    </row>
    <row r="794" spans="1:15" ht="18.75">
      <c r="A794" s="582"/>
      <c r="B794" s="580"/>
      <c r="C794" s="587"/>
      <c r="D794" s="582"/>
      <c r="E794" s="629"/>
      <c r="F794" s="592"/>
      <c r="G794" s="592"/>
      <c r="H794" s="592"/>
      <c r="I794" s="592"/>
      <c r="J794" s="580" t="s">
        <v>421</v>
      </c>
      <c r="K794" s="630">
        <f>SUM(K713:K793)</f>
        <v>5182069.4000000013</v>
      </c>
    </row>
    <row r="795" spans="1:15" ht="28.5">
      <c r="A795" s="631"/>
      <c r="B795" s="632"/>
      <c r="C795" s="633"/>
      <c r="D795" s="631"/>
      <c r="E795" s="634"/>
      <c r="F795" s="635"/>
      <c r="G795" s="635"/>
      <c r="H795" s="635"/>
      <c r="I795" s="635"/>
      <c r="J795" s="636"/>
      <c r="K795" s="637"/>
    </row>
    <row r="796" spans="1:15" ht="28.5">
      <c r="A796" s="631"/>
      <c r="B796" s="635"/>
      <c r="C796" s="633"/>
      <c r="D796" s="631"/>
      <c r="E796" s="635"/>
      <c r="F796" s="635"/>
      <c r="G796" s="635"/>
      <c r="H796" s="635"/>
      <c r="I796" s="635"/>
      <c r="J796" s="565"/>
      <c r="K796" s="566"/>
    </row>
    <row r="797" spans="1:15" ht="28.5">
      <c r="A797" s="635"/>
      <c r="B797" s="635"/>
      <c r="C797" s="633"/>
      <c r="D797" s="635"/>
      <c r="E797" s="635"/>
      <c r="F797" s="635"/>
      <c r="G797" s="635"/>
      <c r="H797" s="635"/>
      <c r="I797" s="635"/>
      <c r="J797" s="636"/>
      <c r="K797" s="566"/>
    </row>
    <row r="798" spans="1:15" ht="28.5">
      <c r="A798" s="638"/>
      <c r="B798" s="639" t="s">
        <v>1143</v>
      </c>
      <c r="C798" s="633"/>
      <c r="D798" s="638"/>
      <c r="E798" s="565" t="s">
        <v>1144</v>
      </c>
      <c r="F798" s="638"/>
      <c r="G798" s="640"/>
      <c r="H798" s="640"/>
      <c r="I798" s="638"/>
      <c r="J798" s="565" t="s">
        <v>1145</v>
      </c>
      <c r="K798" s="638"/>
    </row>
    <row r="800" spans="1:15" ht="18.75">
      <c r="A800" s="641" t="s">
        <v>1146</v>
      </c>
      <c r="B800" s="641"/>
      <c r="C800" s="641"/>
      <c r="D800" s="641"/>
      <c r="E800" s="641"/>
      <c r="F800" s="641"/>
      <c r="G800" s="641"/>
      <c r="H800" s="641"/>
      <c r="I800" s="641"/>
      <c r="J800" s="641"/>
      <c r="K800" s="641"/>
      <c r="L800" s="641"/>
      <c r="M800" s="641"/>
      <c r="N800" s="641"/>
      <c r="O800" s="641"/>
    </row>
    <row r="801" spans="1:15">
      <c r="A801" s="642" t="s">
        <v>1147</v>
      </c>
      <c r="B801" s="642"/>
      <c r="C801" s="642"/>
      <c r="D801" s="642"/>
      <c r="E801" s="642"/>
      <c r="F801" s="642"/>
      <c r="G801" s="642"/>
      <c r="H801" s="642"/>
      <c r="I801" s="642"/>
      <c r="J801" s="642"/>
      <c r="K801" s="642"/>
      <c r="L801" s="642"/>
      <c r="M801" s="642"/>
    </row>
    <row r="802" spans="1:15">
      <c r="A802" s="642" t="s">
        <v>1148</v>
      </c>
      <c r="B802" s="642"/>
      <c r="C802" s="642"/>
      <c r="D802" s="642"/>
      <c r="E802" s="642"/>
      <c r="F802" s="642"/>
      <c r="G802" s="642"/>
      <c r="H802" s="642"/>
      <c r="I802" s="642"/>
      <c r="J802" s="642"/>
      <c r="K802" s="642"/>
      <c r="L802" s="642"/>
      <c r="M802" s="642"/>
    </row>
    <row r="803" spans="1:15" ht="18">
      <c r="A803" s="643"/>
      <c r="B803" s="643"/>
      <c r="C803" s="643"/>
      <c r="D803" s="643"/>
      <c r="E803" s="643"/>
      <c r="F803" s="643"/>
      <c r="G803" s="643"/>
      <c r="H803" s="643"/>
      <c r="I803" s="643"/>
      <c r="J803" s="643"/>
      <c r="K803" s="643"/>
      <c r="L803" s="643"/>
      <c r="M803" s="643"/>
      <c r="N803" s="643"/>
      <c r="O803" s="643"/>
    </row>
    <row r="804" spans="1:15">
      <c r="A804" s="644"/>
      <c r="B804" s="644"/>
      <c r="C804" s="644"/>
      <c r="D804" s="644"/>
      <c r="E804" s="645" t="s">
        <v>1149</v>
      </c>
      <c r="F804" s="646" t="s">
        <v>1150</v>
      </c>
      <c r="G804" s="647"/>
      <c r="H804" s="648" t="s">
        <v>1151</v>
      </c>
      <c r="I804" s="648"/>
      <c r="J804" s="648" t="s">
        <v>1152</v>
      </c>
      <c r="K804" s="648"/>
      <c r="L804" s="648" t="s">
        <v>1153</v>
      </c>
      <c r="M804" s="648"/>
      <c r="N804" s="648" t="s">
        <v>1154</v>
      </c>
      <c r="O804" s="648"/>
    </row>
    <row r="805" spans="1:15" ht="45">
      <c r="A805" s="649" t="s">
        <v>1016</v>
      </c>
      <c r="B805" s="649" t="s">
        <v>262</v>
      </c>
      <c r="C805" s="649" t="s">
        <v>1155</v>
      </c>
      <c r="D805" s="649" t="s">
        <v>584</v>
      </c>
      <c r="E805" s="650"/>
      <c r="F805" s="649" t="s">
        <v>1156</v>
      </c>
      <c r="G805" s="651" t="s">
        <v>1157</v>
      </c>
      <c r="H805" s="649" t="s">
        <v>1156</v>
      </c>
      <c r="I805" s="651" t="s">
        <v>1157</v>
      </c>
      <c r="J805" s="649" t="s">
        <v>1156</v>
      </c>
      <c r="K805" s="651" t="s">
        <v>1157</v>
      </c>
      <c r="L805" s="649" t="s">
        <v>1156</v>
      </c>
      <c r="M805" s="651" t="s">
        <v>1157</v>
      </c>
      <c r="N805" s="649" t="s">
        <v>1156</v>
      </c>
      <c r="O805" s="651" t="s">
        <v>1157</v>
      </c>
    </row>
    <row r="806" spans="1:15">
      <c r="A806" s="652">
        <v>1</v>
      </c>
      <c r="B806" s="653" t="s">
        <v>294</v>
      </c>
      <c r="C806" s="654" t="s">
        <v>1158</v>
      </c>
      <c r="D806" s="652" t="s">
        <v>9</v>
      </c>
      <c r="E806" s="655">
        <v>300</v>
      </c>
      <c r="F806" s="652">
        <v>3</v>
      </c>
      <c r="G806" s="656">
        <f>E806*F806</f>
        <v>900</v>
      </c>
      <c r="H806" s="652" t="s">
        <v>1159</v>
      </c>
      <c r="I806" s="652" t="s">
        <v>1159</v>
      </c>
      <c r="J806" s="652" t="s">
        <v>1159</v>
      </c>
      <c r="K806" s="652" t="s">
        <v>1159</v>
      </c>
      <c r="L806" s="652" t="s">
        <v>1159</v>
      </c>
      <c r="M806" s="652" t="s">
        <v>1159</v>
      </c>
      <c r="N806" s="652" t="s">
        <v>1159</v>
      </c>
      <c r="O806" s="652" t="s">
        <v>1159</v>
      </c>
    </row>
    <row r="807" spans="1:15">
      <c r="A807" s="652">
        <v>2</v>
      </c>
      <c r="B807" s="653" t="s">
        <v>615</v>
      </c>
      <c r="C807" s="654" t="s">
        <v>1160</v>
      </c>
      <c r="D807" s="653" t="s">
        <v>2</v>
      </c>
      <c r="E807" s="657">
        <v>20</v>
      </c>
      <c r="F807" s="653">
        <v>4400</v>
      </c>
      <c r="G807" s="658">
        <f t="shared" ref="G807:G870" si="58">E807*F807</f>
        <v>88000</v>
      </c>
      <c r="H807" s="652" t="s">
        <v>1159</v>
      </c>
      <c r="I807" s="652" t="s">
        <v>1159</v>
      </c>
      <c r="J807" s="652" t="s">
        <v>1159</v>
      </c>
      <c r="K807" s="652" t="s">
        <v>1159</v>
      </c>
      <c r="L807" s="652" t="s">
        <v>1159</v>
      </c>
      <c r="M807" s="652" t="s">
        <v>1159</v>
      </c>
      <c r="N807" s="652" t="s">
        <v>1159</v>
      </c>
      <c r="O807" s="652" t="s">
        <v>1159</v>
      </c>
    </row>
    <row r="808" spans="1:15">
      <c r="A808" s="652">
        <v>3</v>
      </c>
      <c r="B808" s="653" t="s">
        <v>170</v>
      </c>
      <c r="C808" s="654" t="s">
        <v>1161</v>
      </c>
      <c r="D808" s="652" t="s">
        <v>2</v>
      </c>
      <c r="E808" s="655">
        <v>200</v>
      </c>
      <c r="F808" s="652">
        <v>10</v>
      </c>
      <c r="G808" s="656">
        <f t="shared" si="58"/>
        <v>2000</v>
      </c>
      <c r="H808" s="652" t="s">
        <v>1159</v>
      </c>
      <c r="I808" s="652" t="s">
        <v>1159</v>
      </c>
      <c r="J808" s="652" t="s">
        <v>1159</v>
      </c>
      <c r="K808" s="652" t="s">
        <v>1159</v>
      </c>
      <c r="L808" s="652" t="s">
        <v>1159</v>
      </c>
      <c r="M808" s="652" t="s">
        <v>1159</v>
      </c>
      <c r="N808" s="652" t="s">
        <v>1159</v>
      </c>
      <c r="O808" s="652" t="s">
        <v>1159</v>
      </c>
    </row>
    <row r="809" spans="1:15">
      <c r="A809" s="652">
        <v>4</v>
      </c>
      <c r="B809" s="653" t="s">
        <v>558</v>
      </c>
      <c r="C809" s="654" t="s">
        <v>1162</v>
      </c>
      <c r="D809" s="652" t="s">
        <v>2</v>
      </c>
      <c r="E809" s="655">
        <v>700</v>
      </c>
      <c r="F809" s="652">
        <v>19</v>
      </c>
      <c r="G809" s="656">
        <f t="shared" si="58"/>
        <v>13300</v>
      </c>
      <c r="H809" s="652" t="s">
        <v>1159</v>
      </c>
      <c r="I809" s="652" t="s">
        <v>1159</v>
      </c>
      <c r="J809" s="652" t="s">
        <v>1159</v>
      </c>
      <c r="K809" s="652" t="s">
        <v>1159</v>
      </c>
      <c r="L809" s="652" t="s">
        <v>1159</v>
      </c>
      <c r="M809" s="652" t="s">
        <v>1159</v>
      </c>
      <c r="N809" s="652" t="s">
        <v>1159</v>
      </c>
      <c r="O809" s="652" t="s">
        <v>1159</v>
      </c>
    </row>
    <row r="810" spans="1:15">
      <c r="A810" s="652">
        <v>5</v>
      </c>
      <c r="B810" s="653" t="s">
        <v>355</v>
      </c>
      <c r="C810" s="654" t="s">
        <v>1163</v>
      </c>
      <c r="D810" s="652" t="s">
        <v>2</v>
      </c>
      <c r="E810" s="655">
        <v>1050</v>
      </c>
      <c r="F810" s="652">
        <v>4</v>
      </c>
      <c r="G810" s="656">
        <f t="shared" si="58"/>
        <v>4200</v>
      </c>
      <c r="H810" s="652" t="s">
        <v>1159</v>
      </c>
      <c r="I810" s="652" t="s">
        <v>1159</v>
      </c>
      <c r="J810" s="652" t="s">
        <v>1159</v>
      </c>
      <c r="K810" s="652" t="s">
        <v>1159</v>
      </c>
      <c r="L810" s="652" t="s">
        <v>1159</v>
      </c>
      <c r="M810" s="652" t="s">
        <v>1159</v>
      </c>
      <c r="N810" s="652" t="s">
        <v>1159</v>
      </c>
      <c r="O810" s="652" t="s">
        <v>1159</v>
      </c>
    </row>
    <row r="811" spans="1:15">
      <c r="A811" s="652">
        <v>6</v>
      </c>
      <c r="B811" s="653" t="s">
        <v>173</v>
      </c>
      <c r="C811" s="659" t="s">
        <v>1164</v>
      </c>
      <c r="D811" s="652" t="s">
        <v>287</v>
      </c>
      <c r="E811" s="655">
        <v>25000</v>
      </c>
      <c r="F811" s="652">
        <v>4.2569999999999997</v>
      </c>
      <c r="G811" s="656">
        <f t="shared" si="58"/>
        <v>106424.99999999999</v>
      </c>
      <c r="H811" s="652" t="s">
        <v>1159</v>
      </c>
      <c r="I811" s="652" t="s">
        <v>1159</v>
      </c>
      <c r="J811" s="652" t="s">
        <v>1159</v>
      </c>
      <c r="K811" s="652" t="s">
        <v>1159</v>
      </c>
      <c r="L811" s="652" t="s">
        <v>1159</v>
      </c>
      <c r="M811" s="652" t="s">
        <v>1159</v>
      </c>
      <c r="N811" s="652" t="s">
        <v>1159</v>
      </c>
      <c r="O811" s="652" t="s">
        <v>1159</v>
      </c>
    </row>
    <row r="812" spans="1:15">
      <c r="A812" s="652">
        <v>7</v>
      </c>
      <c r="B812" s="653" t="s">
        <v>173</v>
      </c>
      <c r="C812" s="659" t="s">
        <v>1165</v>
      </c>
      <c r="D812" s="652" t="s">
        <v>324</v>
      </c>
      <c r="E812" s="655">
        <v>40000</v>
      </c>
      <c r="F812" s="652">
        <v>2.1419999999999999</v>
      </c>
      <c r="G812" s="656">
        <f>E812*F812</f>
        <v>85680</v>
      </c>
      <c r="H812" s="652" t="s">
        <v>1159</v>
      </c>
      <c r="I812" s="652" t="s">
        <v>1159</v>
      </c>
      <c r="J812" s="652" t="s">
        <v>1159</v>
      </c>
      <c r="K812" s="652" t="s">
        <v>1159</v>
      </c>
      <c r="L812" s="652" t="s">
        <v>1159</v>
      </c>
      <c r="M812" s="652" t="s">
        <v>1159</v>
      </c>
      <c r="N812" s="652" t="s">
        <v>1159</v>
      </c>
      <c r="O812" s="652" t="s">
        <v>1159</v>
      </c>
    </row>
    <row r="813" spans="1:15">
      <c r="A813" s="652">
        <v>8</v>
      </c>
      <c r="B813" s="653" t="s">
        <v>1166</v>
      </c>
      <c r="C813" s="659" t="s">
        <v>1167</v>
      </c>
      <c r="D813" s="652" t="s">
        <v>1024</v>
      </c>
      <c r="E813" s="655">
        <v>85</v>
      </c>
      <c r="F813" s="652">
        <v>200</v>
      </c>
      <c r="G813" s="656">
        <f t="shared" si="58"/>
        <v>17000</v>
      </c>
      <c r="H813" s="652" t="s">
        <v>1159</v>
      </c>
      <c r="I813" s="652" t="s">
        <v>1159</v>
      </c>
      <c r="J813" s="652" t="s">
        <v>1159</v>
      </c>
      <c r="K813" s="652" t="s">
        <v>1159</v>
      </c>
      <c r="L813" s="652" t="s">
        <v>1159</v>
      </c>
      <c r="M813" s="652" t="s">
        <v>1159</v>
      </c>
      <c r="N813" s="652" t="s">
        <v>1159</v>
      </c>
      <c r="O813" s="652" t="s">
        <v>1159</v>
      </c>
    </row>
    <row r="814" spans="1:15">
      <c r="A814" s="652">
        <v>9</v>
      </c>
      <c r="B814" s="653" t="s">
        <v>1168</v>
      </c>
      <c r="C814" s="659" t="s">
        <v>1169</v>
      </c>
      <c r="D814" s="652" t="s">
        <v>2</v>
      </c>
      <c r="E814" s="655">
        <v>6000</v>
      </c>
      <c r="F814" s="652">
        <v>1</v>
      </c>
      <c r="G814" s="656">
        <f t="shared" si="58"/>
        <v>6000</v>
      </c>
      <c r="H814" s="652" t="s">
        <v>1159</v>
      </c>
      <c r="I814" s="652" t="s">
        <v>1159</v>
      </c>
      <c r="J814" s="652" t="s">
        <v>1159</v>
      </c>
      <c r="K814" s="652" t="s">
        <v>1159</v>
      </c>
      <c r="L814" s="652" t="s">
        <v>1159</v>
      </c>
      <c r="M814" s="652" t="s">
        <v>1159</v>
      </c>
      <c r="N814" s="652" t="s">
        <v>1159</v>
      </c>
      <c r="O814" s="652" t="s">
        <v>1159</v>
      </c>
    </row>
    <row r="815" spans="1:15">
      <c r="A815" s="652">
        <v>10</v>
      </c>
      <c r="B815" s="653" t="s">
        <v>1170</v>
      </c>
      <c r="C815" s="659" t="s">
        <v>1171</v>
      </c>
      <c r="D815" s="652" t="s">
        <v>2</v>
      </c>
      <c r="E815" s="655">
        <v>12000</v>
      </c>
      <c r="F815" s="652">
        <v>2</v>
      </c>
      <c r="G815" s="656">
        <f t="shared" si="58"/>
        <v>24000</v>
      </c>
      <c r="H815" s="652" t="s">
        <v>1159</v>
      </c>
      <c r="I815" s="652" t="s">
        <v>1159</v>
      </c>
      <c r="J815" s="652" t="s">
        <v>1159</v>
      </c>
      <c r="K815" s="652" t="s">
        <v>1159</v>
      </c>
      <c r="L815" s="652" t="s">
        <v>1159</v>
      </c>
      <c r="M815" s="652" t="s">
        <v>1159</v>
      </c>
      <c r="N815" s="652" t="s">
        <v>1159</v>
      </c>
      <c r="O815" s="652" t="s">
        <v>1159</v>
      </c>
    </row>
    <row r="816" spans="1:15">
      <c r="A816" s="652">
        <v>11</v>
      </c>
      <c r="B816" s="653" t="s">
        <v>174</v>
      </c>
      <c r="C816" s="660" t="s">
        <v>1172</v>
      </c>
      <c r="D816" s="661" t="s">
        <v>1024</v>
      </c>
      <c r="E816" s="662">
        <v>30</v>
      </c>
      <c r="F816" s="661">
        <v>200</v>
      </c>
      <c r="G816" s="656">
        <f t="shared" si="58"/>
        <v>6000</v>
      </c>
      <c r="H816" s="652" t="s">
        <v>1159</v>
      </c>
      <c r="I816" s="652" t="s">
        <v>1159</v>
      </c>
      <c r="J816" s="652" t="s">
        <v>1159</v>
      </c>
      <c r="K816" s="652" t="s">
        <v>1159</v>
      </c>
      <c r="L816" s="652" t="s">
        <v>1159</v>
      </c>
      <c r="M816" s="652" t="s">
        <v>1159</v>
      </c>
      <c r="N816" s="652" t="s">
        <v>1159</v>
      </c>
      <c r="O816" s="652" t="s">
        <v>1159</v>
      </c>
    </row>
    <row r="817" spans="1:15">
      <c r="A817" s="652">
        <v>12</v>
      </c>
      <c r="B817" s="653" t="s">
        <v>1173</v>
      </c>
      <c r="C817" s="659" t="s">
        <v>1174</v>
      </c>
      <c r="D817" s="652" t="s">
        <v>2</v>
      </c>
      <c r="E817" s="655">
        <v>200</v>
      </c>
      <c r="F817" s="652">
        <v>91</v>
      </c>
      <c r="G817" s="656">
        <f t="shared" si="58"/>
        <v>18200</v>
      </c>
      <c r="H817" s="652" t="s">
        <v>1159</v>
      </c>
      <c r="I817" s="652" t="s">
        <v>1159</v>
      </c>
      <c r="J817" s="652" t="s">
        <v>1159</v>
      </c>
      <c r="K817" s="652" t="s">
        <v>1159</v>
      </c>
      <c r="L817" s="652" t="s">
        <v>1159</v>
      </c>
      <c r="M817" s="652" t="s">
        <v>1159</v>
      </c>
      <c r="N817" s="652" t="s">
        <v>1159</v>
      </c>
      <c r="O817" s="652" t="s">
        <v>1159</v>
      </c>
    </row>
    <row r="818" spans="1:15">
      <c r="A818" s="652">
        <v>13</v>
      </c>
      <c r="B818" s="653" t="s">
        <v>1175</v>
      </c>
      <c r="C818" s="659" t="s">
        <v>1176</v>
      </c>
      <c r="D818" s="652" t="s">
        <v>2</v>
      </c>
      <c r="E818" s="655">
        <v>250</v>
      </c>
      <c r="F818" s="652">
        <v>14</v>
      </c>
      <c r="G818" s="656">
        <f t="shared" si="58"/>
        <v>3500</v>
      </c>
      <c r="H818" s="652" t="s">
        <v>1159</v>
      </c>
      <c r="I818" s="652" t="s">
        <v>1159</v>
      </c>
      <c r="J818" s="652" t="s">
        <v>1159</v>
      </c>
      <c r="K818" s="652" t="s">
        <v>1159</v>
      </c>
      <c r="L818" s="652" t="s">
        <v>1159</v>
      </c>
      <c r="M818" s="652" t="s">
        <v>1159</v>
      </c>
      <c r="N818" s="652" t="s">
        <v>1159</v>
      </c>
      <c r="O818" s="652" t="s">
        <v>1159</v>
      </c>
    </row>
    <row r="819" spans="1:15">
      <c r="A819" s="652">
        <v>14</v>
      </c>
      <c r="B819" s="653" t="s">
        <v>1177</v>
      </c>
      <c r="C819" s="659" t="s">
        <v>1178</v>
      </c>
      <c r="D819" s="652" t="s">
        <v>2</v>
      </c>
      <c r="E819" s="655">
        <v>100</v>
      </c>
      <c r="F819" s="652">
        <v>22</v>
      </c>
      <c r="G819" s="656">
        <f t="shared" si="58"/>
        <v>2200</v>
      </c>
      <c r="H819" s="652" t="s">
        <v>1159</v>
      </c>
      <c r="I819" s="652" t="s">
        <v>1159</v>
      </c>
      <c r="J819" s="652" t="s">
        <v>1159</v>
      </c>
      <c r="K819" s="652" t="s">
        <v>1159</v>
      </c>
      <c r="L819" s="652" t="s">
        <v>1159</v>
      </c>
      <c r="M819" s="652" t="s">
        <v>1159</v>
      </c>
      <c r="N819" s="652" t="s">
        <v>1159</v>
      </c>
      <c r="O819" s="652" t="s">
        <v>1159</v>
      </c>
    </row>
    <row r="820" spans="1:15">
      <c r="A820" s="652">
        <v>15</v>
      </c>
      <c r="B820" s="653" t="s">
        <v>1179</v>
      </c>
      <c r="C820" s="659" t="s">
        <v>1180</v>
      </c>
      <c r="D820" s="652" t="s">
        <v>2</v>
      </c>
      <c r="E820" s="655">
        <v>120</v>
      </c>
      <c r="F820" s="652">
        <v>6</v>
      </c>
      <c r="G820" s="656">
        <f t="shared" si="58"/>
        <v>720</v>
      </c>
      <c r="H820" s="652" t="s">
        <v>1159</v>
      </c>
      <c r="I820" s="652" t="s">
        <v>1159</v>
      </c>
      <c r="J820" s="652" t="s">
        <v>1159</v>
      </c>
      <c r="K820" s="652" t="s">
        <v>1159</v>
      </c>
      <c r="L820" s="652" t="s">
        <v>1159</v>
      </c>
      <c r="M820" s="652" t="s">
        <v>1159</v>
      </c>
      <c r="N820" s="652" t="s">
        <v>1159</v>
      </c>
      <c r="O820" s="652" t="s">
        <v>1159</v>
      </c>
    </row>
    <row r="821" spans="1:15">
      <c r="A821" s="652">
        <v>16</v>
      </c>
      <c r="B821" s="653" t="s">
        <v>1181</v>
      </c>
      <c r="C821" s="659" t="s">
        <v>1182</v>
      </c>
      <c r="D821" s="652" t="s">
        <v>2</v>
      </c>
      <c r="E821" s="655">
        <v>250</v>
      </c>
      <c r="F821" s="652">
        <v>37</v>
      </c>
      <c r="G821" s="656">
        <f t="shared" si="58"/>
        <v>9250</v>
      </c>
      <c r="H821" s="652" t="s">
        <v>1159</v>
      </c>
      <c r="I821" s="652" t="s">
        <v>1159</v>
      </c>
      <c r="J821" s="652" t="s">
        <v>1159</v>
      </c>
      <c r="K821" s="652" t="s">
        <v>1159</v>
      </c>
      <c r="L821" s="652" t="s">
        <v>1159</v>
      </c>
      <c r="M821" s="652" t="s">
        <v>1159</v>
      </c>
      <c r="N821" s="652" t="s">
        <v>1159</v>
      </c>
      <c r="O821" s="652" t="s">
        <v>1159</v>
      </c>
    </row>
    <row r="822" spans="1:15">
      <c r="A822" s="652">
        <v>17</v>
      </c>
      <c r="B822" s="653" t="s">
        <v>687</v>
      </c>
      <c r="C822" s="659" t="s">
        <v>1183</v>
      </c>
      <c r="D822" s="652" t="s">
        <v>2</v>
      </c>
      <c r="E822" s="655">
        <v>12600</v>
      </c>
      <c r="F822" s="652">
        <v>1</v>
      </c>
      <c r="G822" s="656">
        <f t="shared" si="58"/>
        <v>12600</v>
      </c>
      <c r="H822" s="652" t="s">
        <v>1159</v>
      </c>
      <c r="I822" s="652" t="s">
        <v>1159</v>
      </c>
      <c r="J822" s="652" t="s">
        <v>1159</v>
      </c>
      <c r="K822" s="652" t="s">
        <v>1159</v>
      </c>
      <c r="L822" s="652" t="s">
        <v>1159</v>
      </c>
      <c r="M822" s="652" t="s">
        <v>1159</v>
      </c>
      <c r="N822" s="652" t="s">
        <v>1159</v>
      </c>
      <c r="O822" s="652" t="s">
        <v>1159</v>
      </c>
    </row>
    <row r="823" spans="1:15">
      <c r="A823" s="652">
        <v>18</v>
      </c>
      <c r="B823" s="653"/>
      <c r="C823" s="659" t="s">
        <v>1184</v>
      </c>
      <c r="D823" s="652" t="s">
        <v>2</v>
      </c>
      <c r="E823" s="655">
        <v>6090</v>
      </c>
      <c r="F823" s="652">
        <v>2</v>
      </c>
      <c r="G823" s="656">
        <f t="shared" si="58"/>
        <v>12180</v>
      </c>
      <c r="H823" s="652" t="s">
        <v>1159</v>
      </c>
      <c r="I823" s="652" t="s">
        <v>1159</v>
      </c>
      <c r="J823" s="652" t="s">
        <v>1159</v>
      </c>
      <c r="K823" s="652" t="s">
        <v>1159</v>
      </c>
      <c r="L823" s="652" t="s">
        <v>1159</v>
      </c>
      <c r="M823" s="652" t="s">
        <v>1159</v>
      </c>
      <c r="N823" s="652" t="s">
        <v>1159</v>
      </c>
      <c r="O823" s="652" t="s">
        <v>1159</v>
      </c>
    </row>
    <row r="824" spans="1:15">
      <c r="A824" s="652">
        <v>19</v>
      </c>
      <c r="B824" s="653" t="s">
        <v>1185</v>
      </c>
      <c r="C824" s="659" t="s">
        <v>1186</v>
      </c>
      <c r="D824" s="652" t="s">
        <v>2</v>
      </c>
      <c r="E824" s="655">
        <v>2478</v>
      </c>
      <c r="F824" s="652">
        <v>1</v>
      </c>
      <c r="G824" s="656">
        <f t="shared" si="58"/>
        <v>2478</v>
      </c>
      <c r="H824" s="652" t="s">
        <v>1159</v>
      </c>
      <c r="I824" s="652" t="s">
        <v>1159</v>
      </c>
      <c r="J824" s="652" t="s">
        <v>1159</v>
      </c>
      <c r="K824" s="652" t="s">
        <v>1159</v>
      </c>
      <c r="L824" s="652" t="s">
        <v>1159</v>
      </c>
      <c r="M824" s="652" t="s">
        <v>1159</v>
      </c>
      <c r="N824" s="652" t="s">
        <v>1159</v>
      </c>
      <c r="O824" s="652" t="s">
        <v>1159</v>
      </c>
    </row>
    <row r="825" spans="1:15">
      <c r="A825" s="652">
        <v>20</v>
      </c>
      <c r="B825" s="653"/>
      <c r="C825" s="659" t="s">
        <v>1187</v>
      </c>
      <c r="D825" s="652" t="s">
        <v>2</v>
      </c>
      <c r="E825" s="655">
        <v>9912</v>
      </c>
      <c r="F825" s="652">
        <v>1</v>
      </c>
      <c r="G825" s="656">
        <f t="shared" si="58"/>
        <v>9912</v>
      </c>
      <c r="H825" s="652" t="s">
        <v>1159</v>
      </c>
      <c r="I825" s="652" t="s">
        <v>1159</v>
      </c>
      <c r="J825" s="652" t="s">
        <v>1159</v>
      </c>
      <c r="K825" s="652" t="s">
        <v>1159</v>
      </c>
      <c r="L825" s="652" t="s">
        <v>1159</v>
      </c>
      <c r="M825" s="652" t="s">
        <v>1159</v>
      </c>
      <c r="N825" s="652" t="s">
        <v>1159</v>
      </c>
      <c r="O825" s="652" t="s">
        <v>1159</v>
      </c>
    </row>
    <row r="826" spans="1:15">
      <c r="A826" s="652">
        <v>21</v>
      </c>
      <c r="B826" s="653" t="s">
        <v>1188</v>
      </c>
      <c r="C826" s="659" t="s">
        <v>1189</v>
      </c>
      <c r="D826" s="661" t="s">
        <v>2</v>
      </c>
      <c r="E826" s="662">
        <v>30672</v>
      </c>
      <c r="F826" s="661">
        <v>1</v>
      </c>
      <c r="G826" s="656">
        <f t="shared" si="58"/>
        <v>30672</v>
      </c>
      <c r="H826" s="652" t="s">
        <v>1159</v>
      </c>
      <c r="I826" s="652" t="s">
        <v>1159</v>
      </c>
      <c r="J826" s="652" t="s">
        <v>1159</v>
      </c>
      <c r="K826" s="652" t="s">
        <v>1159</v>
      </c>
      <c r="L826" s="652" t="s">
        <v>1159</v>
      </c>
      <c r="M826" s="652" t="s">
        <v>1159</v>
      </c>
      <c r="N826" s="652" t="s">
        <v>1159</v>
      </c>
      <c r="O826" s="652" t="s">
        <v>1159</v>
      </c>
    </row>
    <row r="827" spans="1:15">
      <c r="A827" s="652">
        <v>22</v>
      </c>
      <c r="B827" s="653" t="s">
        <v>1190</v>
      </c>
      <c r="C827" s="659" t="s">
        <v>1191</v>
      </c>
      <c r="D827" s="652" t="s">
        <v>2</v>
      </c>
      <c r="E827" s="655">
        <v>29.8</v>
      </c>
      <c r="F827" s="652">
        <v>124</v>
      </c>
      <c r="G827" s="656">
        <f t="shared" si="58"/>
        <v>3695.2000000000003</v>
      </c>
      <c r="H827" s="652" t="s">
        <v>1159</v>
      </c>
      <c r="I827" s="652" t="s">
        <v>1159</v>
      </c>
      <c r="J827" s="652" t="s">
        <v>1159</v>
      </c>
      <c r="K827" s="652" t="s">
        <v>1159</v>
      </c>
      <c r="L827" s="652" t="s">
        <v>1159</v>
      </c>
      <c r="M827" s="652" t="s">
        <v>1159</v>
      </c>
      <c r="N827" s="652" t="s">
        <v>1159</v>
      </c>
      <c r="O827" s="652" t="s">
        <v>1159</v>
      </c>
    </row>
    <row r="828" spans="1:15">
      <c r="A828" s="653">
        <v>23</v>
      </c>
      <c r="B828" s="653" t="s">
        <v>1192</v>
      </c>
      <c r="C828" s="659" t="s">
        <v>1193</v>
      </c>
      <c r="D828" s="653" t="s">
        <v>2</v>
      </c>
      <c r="E828" s="657">
        <v>3950</v>
      </c>
      <c r="F828" s="653">
        <v>1</v>
      </c>
      <c r="G828" s="658">
        <f t="shared" si="58"/>
        <v>3950</v>
      </c>
      <c r="H828" s="653" t="s">
        <v>1159</v>
      </c>
      <c r="I828" s="653" t="s">
        <v>1159</v>
      </c>
      <c r="J828" s="653" t="s">
        <v>1159</v>
      </c>
      <c r="K828" s="653" t="s">
        <v>1159</v>
      </c>
      <c r="L828" s="653" t="s">
        <v>1159</v>
      </c>
      <c r="M828" s="653" t="s">
        <v>1159</v>
      </c>
      <c r="N828" s="653" t="s">
        <v>1159</v>
      </c>
      <c r="O828" s="653" t="s">
        <v>1159</v>
      </c>
    </row>
    <row r="829" spans="1:15">
      <c r="A829" s="652">
        <v>24</v>
      </c>
      <c r="B829" s="653" t="s">
        <v>1096</v>
      </c>
      <c r="C829" s="659" t="s">
        <v>1194</v>
      </c>
      <c r="D829" s="652" t="s">
        <v>1024</v>
      </c>
      <c r="E829" s="655">
        <v>65</v>
      </c>
      <c r="F829" s="652">
        <v>150</v>
      </c>
      <c r="G829" s="656">
        <f t="shared" si="58"/>
        <v>9750</v>
      </c>
      <c r="H829" s="652" t="s">
        <v>1159</v>
      </c>
      <c r="I829" s="652" t="s">
        <v>1159</v>
      </c>
      <c r="J829" s="652" t="s">
        <v>1159</v>
      </c>
      <c r="K829" s="652" t="s">
        <v>1159</v>
      </c>
      <c r="L829" s="652" t="s">
        <v>1159</v>
      </c>
      <c r="M829" s="652" t="s">
        <v>1159</v>
      </c>
      <c r="N829" s="652" t="s">
        <v>1159</v>
      </c>
      <c r="O829" s="652" t="s">
        <v>1159</v>
      </c>
    </row>
    <row r="830" spans="1:15">
      <c r="A830" s="652">
        <v>25</v>
      </c>
      <c r="B830" s="653" t="s">
        <v>1195</v>
      </c>
      <c r="C830" s="659" t="s">
        <v>1196</v>
      </c>
      <c r="D830" s="652" t="s">
        <v>1024</v>
      </c>
      <c r="E830" s="655">
        <v>105</v>
      </c>
      <c r="F830" s="652">
        <v>150</v>
      </c>
      <c r="G830" s="656">
        <f t="shared" si="58"/>
        <v>15750</v>
      </c>
      <c r="H830" s="652" t="s">
        <v>1159</v>
      </c>
      <c r="I830" s="652" t="s">
        <v>1159</v>
      </c>
      <c r="J830" s="652" t="s">
        <v>1159</v>
      </c>
      <c r="K830" s="652" t="s">
        <v>1159</v>
      </c>
      <c r="L830" s="652" t="s">
        <v>1159</v>
      </c>
      <c r="M830" s="652" t="s">
        <v>1159</v>
      </c>
      <c r="N830" s="652" t="s">
        <v>1159</v>
      </c>
      <c r="O830" s="652" t="s">
        <v>1159</v>
      </c>
    </row>
    <row r="831" spans="1:15">
      <c r="A831" s="652">
        <v>26</v>
      </c>
      <c r="B831" s="653" t="s">
        <v>1197</v>
      </c>
      <c r="C831" s="659" t="s">
        <v>1198</v>
      </c>
      <c r="D831" s="652" t="s">
        <v>2</v>
      </c>
      <c r="E831" s="655">
        <v>1702.5</v>
      </c>
      <c r="F831" s="652">
        <v>8</v>
      </c>
      <c r="G831" s="656">
        <f t="shared" si="58"/>
        <v>13620</v>
      </c>
      <c r="H831" s="652" t="s">
        <v>1159</v>
      </c>
      <c r="I831" s="652" t="s">
        <v>1159</v>
      </c>
      <c r="J831" s="652" t="s">
        <v>1159</v>
      </c>
      <c r="K831" s="652" t="s">
        <v>1159</v>
      </c>
      <c r="L831" s="652" t="s">
        <v>1159</v>
      </c>
      <c r="M831" s="652" t="s">
        <v>1159</v>
      </c>
      <c r="N831" s="652" t="s">
        <v>1159</v>
      </c>
      <c r="O831" s="652" t="s">
        <v>1159</v>
      </c>
    </row>
    <row r="832" spans="1:15">
      <c r="A832" s="652">
        <v>27</v>
      </c>
      <c r="B832" s="653" t="s">
        <v>1199</v>
      </c>
      <c r="C832" s="659" t="s">
        <v>1200</v>
      </c>
      <c r="D832" s="652" t="s">
        <v>2</v>
      </c>
      <c r="E832" s="655">
        <v>6787.3</v>
      </c>
      <c r="F832" s="652">
        <v>2</v>
      </c>
      <c r="G832" s="656">
        <f t="shared" si="58"/>
        <v>13574.6</v>
      </c>
      <c r="H832" s="652" t="s">
        <v>1159</v>
      </c>
      <c r="I832" s="652" t="s">
        <v>1159</v>
      </c>
      <c r="J832" s="652" t="s">
        <v>1159</v>
      </c>
      <c r="K832" s="652" t="s">
        <v>1159</v>
      </c>
      <c r="L832" s="652" t="s">
        <v>1159</v>
      </c>
      <c r="M832" s="652" t="s">
        <v>1159</v>
      </c>
      <c r="N832" s="652" t="s">
        <v>1159</v>
      </c>
      <c r="O832" s="652" t="s">
        <v>1159</v>
      </c>
    </row>
    <row r="833" spans="1:15">
      <c r="A833" s="652">
        <v>28</v>
      </c>
      <c r="B833" s="653" t="s">
        <v>1201</v>
      </c>
      <c r="C833" s="659" t="s">
        <v>1202</v>
      </c>
      <c r="D833" s="652" t="s">
        <v>2</v>
      </c>
      <c r="E833" s="655">
        <v>2250</v>
      </c>
      <c r="F833" s="652">
        <v>5</v>
      </c>
      <c r="G833" s="656">
        <f t="shared" si="58"/>
        <v>11250</v>
      </c>
      <c r="H833" s="652" t="s">
        <v>1159</v>
      </c>
      <c r="I833" s="652" t="s">
        <v>1159</v>
      </c>
      <c r="J833" s="652" t="s">
        <v>1159</v>
      </c>
      <c r="K833" s="652" t="s">
        <v>1159</v>
      </c>
      <c r="L833" s="652" t="s">
        <v>1159</v>
      </c>
      <c r="M833" s="652" t="s">
        <v>1159</v>
      </c>
      <c r="N833" s="652" t="s">
        <v>1159</v>
      </c>
      <c r="O833" s="652" t="s">
        <v>1159</v>
      </c>
    </row>
    <row r="834" spans="1:15">
      <c r="A834" s="652">
        <v>29</v>
      </c>
      <c r="B834" s="653" t="s">
        <v>429</v>
      </c>
      <c r="C834" s="659" t="s">
        <v>1203</v>
      </c>
      <c r="D834" s="652" t="s">
        <v>2</v>
      </c>
      <c r="E834" s="655">
        <v>1200</v>
      </c>
      <c r="F834" s="652">
        <v>1</v>
      </c>
      <c r="G834" s="656">
        <f t="shared" si="58"/>
        <v>1200</v>
      </c>
      <c r="H834" s="652" t="s">
        <v>1159</v>
      </c>
      <c r="I834" s="652" t="s">
        <v>1159</v>
      </c>
      <c r="J834" s="652" t="s">
        <v>1159</v>
      </c>
      <c r="K834" s="652" t="s">
        <v>1159</v>
      </c>
      <c r="L834" s="652" t="s">
        <v>1159</v>
      </c>
      <c r="M834" s="652" t="s">
        <v>1159</v>
      </c>
      <c r="N834" s="652" t="s">
        <v>1159</v>
      </c>
      <c r="O834" s="652" t="s">
        <v>1159</v>
      </c>
    </row>
    <row r="835" spans="1:15">
      <c r="A835" s="652">
        <v>30</v>
      </c>
      <c r="B835" s="653" t="s">
        <v>762</v>
      </c>
      <c r="C835" s="659" t="s">
        <v>1204</v>
      </c>
      <c r="D835" s="653" t="s">
        <v>2</v>
      </c>
      <c r="E835" s="657">
        <v>5000</v>
      </c>
      <c r="F835" s="653">
        <v>10</v>
      </c>
      <c r="G835" s="658">
        <f t="shared" si="58"/>
        <v>50000</v>
      </c>
      <c r="H835" s="652" t="s">
        <v>1159</v>
      </c>
      <c r="I835" s="652" t="s">
        <v>1159</v>
      </c>
      <c r="J835" s="652" t="s">
        <v>1159</v>
      </c>
      <c r="K835" s="652" t="s">
        <v>1159</v>
      </c>
      <c r="L835" s="652" t="s">
        <v>1159</v>
      </c>
      <c r="M835" s="652" t="s">
        <v>1159</v>
      </c>
      <c r="N835" s="652" t="s">
        <v>1159</v>
      </c>
      <c r="O835" s="652" t="s">
        <v>1159</v>
      </c>
    </row>
    <row r="836" spans="1:15">
      <c r="A836" s="652">
        <v>31</v>
      </c>
      <c r="B836" s="653" t="s">
        <v>635</v>
      </c>
      <c r="C836" s="659" t="s">
        <v>1205</v>
      </c>
      <c r="D836" s="653" t="s">
        <v>2</v>
      </c>
      <c r="E836" s="657">
        <v>2258.6999999999998</v>
      </c>
      <c r="F836" s="653">
        <v>16</v>
      </c>
      <c r="G836" s="658">
        <f t="shared" si="58"/>
        <v>36139.199999999997</v>
      </c>
      <c r="H836" s="652" t="s">
        <v>1159</v>
      </c>
      <c r="I836" s="652" t="s">
        <v>1159</v>
      </c>
      <c r="J836" s="652" t="s">
        <v>1159</v>
      </c>
      <c r="K836" s="652" t="s">
        <v>1159</v>
      </c>
      <c r="L836" s="652" t="s">
        <v>1159</v>
      </c>
      <c r="M836" s="652" t="s">
        <v>1159</v>
      </c>
      <c r="N836" s="652" t="s">
        <v>1159</v>
      </c>
      <c r="O836" s="652" t="s">
        <v>1159</v>
      </c>
    </row>
    <row r="837" spans="1:15">
      <c r="A837" s="652">
        <v>32</v>
      </c>
      <c r="B837" s="653" t="s">
        <v>1206</v>
      </c>
      <c r="C837" s="659" t="s">
        <v>1207</v>
      </c>
      <c r="D837" s="652" t="s">
        <v>599</v>
      </c>
      <c r="E837" s="655">
        <v>56.523000000000003</v>
      </c>
      <c r="F837" s="652">
        <v>24</v>
      </c>
      <c r="G837" s="656">
        <f t="shared" si="58"/>
        <v>1356.5520000000001</v>
      </c>
      <c r="H837" s="652" t="s">
        <v>1159</v>
      </c>
      <c r="I837" s="652" t="s">
        <v>1159</v>
      </c>
      <c r="J837" s="652" t="s">
        <v>1159</v>
      </c>
      <c r="K837" s="652" t="s">
        <v>1159</v>
      </c>
      <c r="L837" s="652" t="s">
        <v>1159</v>
      </c>
      <c r="M837" s="652" t="s">
        <v>1159</v>
      </c>
      <c r="N837" s="652" t="s">
        <v>1159</v>
      </c>
      <c r="O837" s="652" t="s">
        <v>1159</v>
      </c>
    </row>
    <row r="838" spans="1:15">
      <c r="A838" s="652">
        <v>33</v>
      </c>
      <c r="B838" s="653" t="s">
        <v>695</v>
      </c>
      <c r="C838" s="659" t="s">
        <v>696</v>
      </c>
      <c r="D838" s="652" t="s">
        <v>599</v>
      </c>
      <c r="E838" s="655">
        <v>56.295999999999999</v>
      </c>
      <c r="F838" s="652">
        <v>26</v>
      </c>
      <c r="G838" s="656">
        <f t="shared" si="58"/>
        <v>1463.6959999999999</v>
      </c>
      <c r="H838" s="652" t="s">
        <v>1159</v>
      </c>
      <c r="I838" s="652" t="s">
        <v>1159</v>
      </c>
      <c r="J838" s="652" t="s">
        <v>1159</v>
      </c>
      <c r="K838" s="652" t="s">
        <v>1159</v>
      </c>
      <c r="L838" s="652" t="s">
        <v>1159</v>
      </c>
      <c r="M838" s="652" t="s">
        <v>1159</v>
      </c>
      <c r="N838" s="652" t="s">
        <v>1159</v>
      </c>
      <c r="O838" s="652" t="s">
        <v>1159</v>
      </c>
    </row>
    <row r="839" spans="1:15">
      <c r="A839" s="652">
        <v>34</v>
      </c>
      <c r="B839" s="653" t="s">
        <v>167</v>
      </c>
      <c r="C839" s="663" t="s">
        <v>1208</v>
      </c>
      <c r="D839" s="652" t="s">
        <v>599</v>
      </c>
      <c r="E839" s="655">
        <v>980</v>
      </c>
      <c r="F839" s="652">
        <v>3</v>
      </c>
      <c r="G839" s="656">
        <f t="shared" si="58"/>
        <v>2940</v>
      </c>
      <c r="H839" s="652" t="s">
        <v>1159</v>
      </c>
      <c r="I839" s="652" t="s">
        <v>1159</v>
      </c>
      <c r="J839" s="652" t="s">
        <v>1159</v>
      </c>
      <c r="K839" s="652" t="s">
        <v>1159</v>
      </c>
      <c r="L839" s="652" t="s">
        <v>1159</v>
      </c>
      <c r="M839" s="652" t="s">
        <v>1159</v>
      </c>
      <c r="N839" s="652" t="s">
        <v>1159</v>
      </c>
      <c r="O839" s="652" t="s">
        <v>1159</v>
      </c>
    </row>
    <row r="840" spans="1:15">
      <c r="A840" s="653">
        <v>35</v>
      </c>
      <c r="B840" s="653" t="s">
        <v>1209</v>
      </c>
      <c r="C840" s="663" t="s">
        <v>1210</v>
      </c>
      <c r="D840" s="653" t="s">
        <v>599</v>
      </c>
      <c r="E840" s="657">
        <v>1464.15</v>
      </c>
      <c r="F840" s="653">
        <v>2</v>
      </c>
      <c r="G840" s="658">
        <f t="shared" si="58"/>
        <v>2928.3</v>
      </c>
      <c r="H840" s="653" t="s">
        <v>1159</v>
      </c>
      <c r="I840" s="653" t="s">
        <v>1159</v>
      </c>
      <c r="J840" s="653" t="s">
        <v>1159</v>
      </c>
      <c r="K840" s="653" t="s">
        <v>1159</v>
      </c>
      <c r="L840" s="653" t="s">
        <v>1159</v>
      </c>
      <c r="M840" s="653" t="s">
        <v>1159</v>
      </c>
      <c r="N840" s="653" t="s">
        <v>1159</v>
      </c>
      <c r="O840" s="653" t="s">
        <v>1159</v>
      </c>
    </row>
    <row r="841" spans="1:15">
      <c r="A841" s="652">
        <v>36</v>
      </c>
      <c r="B841" s="653" t="s">
        <v>1211</v>
      </c>
      <c r="C841" s="659" t="s">
        <v>1212</v>
      </c>
      <c r="D841" s="652" t="s">
        <v>599</v>
      </c>
      <c r="E841" s="655">
        <v>3399.3249999999998</v>
      </c>
      <c r="F841" s="652">
        <v>6</v>
      </c>
      <c r="G841" s="656">
        <f t="shared" si="58"/>
        <v>20395.949999999997</v>
      </c>
      <c r="H841" s="652" t="s">
        <v>1159</v>
      </c>
      <c r="I841" s="652" t="s">
        <v>1159</v>
      </c>
      <c r="J841" s="652" t="s">
        <v>1159</v>
      </c>
      <c r="K841" s="652" t="s">
        <v>1159</v>
      </c>
      <c r="L841" s="652" t="s">
        <v>1159</v>
      </c>
      <c r="M841" s="652" t="s">
        <v>1159</v>
      </c>
      <c r="N841" s="652" t="s">
        <v>1159</v>
      </c>
      <c r="O841" s="652" t="s">
        <v>1159</v>
      </c>
    </row>
    <row r="842" spans="1:15">
      <c r="A842" s="652">
        <v>37</v>
      </c>
      <c r="B842" s="653" t="s">
        <v>1213</v>
      </c>
      <c r="C842" s="659" t="s">
        <v>1214</v>
      </c>
      <c r="D842" s="652" t="s">
        <v>599</v>
      </c>
      <c r="E842" s="655">
        <v>4534.3249999999998</v>
      </c>
      <c r="F842" s="652">
        <v>3</v>
      </c>
      <c r="G842" s="656">
        <f t="shared" si="58"/>
        <v>13602.974999999999</v>
      </c>
      <c r="H842" s="652" t="s">
        <v>1159</v>
      </c>
      <c r="I842" s="652" t="s">
        <v>1159</v>
      </c>
      <c r="J842" s="652" t="s">
        <v>1159</v>
      </c>
      <c r="K842" s="652" t="s">
        <v>1159</v>
      </c>
      <c r="L842" s="652" t="s">
        <v>1159</v>
      </c>
      <c r="M842" s="652" t="s">
        <v>1159</v>
      </c>
      <c r="N842" s="652" t="s">
        <v>1159</v>
      </c>
      <c r="O842" s="652" t="s">
        <v>1159</v>
      </c>
    </row>
    <row r="843" spans="1:15">
      <c r="A843" s="652">
        <v>38</v>
      </c>
      <c r="B843" s="653" t="s">
        <v>1215</v>
      </c>
      <c r="C843" s="659" t="s">
        <v>1216</v>
      </c>
      <c r="D843" s="652" t="s">
        <v>1217</v>
      </c>
      <c r="E843" s="655">
        <v>755</v>
      </c>
      <c r="F843" s="652">
        <v>116</v>
      </c>
      <c r="G843" s="656">
        <f t="shared" si="58"/>
        <v>87580</v>
      </c>
      <c r="H843" s="652" t="s">
        <v>1159</v>
      </c>
      <c r="I843" s="652" t="s">
        <v>1159</v>
      </c>
      <c r="J843" s="652" t="s">
        <v>1159</v>
      </c>
      <c r="K843" s="652" t="s">
        <v>1159</v>
      </c>
      <c r="L843" s="652" t="s">
        <v>1159</v>
      </c>
      <c r="M843" s="652" t="s">
        <v>1159</v>
      </c>
      <c r="N843" s="652" t="s">
        <v>1159</v>
      </c>
      <c r="O843" s="652" t="s">
        <v>1159</v>
      </c>
    </row>
    <row r="844" spans="1:15">
      <c r="A844" s="652">
        <v>39</v>
      </c>
      <c r="B844" s="653" t="s">
        <v>166</v>
      </c>
      <c r="C844" s="659" t="s">
        <v>1218</v>
      </c>
      <c r="D844" s="652" t="s">
        <v>599</v>
      </c>
      <c r="E844" s="655">
        <v>2860.0185700000002</v>
      </c>
      <c r="F844" s="652">
        <v>4</v>
      </c>
      <c r="G844" s="656">
        <f t="shared" si="58"/>
        <v>11440.074280000001</v>
      </c>
      <c r="H844" s="652" t="s">
        <v>1159</v>
      </c>
      <c r="I844" s="652" t="s">
        <v>1159</v>
      </c>
      <c r="J844" s="652" t="s">
        <v>1159</v>
      </c>
      <c r="K844" s="652" t="s">
        <v>1159</v>
      </c>
      <c r="L844" s="652" t="s">
        <v>1159</v>
      </c>
      <c r="M844" s="652" t="s">
        <v>1159</v>
      </c>
      <c r="N844" s="652" t="s">
        <v>1159</v>
      </c>
      <c r="O844" s="652" t="s">
        <v>1159</v>
      </c>
    </row>
    <row r="845" spans="1:15">
      <c r="A845" s="652">
        <v>40</v>
      </c>
      <c r="B845" s="653" t="s">
        <v>1219</v>
      </c>
      <c r="C845" s="659" t="s">
        <v>1220</v>
      </c>
      <c r="D845" s="652" t="s">
        <v>324</v>
      </c>
      <c r="E845" s="655">
        <v>108393.3033</v>
      </c>
      <c r="F845" s="652">
        <v>8.6999999999999994E-2</v>
      </c>
      <c r="G845" s="656">
        <f t="shared" si="58"/>
        <v>9430.2173870999995</v>
      </c>
      <c r="H845" s="652" t="s">
        <v>1159</v>
      </c>
      <c r="I845" s="652" t="s">
        <v>1159</v>
      </c>
      <c r="J845" s="652" t="s">
        <v>1159</v>
      </c>
      <c r="K845" s="652" t="s">
        <v>1159</v>
      </c>
      <c r="L845" s="652" t="s">
        <v>1159</v>
      </c>
      <c r="M845" s="652" t="s">
        <v>1159</v>
      </c>
      <c r="N845" s="652" t="s">
        <v>1159</v>
      </c>
      <c r="O845" s="652" t="s">
        <v>1159</v>
      </c>
    </row>
    <row r="846" spans="1:15">
      <c r="A846" s="652">
        <v>41</v>
      </c>
      <c r="B846" s="653" t="s">
        <v>1221</v>
      </c>
      <c r="C846" s="659" t="s">
        <v>1222</v>
      </c>
      <c r="D846" s="653" t="s">
        <v>9</v>
      </c>
      <c r="E846" s="657">
        <v>5096.1499999999996</v>
      </c>
      <c r="F846" s="653">
        <v>2</v>
      </c>
      <c r="G846" s="658">
        <f t="shared" si="58"/>
        <v>10192.299999999999</v>
      </c>
      <c r="H846" s="652" t="s">
        <v>1159</v>
      </c>
      <c r="I846" s="652" t="s">
        <v>1159</v>
      </c>
      <c r="J846" s="652" t="s">
        <v>1159</v>
      </c>
      <c r="K846" s="652" t="s">
        <v>1159</v>
      </c>
      <c r="L846" s="652" t="s">
        <v>1159</v>
      </c>
      <c r="M846" s="652" t="s">
        <v>1159</v>
      </c>
      <c r="N846" s="652" t="s">
        <v>1159</v>
      </c>
      <c r="O846" s="652" t="s">
        <v>1159</v>
      </c>
    </row>
    <row r="847" spans="1:15">
      <c r="A847" s="652">
        <v>42</v>
      </c>
      <c r="B847" s="653" t="s">
        <v>1223</v>
      </c>
      <c r="C847" s="659" t="s">
        <v>1224</v>
      </c>
      <c r="D847" s="653" t="s">
        <v>1024</v>
      </c>
      <c r="E847" s="657">
        <v>584</v>
      </c>
      <c r="F847" s="653">
        <v>19</v>
      </c>
      <c r="G847" s="658">
        <f t="shared" si="58"/>
        <v>11096</v>
      </c>
      <c r="H847" s="652" t="s">
        <v>1159</v>
      </c>
      <c r="I847" s="652" t="s">
        <v>1159</v>
      </c>
      <c r="J847" s="652" t="s">
        <v>1159</v>
      </c>
      <c r="K847" s="652" t="s">
        <v>1159</v>
      </c>
      <c r="L847" s="652" t="s">
        <v>1159</v>
      </c>
      <c r="M847" s="652" t="s">
        <v>1159</v>
      </c>
      <c r="N847" s="652" t="s">
        <v>1159</v>
      </c>
      <c r="O847" s="652" t="s">
        <v>1159</v>
      </c>
    </row>
    <row r="848" spans="1:15">
      <c r="A848" s="652">
        <v>43</v>
      </c>
      <c r="B848" s="653" t="s">
        <v>317</v>
      </c>
      <c r="C848" s="659" t="s">
        <v>1225</v>
      </c>
      <c r="D848" s="653" t="s">
        <v>1024</v>
      </c>
      <c r="E848" s="657">
        <v>279.89999999999998</v>
      </c>
      <c r="F848" s="653">
        <v>70</v>
      </c>
      <c r="G848" s="658">
        <f t="shared" si="58"/>
        <v>19593</v>
      </c>
      <c r="H848" s="652" t="s">
        <v>1159</v>
      </c>
      <c r="I848" s="652" t="s">
        <v>1159</v>
      </c>
      <c r="J848" s="652" t="s">
        <v>1159</v>
      </c>
      <c r="K848" s="652" t="s">
        <v>1159</v>
      </c>
      <c r="L848" s="652" t="s">
        <v>1159</v>
      </c>
      <c r="M848" s="652" t="s">
        <v>1159</v>
      </c>
      <c r="N848" s="652" t="s">
        <v>1159</v>
      </c>
      <c r="O848" s="652" t="s">
        <v>1159</v>
      </c>
    </row>
    <row r="849" spans="1:15">
      <c r="A849" s="652">
        <v>44</v>
      </c>
      <c r="B849" s="653" t="s">
        <v>1226</v>
      </c>
      <c r="C849" s="659" t="s">
        <v>1227</v>
      </c>
      <c r="D849" s="653" t="s">
        <v>1024</v>
      </c>
      <c r="E849" s="657">
        <v>3123.24</v>
      </c>
      <c r="F849" s="653">
        <v>25</v>
      </c>
      <c r="G849" s="658">
        <f t="shared" si="58"/>
        <v>78081</v>
      </c>
      <c r="H849" s="652" t="s">
        <v>1159</v>
      </c>
      <c r="I849" s="652" t="s">
        <v>1159</v>
      </c>
      <c r="J849" s="652" t="s">
        <v>1159</v>
      </c>
      <c r="K849" s="652" t="s">
        <v>1159</v>
      </c>
      <c r="L849" s="652" t="s">
        <v>1159</v>
      </c>
      <c r="M849" s="652" t="s">
        <v>1159</v>
      </c>
      <c r="N849" s="652" t="s">
        <v>1159</v>
      </c>
      <c r="O849" s="652" t="s">
        <v>1159</v>
      </c>
    </row>
    <row r="850" spans="1:15">
      <c r="A850" s="652">
        <v>45</v>
      </c>
      <c r="B850" s="653" t="s">
        <v>652</v>
      </c>
      <c r="C850" s="659" t="s">
        <v>1228</v>
      </c>
      <c r="D850" s="652" t="s">
        <v>9</v>
      </c>
      <c r="E850" s="655">
        <v>3955.4749999999999</v>
      </c>
      <c r="F850" s="652">
        <v>3</v>
      </c>
      <c r="G850" s="656">
        <f t="shared" si="58"/>
        <v>11866.424999999999</v>
      </c>
      <c r="H850" s="652" t="s">
        <v>1159</v>
      </c>
      <c r="I850" s="652" t="s">
        <v>1159</v>
      </c>
      <c r="J850" s="652" t="s">
        <v>1159</v>
      </c>
      <c r="K850" s="652" t="s">
        <v>1159</v>
      </c>
      <c r="L850" s="652" t="s">
        <v>1159</v>
      </c>
      <c r="M850" s="652" t="s">
        <v>1159</v>
      </c>
      <c r="N850" s="652" t="s">
        <v>1159</v>
      </c>
      <c r="O850" s="652" t="s">
        <v>1159</v>
      </c>
    </row>
    <row r="851" spans="1:15">
      <c r="A851" s="652">
        <v>46</v>
      </c>
      <c r="B851" s="653" t="s">
        <v>360</v>
      </c>
      <c r="C851" s="659" t="s">
        <v>1229</v>
      </c>
      <c r="D851" s="652" t="s">
        <v>9</v>
      </c>
      <c r="E851" s="655">
        <v>3961.15</v>
      </c>
      <c r="F851" s="652">
        <v>4</v>
      </c>
      <c r="G851" s="656">
        <f t="shared" si="58"/>
        <v>15844.6</v>
      </c>
      <c r="H851" s="652" t="s">
        <v>1159</v>
      </c>
      <c r="I851" s="652" t="s">
        <v>1159</v>
      </c>
      <c r="J851" s="652" t="s">
        <v>1159</v>
      </c>
      <c r="K851" s="652" t="s">
        <v>1159</v>
      </c>
      <c r="L851" s="652" t="s">
        <v>1159</v>
      </c>
      <c r="M851" s="652" t="s">
        <v>1159</v>
      </c>
      <c r="N851" s="652" t="s">
        <v>1159</v>
      </c>
      <c r="O851" s="652" t="s">
        <v>1159</v>
      </c>
    </row>
    <row r="852" spans="1:15">
      <c r="A852" s="652">
        <v>47</v>
      </c>
      <c r="B852" s="653" t="s">
        <v>1230</v>
      </c>
      <c r="C852" s="659" t="s">
        <v>1231</v>
      </c>
      <c r="D852" s="652" t="s">
        <v>9</v>
      </c>
      <c r="E852" s="655">
        <v>3389.11</v>
      </c>
      <c r="F852" s="652">
        <v>5</v>
      </c>
      <c r="G852" s="656">
        <f t="shared" si="58"/>
        <v>16945.55</v>
      </c>
      <c r="H852" s="652" t="s">
        <v>1159</v>
      </c>
      <c r="I852" s="652" t="s">
        <v>1159</v>
      </c>
      <c r="J852" s="652" t="s">
        <v>1159</v>
      </c>
      <c r="K852" s="652" t="s">
        <v>1159</v>
      </c>
      <c r="L852" s="652" t="s">
        <v>1159</v>
      </c>
      <c r="M852" s="652" t="s">
        <v>1159</v>
      </c>
      <c r="N852" s="652" t="s">
        <v>1159</v>
      </c>
      <c r="O852" s="652" t="s">
        <v>1159</v>
      </c>
    </row>
    <row r="853" spans="1:15">
      <c r="A853" s="652">
        <v>48</v>
      </c>
      <c r="B853" s="653"/>
      <c r="C853" s="659" t="s">
        <v>1232</v>
      </c>
      <c r="D853" s="652" t="s">
        <v>9</v>
      </c>
      <c r="E853" s="655">
        <v>2814.8</v>
      </c>
      <c r="F853" s="652">
        <v>4</v>
      </c>
      <c r="G853" s="656">
        <f t="shared" si="58"/>
        <v>11259.2</v>
      </c>
      <c r="H853" s="652" t="s">
        <v>1159</v>
      </c>
      <c r="I853" s="652" t="s">
        <v>1159</v>
      </c>
      <c r="J853" s="652" t="s">
        <v>1159</v>
      </c>
      <c r="K853" s="652" t="s">
        <v>1159</v>
      </c>
      <c r="L853" s="652" t="s">
        <v>1159</v>
      </c>
      <c r="M853" s="652" t="s">
        <v>1159</v>
      </c>
      <c r="N853" s="652" t="s">
        <v>1159</v>
      </c>
      <c r="O853" s="652" t="s">
        <v>1159</v>
      </c>
    </row>
    <row r="854" spans="1:15">
      <c r="A854" s="652">
        <v>49</v>
      </c>
      <c r="B854" s="653" t="s">
        <v>1233</v>
      </c>
      <c r="C854" s="659" t="s">
        <v>1234</v>
      </c>
      <c r="D854" s="653" t="s">
        <v>1235</v>
      </c>
      <c r="E854" s="657">
        <v>6129</v>
      </c>
      <c r="F854" s="653">
        <v>4</v>
      </c>
      <c r="G854" s="658">
        <f t="shared" si="58"/>
        <v>24516</v>
      </c>
      <c r="H854" s="652" t="s">
        <v>1159</v>
      </c>
      <c r="I854" s="652" t="s">
        <v>1159</v>
      </c>
      <c r="J854" s="652" t="s">
        <v>1159</v>
      </c>
      <c r="K854" s="652" t="s">
        <v>1159</v>
      </c>
      <c r="L854" s="652" t="s">
        <v>1159</v>
      </c>
      <c r="M854" s="652" t="s">
        <v>1159</v>
      </c>
      <c r="N854" s="652" t="s">
        <v>1159</v>
      </c>
      <c r="O854" s="652" t="s">
        <v>1159</v>
      </c>
    </row>
    <row r="855" spans="1:15">
      <c r="A855" s="652">
        <v>50</v>
      </c>
      <c r="B855" s="653"/>
      <c r="C855" s="659" t="s">
        <v>1236</v>
      </c>
      <c r="D855" s="653" t="s">
        <v>1024</v>
      </c>
      <c r="E855" s="657">
        <v>5</v>
      </c>
      <c r="F855" s="653">
        <v>410</v>
      </c>
      <c r="G855" s="658">
        <f t="shared" si="58"/>
        <v>2050</v>
      </c>
      <c r="H855" s="652" t="s">
        <v>1159</v>
      </c>
      <c r="I855" s="652" t="s">
        <v>1159</v>
      </c>
      <c r="J855" s="652" t="s">
        <v>1159</v>
      </c>
      <c r="K855" s="652" t="s">
        <v>1159</v>
      </c>
      <c r="L855" s="652" t="s">
        <v>1159</v>
      </c>
      <c r="M855" s="652" t="s">
        <v>1159</v>
      </c>
      <c r="N855" s="652" t="s">
        <v>1159</v>
      </c>
      <c r="O855" s="652" t="s">
        <v>1159</v>
      </c>
    </row>
    <row r="856" spans="1:15">
      <c r="A856" s="652">
        <v>51</v>
      </c>
      <c r="B856" s="653" t="s">
        <v>164</v>
      </c>
      <c r="C856" s="659" t="s">
        <v>12</v>
      </c>
      <c r="D856" s="653" t="s">
        <v>555</v>
      </c>
      <c r="E856" s="657">
        <v>82500</v>
      </c>
      <c r="F856" s="653">
        <v>6.8479999999999999</v>
      </c>
      <c r="G856" s="658">
        <f t="shared" si="58"/>
        <v>564960</v>
      </c>
      <c r="H856" s="652" t="s">
        <v>1159</v>
      </c>
      <c r="I856" s="652" t="s">
        <v>1159</v>
      </c>
      <c r="J856" s="652" t="s">
        <v>1159</v>
      </c>
      <c r="K856" s="652" t="s">
        <v>1159</v>
      </c>
      <c r="L856" s="652" t="s">
        <v>1159</v>
      </c>
      <c r="M856" s="652" t="s">
        <v>1159</v>
      </c>
      <c r="N856" s="652" t="s">
        <v>1159</v>
      </c>
      <c r="O856" s="652" t="s">
        <v>1159</v>
      </c>
    </row>
    <row r="857" spans="1:15">
      <c r="A857" s="652">
        <v>52</v>
      </c>
      <c r="B857" s="653" t="s">
        <v>1237</v>
      </c>
      <c r="C857" s="659" t="s">
        <v>1238</v>
      </c>
      <c r="D857" s="652" t="s">
        <v>9</v>
      </c>
      <c r="E857" s="655">
        <v>4000</v>
      </c>
      <c r="F857" s="652">
        <v>3</v>
      </c>
      <c r="G857" s="656">
        <f t="shared" si="58"/>
        <v>12000</v>
      </c>
      <c r="H857" s="652" t="s">
        <v>1159</v>
      </c>
      <c r="I857" s="652" t="s">
        <v>1159</v>
      </c>
      <c r="J857" s="652" t="s">
        <v>1159</v>
      </c>
      <c r="K857" s="652" t="s">
        <v>1159</v>
      </c>
      <c r="L857" s="652" t="s">
        <v>1159</v>
      </c>
      <c r="M857" s="652" t="s">
        <v>1159</v>
      </c>
      <c r="N857" s="652" t="s">
        <v>1159</v>
      </c>
      <c r="O857" s="652" t="s">
        <v>1159</v>
      </c>
    </row>
    <row r="858" spans="1:15">
      <c r="A858" s="652">
        <v>53</v>
      </c>
      <c r="B858" s="653" t="s">
        <v>558</v>
      </c>
      <c r="C858" s="659" t="s">
        <v>1162</v>
      </c>
      <c r="D858" s="652" t="s">
        <v>10</v>
      </c>
      <c r="E858" s="655">
        <v>4580</v>
      </c>
      <c r="F858" s="652">
        <v>1</v>
      </c>
      <c r="G858" s="656">
        <f t="shared" si="58"/>
        <v>4580</v>
      </c>
      <c r="H858" s="652" t="s">
        <v>1159</v>
      </c>
      <c r="I858" s="652" t="s">
        <v>1159</v>
      </c>
      <c r="J858" s="652" t="s">
        <v>1159</v>
      </c>
      <c r="K858" s="652" t="s">
        <v>1159</v>
      </c>
      <c r="L858" s="652" t="s">
        <v>1159</v>
      </c>
      <c r="M858" s="652" t="s">
        <v>1159</v>
      </c>
      <c r="N858" s="652" t="s">
        <v>1159</v>
      </c>
      <c r="O858" s="652" t="s">
        <v>1159</v>
      </c>
    </row>
    <row r="859" spans="1:15">
      <c r="A859" s="652">
        <v>54</v>
      </c>
      <c r="B859" s="653" t="s">
        <v>169</v>
      </c>
      <c r="C859" s="659" t="s">
        <v>1239</v>
      </c>
      <c r="D859" s="652" t="s">
        <v>10</v>
      </c>
      <c r="E859" s="655">
        <v>1259.5</v>
      </c>
      <c r="F859" s="652">
        <v>6</v>
      </c>
      <c r="G859" s="656">
        <f t="shared" si="58"/>
        <v>7557</v>
      </c>
      <c r="H859" s="652" t="s">
        <v>1159</v>
      </c>
      <c r="I859" s="652" t="s">
        <v>1159</v>
      </c>
      <c r="J859" s="652" t="s">
        <v>1159</v>
      </c>
      <c r="K859" s="652" t="s">
        <v>1159</v>
      </c>
      <c r="L859" s="652" t="s">
        <v>1159</v>
      </c>
      <c r="M859" s="652" t="s">
        <v>1159</v>
      </c>
      <c r="N859" s="652" t="s">
        <v>1159</v>
      </c>
      <c r="O859" s="652" t="s">
        <v>1159</v>
      </c>
    </row>
    <row r="860" spans="1:15">
      <c r="A860" s="652">
        <v>55</v>
      </c>
      <c r="B860" s="653" t="s">
        <v>570</v>
      </c>
      <c r="C860" s="659" t="s">
        <v>1240</v>
      </c>
      <c r="D860" s="652" t="s">
        <v>10</v>
      </c>
      <c r="E860" s="655">
        <v>1374</v>
      </c>
      <c r="F860" s="652">
        <v>10</v>
      </c>
      <c r="G860" s="656">
        <f t="shared" si="58"/>
        <v>13740</v>
      </c>
      <c r="H860" s="652" t="s">
        <v>1159</v>
      </c>
      <c r="I860" s="652" t="s">
        <v>1159</v>
      </c>
      <c r="J860" s="652" t="s">
        <v>1159</v>
      </c>
      <c r="K860" s="652" t="s">
        <v>1159</v>
      </c>
      <c r="L860" s="652" t="s">
        <v>1159</v>
      </c>
      <c r="M860" s="652" t="s">
        <v>1159</v>
      </c>
      <c r="N860" s="652" t="s">
        <v>1159</v>
      </c>
      <c r="O860" s="652" t="s">
        <v>1159</v>
      </c>
    </row>
    <row r="861" spans="1:15">
      <c r="A861" s="652">
        <v>56</v>
      </c>
      <c r="B861" s="653" t="s">
        <v>1241</v>
      </c>
      <c r="C861" s="659" t="s">
        <v>1242</v>
      </c>
      <c r="D861" s="652" t="s">
        <v>10</v>
      </c>
      <c r="E861" s="655">
        <v>458</v>
      </c>
      <c r="F861" s="652">
        <v>1</v>
      </c>
      <c r="G861" s="656">
        <f t="shared" si="58"/>
        <v>458</v>
      </c>
      <c r="H861" s="652" t="s">
        <v>1159</v>
      </c>
      <c r="I861" s="652" t="s">
        <v>1159</v>
      </c>
      <c r="J861" s="652" t="s">
        <v>1159</v>
      </c>
      <c r="K861" s="652" t="s">
        <v>1159</v>
      </c>
      <c r="L861" s="652" t="s">
        <v>1159</v>
      </c>
      <c r="M861" s="652" t="s">
        <v>1159</v>
      </c>
      <c r="N861" s="652" t="s">
        <v>1159</v>
      </c>
      <c r="O861" s="652" t="s">
        <v>1159</v>
      </c>
    </row>
    <row r="862" spans="1:15">
      <c r="A862" s="652">
        <v>57</v>
      </c>
      <c r="B862" s="653" t="s">
        <v>1243</v>
      </c>
      <c r="C862" s="659" t="s">
        <v>1244</v>
      </c>
      <c r="D862" s="652" t="s">
        <v>9</v>
      </c>
      <c r="E862" s="655">
        <v>572.5</v>
      </c>
      <c r="F862" s="652">
        <v>1</v>
      </c>
      <c r="G862" s="656">
        <f t="shared" si="58"/>
        <v>572.5</v>
      </c>
      <c r="H862" s="652" t="s">
        <v>1159</v>
      </c>
      <c r="I862" s="652" t="s">
        <v>1159</v>
      </c>
      <c r="J862" s="652" t="s">
        <v>1159</v>
      </c>
      <c r="K862" s="652" t="s">
        <v>1159</v>
      </c>
      <c r="L862" s="652" t="s">
        <v>1159</v>
      </c>
      <c r="M862" s="652" t="s">
        <v>1159</v>
      </c>
      <c r="N862" s="652" t="s">
        <v>1159</v>
      </c>
      <c r="O862" s="652" t="s">
        <v>1159</v>
      </c>
    </row>
    <row r="863" spans="1:15">
      <c r="A863" s="652">
        <v>58</v>
      </c>
      <c r="B863" s="653" t="s">
        <v>171</v>
      </c>
      <c r="C863" s="659" t="s">
        <v>1245</v>
      </c>
      <c r="D863" s="652" t="s">
        <v>9</v>
      </c>
      <c r="E863" s="655">
        <v>572.5</v>
      </c>
      <c r="F863" s="652">
        <v>10</v>
      </c>
      <c r="G863" s="656">
        <f t="shared" si="58"/>
        <v>5725</v>
      </c>
      <c r="H863" s="652" t="s">
        <v>1159</v>
      </c>
      <c r="I863" s="652" t="s">
        <v>1159</v>
      </c>
      <c r="J863" s="652" t="s">
        <v>1159</v>
      </c>
      <c r="K863" s="652" t="s">
        <v>1159</v>
      </c>
      <c r="L863" s="652" t="s">
        <v>1159</v>
      </c>
      <c r="M863" s="652" t="s">
        <v>1159</v>
      </c>
      <c r="N863" s="652" t="s">
        <v>1159</v>
      </c>
      <c r="O863" s="652" t="s">
        <v>1159</v>
      </c>
    </row>
    <row r="864" spans="1:15">
      <c r="A864" s="652">
        <v>59</v>
      </c>
      <c r="B864" s="653" t="s">
        <v>561</v>
      </c>
      <c r="C864" s="659" t="s">
        <v>1246</v>
      </c>
      <c r="D864" s="652" t="s">
        <v>9</v>
      </c>
      <c r="E864" s="655">
        <v>572.5</v>
      </c>
      <c r="F864" s="652">
        <v>8</v>
      </c>
      <c r="G864" s="656">
        <f t="shared" si="58"/>
        <v>4580</v>
      </c>
      <c r="H864" s="652" t="s">
        <v>1159</v>
      </c>
      <c r="I864" s="652" t="s">
        <v>1159</v>
      </c>
      <c r="J864" s="652" t="s">
        <v>1159</v>
      </c>
      <c r="K864" s="652" t="s">
        <v>1159</v>
      </c>
      <c r="L864" s="652" t="s">
        <v>1159</v>
      </c>
      <c r="M864" s="652" t="s">
        <v>1159</v>
      </c>
      <c r="N864" s="652" t="s">
        <v>1159</v>
      </c>
      <c r="O864" s="652" t="s">
        <v>1159</v>
      </c>
    </row>
    <row r="865" spans="1:15">
      <c r="A865" s="652">
        <v>60</v>
      </c>
      <c r="B865" s="653" t="s">
        <v>1247</v>
      </c>
      <c r="C865" s="659" t="s">
        <v>1248</v>
      </c>
      <c r="D865" s="652" t="s">
        <v>9</v>
      </c>
      <c r="E865" s="655">
        <v>572.5</v>
      </c>
      <c r="F865" s="652">
        <v>1</v>
      </c>
      <c r="G865" s="656">
        <f t="shared" si="58"/>
        <v>572.5</v>
      </c>
      <c r="H865" s="652" t="s">
        <v>1159</v>
      </c>
      <c r="I865" s="652" t="s">
        <v>1159</v>
      </c>
      <c r="J865" s="652" t="s">
        <v>1159</v>
      </c>
      <c r="K865" s="652" t="s">
        <v>1159</v>
      </c>
      <c r="L865" s="652" t="s">
        <v>1159</v>
      </c>
      <c r="M865" s="652" t="s">
        <v>1159</v>
      </c>
      <c r="N865" s="652" t="s">
        <v>1159</v>
      </c>
      <c r="O865" s="652" t="s">
        <v>1159</v>
      </c>
    </row>
    <row r="866" spans="1:15">
      <c r="A866" s="652">
        <v>61</v>
      </c>
      <c r="B866" s="653" t="s">
        <v>1249</v>
      </c>
      <c r="C866" s="659" t="s">
        <v>1250</v>
      </c>
      <c r="D866" s="652" t="s">
        <v>10</v>
      </c>
      <c r="E866" s="655">
        <v>12595</v>
      </c>
      <c r="F866" s="652">
        <v>1</v>
      </c>
      <c r="G866" s="656">
        <f t="shared" si="58"/>
        <v>12595</v>
      </c>
      <c r="H866" s="652" t="s">
        <v>1159</v>
      </c>
      <c r="I866" s="652" t="s">
        <v>1159</v>
      </c>
      <c r="J866" s="652" t="s">
        <v>1159</v>
      </c>
      <c r="K866" s="652" t="s">
        <v>1159</v>
      </c>
      <c r="L866" s="652" t="s">
        <v>1159</v>
      </c>
      <c r="M866" s="652" t="s">
        <v>1159</v>
      </c>
      <c r="N866" s="652" t="s">
        <v>1159</v>
      </c>
      <c r="O866" s="652" t="s">
        <v>1159</v>
      </c>
    </row>
    <row r="867" spans="1:15">
      <c r="A867" s="652">
        <v>62</v>
      </c>
      <c r="B867" s="653" t="s">
        <v>1251</v>
      </c>
      <c r="C867" s="659" t="s">
        <v>1252</v>
      </c>
      <c r="D867" s="652" t="s">
        <v>10</v>
      </c>
      <c r="E867" s="655">
        <v>12595</v>
      </c>
      <c r="F867" s="652">
        <v>1</v>
      </c>
      <c r="G867" s="656">
        <f t="shared" si="58"/>
        <v>12595</v>
      </c>
      <c r="H867" s="652" t="s">
        <v>1159</v>
      </c>
      <c r="I867" s="652" t="s">
        <v>1159</v>
      </c>
      <c r="J867" s="652" t="s">
        <v>1159</v>
      </c>
      <c r="K867" s="652" t="s">
        <v>1159</v>
      </c>
      <c r="L867" s="652" t="s">
        <v>1159</v>
      </c>
      <c r="M867" s="652" t="s">
        <v>1159</v>
      </c>
      <c r="N867" s="652" t="s">
        <v>1159</v>
      </c>
      <c r="O867" s="652" t="s">
        <v>1159</v>
      </c>
    </row>
    <row r="868" spans="1:15">
      <c r="A868" s="652">
        <v>63</v>
      </c>
      <c r="B868" s="653" t="s">
        <v>1253</v>
      </c>
      <c r="C868" s="659" t="s">
        <v>1254</v>
      </c>
      <c r="D868" s="652" t="s">
        <v>10</v>
      </c>
      <c r="E868" s="655">
        <v>572.5</v>
      </c>
      <c r="F868" s="652">
        <v>1</v>
      </c>
      <c r="G868" s="656">
        <f t="shared" si="58"/>
        <v>572.5</v>
      </c>
      <c r="H868" s="652" t="s">
        <v>1159</v>
      </c>
      <c r="I868" s="652" t="s">
        <v>1159</v>
      </c>
      <c r="J868" s="652" t="s">
        <v>1159</v>
      </c>
      <c r="K868" s="652" t="s">
        <v>1159</v>
      </c>
      <c r="L868" s="652" t="s">
        <v>1159</v>
      </c>
      <c r="M868" s="652" t="s">
        <v>1159</v>
      </c>
      <c r="N868" s="652" t="s">
        <v>1159</v>
      </c>
      <c r="O868" s="652" t="s">
        <v>1159</v>
      </c>
    </row>
    <row r="869" spans="1:15">
      <c r="A869" s="652">
        <v>64</v>
      </c>
      <c r="B869" s="653" t="s">
        <v>1255</v>
      </c>
      <c r="C869" s="659" t="s">
        <v>1256</v>
      </c>
      <c r="D869" s="664" t="s">
        <v>9</v>
      </c>
      <c r="E869" s="664">
        <v>5665.92</v>
      </c>
      <c r="F869" s="664">
        <v>2</v>
      </c>
      <c r="G869" s="656">
        <f t="shared" si="58"/>
        <v>11331.84</v>
      </c>
      <c r="H869" s="652" t="s">
        <v>1159</v>
      </c>
      <c r="I869" s="652" t="s">
        <v>1159</v>
      </c>
      <c r="J869" s="652" t="s">
        <v>1159</v>
      </c>
      <c r="K869" s="652" t="s">
        <v>1159</v>
      </c>
      <c r="L869" s="652" t="s">
        <v>1159</v>
      </c>
      <c r="M869" s="652" t="s">
        <v>1159</v>
      </c>
      <c r="N869" s="652" t="s">
        <v>1159</v>
      </c>
      <c r="O869" s="652" t="s">
        <v>1159</v>
      </c>
    </row>
    <row r="870" spans="1:15">
      <c r="A870" s="652">
        <v>65</v>
      </c>
      <c r="B870" s="653" t="s">
        <v>315</v>
      </c>
      <c r="C870" s="665" t="s">
        <v>1257</v>
      </c>
      <c r="D870" s="664" t="s">
        <v>9</v>
      </c>
      <c r="E870" s="666">
        <v>18892.5</v>
      </c>
      <c r="F870" s="664">
        <v>1</v>
      </c>
      <c r="G870" s="656">
        <f t="shared" si="58"/>
        <v>18892.5</v>
      </c>
      <c r="H870" s="652" t="s">
        <v>1159</v>
      </c>
      <c r="I870" s="652" t="s">
        <v>1159</v>
      </c>
      <c r="J870" s="652" t="s">
        <v>1159</v>
      </c>
      <c r="K870" s="652" t="s">
        <v>1159</v>
      </c>
      <c r="L870" s="652" t="s">
        <v>1159</v>
      </c>
      <c r="M870" s="652" t="s">
        <v>1159</v>
      </c>
      <c r="N870" s="652" t="s">
        <v>1159</v>
      </c>
      <c r="O870" s="652" t="s">
        <v>1159</v>
      </c>
    </row>
    <row r="871" spans="1:15">
      <c r="A871" s="652">
        <v>66</v>
      </c>
      <c r="B871" s="653"/>
      <c r="C871" s="659" t="s">
        <v>1258</v>
      </c>
      <c r="D871" s="664" t="s">
        <v>9</v>
      </c>
      <c r="E871" s="666">
        <v>2290</v>
      </c>
      <c r="F871" s="664">
        <v>6</v>
      </c>
      <c r="G871" s="656">
        <f t="shared" ref="G871:G934" si="59">E871*F871</f>
        <v>13740</v>
      </c>
      <c r="H871" s="652" t="s">
        <v>1159</v>
      </c>
      <c r="I871" s="652" t="s">
        <v>1159</v>
      </c>
      <c r="J871" s="652" t="s">
        <v>1159</v>
      </c>
      <c r="K871" s="652" t="s">
        <v>1159</v>
      </c>
      <c r="L871" s="652" t="s">
        <v>1159</v>
      </c>
      <c r="M871" s="652" t="s">
        <v>1159</v>
      </c>
      <c r="N871" s="652" t="s">
        <v>1159</v>
      </c>
      <c r="O871" s="652" t="s">
        <v>1159</v>
      </c>
    </row>
    <row r="872" spans="1:15">
      <c r="A872" s="652">
        <v>67</v>
      </c>
      <c r="B872" s="653" t="s">
        <v>1259</v>
      </c>
      <c r="C872" s="659" t="s">
        <v>1260</v>
      </c>
      <c r="D872" s="664" t="s">
        <v>9</v>
      </c>
      <c r="E872" s="666">
        <v>1145</v>
      </c>
      <c r="F872" s="664">
        <v>6</v>
      </c>
      <c r="G872" s="656">
        <f t="shared" si="59"/>
        <v>6870</v>
      </c>
      <c r="H872" s="652" t="s">
        <v>1159</v>
      </c>
      <c r="I872" s="652" t="s">
        <v>1159</v>
      </c>
      <c r="J872" s="652" t="s">
        <v>1159</v>
      </c>
      <c r="K872" s="652" t="s">
        <v>1159</v>
      </c>
      <c r="L872" s="652" t="s">
        <v>1159</v>
      </c>
      <c r="M872" s="652" t="s">
        <v>1159</v>
      </c>
      <c r="N872" s="652" t="s">
        <v>1159</v>
      </c>
      <c r="O872" s="652" t="s">
        <v>1159</v>
      </c>
    </row>
    <row r="873" spans="1:15">
      <c r="A873" s="652">
        <v>68</v>
      </c>
      <c r="B873" s="653" t="s">
        <v>707</v>
      </c>
      <c r="C873" s="659" t="s">
        <v>1261</v>
      </c>
      <c r="D873" s="664" t="s">
        <v>9</v>
      </c>
      <c r="E873" s="666">
        <v>1145</v>
      </c>
      <c r="F873" s="664">
        <v>6</v>
      </c>
      <c r="G873" s="656">
        <f t="shared" si="59"/>
        <v>6870</v>
      </c>
      <c r="H873" s="652" t="s">
        <v>1159</v>
      </c>
      <c r="I873" s="652" t="s">
        <v>1159</v>
      </c>
      <c r="J873" s="652" t="s">
        <v>1159</v>
      </c>
      <c r="K873" s="652" t="s">
        <v>1159</v>
      </c>
      <c r="L873" s="652" t="s">
        <v>1159</v>
      </c>
      <c r="M873" s="652" t="s">
        <v>1159</v>
      </c>
      <c r="N873" s="652" t="s">
        <v>1159</v>
      </c>
      <c r="O873" s="652" t="s">
        <v>1159</v>
      </c>
    </row>
    <row r="874" spans="1:15">
      <c r="A874" s="652">
        <v>69</v>
      </c>
      <c r="B874" s="653"/>
      <c r="C874" s="659" t="s">
        <v>1262</v>
      </c>
      <c r="D874" s="664" t="s">
        <v>9</v>
      </c>
      <c r="E874" s="666">
        <v>1145</v>
      </c>
      <c r="F874" s="664">
        <v>3</v>
      </c>
      <c r="G874" s="656">
        <f t="shared" si="59"/>
        <v>3435</v>
      </c>
      <c r="H874" s="652" t="s">
        <v>1159</v>
      </c>
      <c r="I874" s="652" t="s">
        <v>1159</v>
      </c>
      <c r="J874" s="652" t="s">
        <v>1159</v>
      </c>
      <c r="K874" s="652" t="s">
        <v>1159</v>
      </c>
      <c r="L874" s="652" t="s">
        <v>1159</v>
      </c>
      <c r="M874" s="652" t="s">
        <v>1159</v>
      </c>
      <c r="N874" s="652" t="s">
        <v>1159</v>
      </c>
      <c r="O874" s="652" t="s">
        <v>1159</v>
      </c>
    </row>
    <row r="875" spans="1:15">
      <c r="A875" s="652">
        <v>70</v>
      </c>
      <c r="B875" s="653"/>
      <c r="C875" s="659" t="s">
        <v>1263</v>
      </c>
      <c r="D875" s="664" t="s">
        <v>9</v>
      </c>
      <c r="E875" s="666">
        <v>1145</v>
      </c>
      <c r="F875" s="664">
        <v>3</v>
      </c>
      <c r="G875" s="656">
        <f t="shared" si="59"/>
        <v>3435</v>
      </c>
      <c r="H875" s="652" t="s">
        <v>1159</v>
      </c>
      <c r="I875" s="652" t="s">
        <v>1159</v>
      </c>
      <c r="J875" s="652" t="s">
        <v>1159</v>
      </c>
      <c r="K875" s="652" t="s">
        <v>1159</v>
      </c>
      <c r="L875" s="652" t="s">
        <v>1159</v>
      </c>
      <c r="M875" s="652" t="s">
        <v>1159</v>
      </c>
      <c r="N875" s="652" t="s">
        <v>1159</v>
      </c>
      <c r="O875" s="652" t="s">
        <v>1159</v>
      </c>
    </row>
    <row r="876" spans="1:15">
      <c r="A876" s="652">
        <v>71</v>
      </c>
      <c r="B876" s="653"/>
      <c r="C876" s="659" t="s">
        <v>1264</v>
      </c>
      <c r="D876" s="664" t="s">
        <v>9</v>
      </c>
      <c r="E876" s="666">
        <v>1145</v>
      </c>
      <c r="F876" s="664">
        <v>3</v>
      </c>
      <c r="G876" s="656">
        <f t="shared" si="59"/>
        <v>3435</v>
      </c>
      <c r="H876" s="652" t="s">
        <v>1159</v>
      </c>
      <c r="I876" s="652" t="s">
        <v>1159</v>
      </c>
      <c r="J876" s="652" t="s">
        <v>1159</v>
      </c>
      <c r="K876" s="652" t="s">
        <v>1159</v>
      </c>
      <c r="L876" s="652" t="s">
        <v>1159</v>
      </c>
      <c r="M876" s="652" t="s">
        <v>1159</v>
      </c>
      <c r="N876" s="652" t="s">
        <v>1159</v>
      </c>
      <c r="O876" s="652" t="s">
        <v>1159</v>
      </c>
    </row>
    <row r="877" spans="1:15">
      <c r="A877" s="652">
        <v>72</v>
      </c>
      <c r="B877" s="653"/>
      <c r="C877" s="659" t="s">
        <v>1265</v>
      </c>
      <c r="D877" s="664" t="s">
        <v>9</v>
      </c>
      <c r="E877" s="666">
        <v>1145</v>
      </c>
      <c r="F877" s="664">
        <v>6</v>
      </c>
      <c r="G877" s="656">
        <f t="shared" si="59"/>
        <v>6870</v>
      </c>
      <c r="H877" s="652" t="s">
        <v>1159</v>
      </c>
      <c r="I877" s="652" t="s">
        <v>1159</v>
      </c>
      <c r="J877" s="652" t="s">
        <v>1159</v>
      </c>
      <c r="K877" s="652" t="s">
        <v>1159</v>
      </c>
      <c r="L877" s="652" t="s">
        <v>1159</v>
      </c>
      <c r="M877" s="652" t="s">
        <v>1159</v>
      </c>
      <c r="N877" s="652" t="s">
        <v>1159</v>
      </c>
      <c r="O877" s="652" t="s">
        <v>1159</v>
      </c>
    </row>
    <row r="878" spans="1:15">
      <c r="A878" s="652">
        <v>73</v>
      </c>
      <c r="B878" s="653" t="s">
        <v>1266</v>
      </c>
      <c r="C878" s="659" t="s">
        <v>1267</v>
      </c>
      <c r="D878" s="664" t="s">
        <v>9</v>
      </c>
      <c r="E878" s="666">
        <v>2290</v>
      </c>
      <c r="F878" s="664">
        <v>1</v>
      </c>
      <c r="G878" s="656">
        <f t="shared" si="59"/>
        <v>2290</v>
      </c>
      <c r="H878" s="652" t="s">
        <v>1159</v>
      </c>
      <c r="I878" s="652" t="s">
        <v>1159</v>
      </c>
      <c r="J878" s="652" t="s">
        <v>1159</v>
      </c>
      <c r="K878" s="652" t="s">
        <v>1159</v>
      </c>
      <c r="L878" s="652" t="s">
        <v>1159</v>
      </c>
      <c r="M878" s="652" t="s">
        <v>1159</v>
      </c>
      <c r="N878" s="652" t="s">
        <v>1159</v>
      </c>
      <c r="O878" s="652" t="s">
        <v>1159</v>
      </c>
    </row>
    <row r="879" spans="1:15">
      <c r="A879" s="652">
        <v>74</v>
      </c>
      <c r="B879" s="653"/>
      <c r="C879" s="659" t="s">
        <v>1268</v>
      </c>
      <c r="D879" s="664" t="s">
        <v>9</v>
      </c>
      <c r="E879" s="666">
        <v>2290</v>
      </c>
      <c r="F879" s="664">
        <v>1</v>
      </c>
      <c r="G879" s="656">
        <f t="shared" si="59"/>
        <v>2290</v>
      </c>
      <c r="H879" s="652" t="s">
        <v>1159</v>
      </c>
      <c r="I879" s="652" t="s">
        <v>1159</v>
      </c>
      <c r="J879" s="652" t="s">
        <v>1159</v>
      </c>
      <c r="K879" s="652" t="s">
        <v>1159</v>
      </c>
      <c r="L879" s="652" t="s">
        <v>1159</v>
      </c>
      <c r="M879" s="652" t="s">
        <v>1159</v>
      </c>
      <c r="N879" s="652" t="s">
        <v>1159</v>
      </c>
      <c r="O879" s="652" t="s">
        <v>1159</v>
      </c>
    </row>
    <row r="880" spans="1:15">
      <c r="A880" s="652">
        <v>75</v>
      </c>
      <c r="B880" s="653" t="s">
        <v>1269</v>
      </c>
      <c r="C880" s="659" t="s">
        <v>1270</v>
      </c>
      <c r="D880" s="664" t="s">
        <v>9</v>
      </c>
      <c r="E880" s="666">
        <v>1030.5</v>
      </c>
      <c r="F880" s="664">
        <v>20</v>
      </c>
      <c r="G880" s="656">
        <f t="shared" si="59"/>
        <v>20610</v>
      </c>
      <c r="H880" s="652" t="s">
        <v>1159</v>
      </c>
      <c r="I880" s="652" t="s">
        <v>1159</v>
      </c>
      <c r="J880" s="652" t="s">
        <v>1159</v>
      </c>
      <c r="K880" s="652" t="s">
        <v>1159</v>
      </c>
      <c r="L880" s="652" t="s">
        <v>1159</v>
      </c>
      <c r="M880" s="652" t="s">
        <v>1159</v>
      </c>
      <c r="N880" s="652" t="s">
        <v>1159</v>
      </c>
      <c r="O880" s="652" t="s">
        <v>1159</v>
      </c>
    </row>
    <row r="881" spans="1:15">
      <c r="A881" s="652">
        <v>76</v>
      </c>
      <c r="B881" s="653"/>
      <c r="C881" s="659" t="s">
        <v>1271</v>
      </c>
      <c r="D881" s="664" t="s">
        <v>9</v>
      </c>
      <c r="E881" s="666">
        <v>2290</v>
      </c>
      <c r="F881" s="664">
        <v>2</v>
      </c>
      <c r="G881" s="656">
        <f t="shared" si="59"/>
        <v>4580</v>
      </c>
      <c r="H881" s="652" t="s">
        <v>1159</v>
      </c>
      <c r="I881" s="652" t="s">
        <v>1159</v>
      </c>
      <c r="J881" s="652" t="s">
        <v>1159</v>
      </c>
      <c r="K881" s="652" t="s">
        <v>1159</v>
      </c>
      <c r="L881" s="652" t="s">
        <v>1159</v>
      </c>
      <c r="M881" s="652" t="s">
        <v>1159</v>
      </c>
      <c r="N881" s="652" t="s">
        <v>1159</v>
      </c>
      <c r="O881" s="652" t="s">
        <v>1159</v>
      </c>
    </row>
    <row r="882" spans="1:15">
      <c r="A882" s="652">
        <v>77</v>
      </c>
      <c r="B882" s="653" t="s">
        <v>203</v>
      </c>
      <c r="C882" s="659" t="s">
        <v>1272</v>
      </c>
      <c r="D882" s="664" t="s">
        <v>9</v>
      </c>
      <c r="E882" s="666">
        <v>2290</v>
      </c>
      <c r="F882" s="664">
        <v>1</v>
      </c>
      <c r="G882" s="656">
        <f t="shared" si="59"/>
        <v>2290</v>
      </c>
      <c r="H882" s="652" t="s">
        <v>1159</v>
      </c>
      <c r="I882" s="652" t="s">
        <v>1159</v>
      </c>
      <c r="J882" s="652" t="s">
        <v>1159</v>
      </c>
      <c r="K882" s="652" t="s">
        <v>1159</v>
      </c>
      <c r="L882" s="652" t="s">
        <v>1159</v>
      </c>
      <c r="M882" s="652" t="s">
        <v>1159</v>
      </c>
      <c r="N882" s="652" t="s">
        <v>1159</v>
      </c>
      <c r="O882" s="652" t="s">
        <v>1159</v>
      </c>
    </row>
    <row r="883" spans="1:15">
      <c r="A883" s="652">
        <v>78</v>
      </c>
      <c r="B883" s="653"/>
      <c r="C883" s="659" t="s">
        <v>1273</v>
      </c>
      <c r="D883" s="664" t="s">
        <v>9</v>
      </c>
      <c r="E883" s="666">
        <v>572.5</v>
      </c>
      <c r="F883" s="664">
        <v>4</v>
      </c>
      <c r="G883" s="656">
        <f t="shared" si="59"/>
        <v>2290</v>
      </c>
      <c r="H883" s="652" t="s">
        <v>1159</v>
      </c>
      <c r="I883" s="652" t="s">
        <v>1159</v>
      </c>
      <c r="J883" s="652" t="s">
        <v>1159</v>
      </c>
      <c r="K883" s="652" t="s">
        <v>1159</v>
      </c>
      <c r="L883" s="652" t="s">
        <v>1159</v>
      </c>
      <c r="M883" s="652" t="s">
        <v>1159</v>
      </c>
      <c r="N883" s="652" t="s">
        <v>1159</v>
      </c>
      <c r="O883" s="652" t="s">
        <v>1159</v>
      </c>
    </row>
    <row r="884" spans="1:15">
      <c r="A884" s="652">
        <v>79</v>
      </c>
      <c r="B884" s="653" t="s">
        <v>1274</v>
      </c>
      <c r="C884" s="659" t="s">
        <v>1275</v>
      </c>
      <c r="D884" s="664" t="s">
        <v>3</v>
      </c>
      <c r="E884" s="667">
        <v>18000</v>
      </c>
      <c r="F884" s="664">
        <v>11</v>
      </c>
      <c r="G884" s="656">
        <f t="shared" si="59"/>
        <v>198000</v>
      </c>
      <c r="H884" s="652" t="s">
        <v>1159</v>
      </c>
      <c r="I884" s="652" t="s">
        <v>1159</v>
      </c>
      <c r="J884" s="652" t="s">
        <v>1159</v>
      </c>
      <c r="K884" s="652" t="s">
        <v>1159</v>
      </c>
      <c r="L884" s="652" t="s">
        <v>1159</v>
      </c>
      <c r="M884" s="652" t="s">
        <v>1159</v>
      </c>
      <c r="N884" s="652" t="s">
        <v>1159</v>
      </c>
      <c r="O884" s="652" t="s">
        <v>1159</v>
      </c>
    </row>
    <row r="885" spans="1:15">
      <c r="A885" s="652">
        <v>80</v>
      </c>
      <c r="B885" s="653" t="s">
        <v>206</v>
      </c>
      <c r="C885" s="659" t="s">
        <v>1276</v>
      </c>
      <c r="D885" s="664" t="s">
        <v>3</v>
      </c>
      <c r="E885" s="667">
        <v>20000</v>
      </c>
      <c r="F885" s="664">
        <v>9</v>
      </c>
      <c r="G885" s="656">
        <f t="shared" si="59"/>
        <v>180000</v>
      </c>
      <c r="H885" s="652" t="s">
        <v>1159</v>
      </c>
      <c r="I885" s="652" t="s">
        <v>1159</v>
      </c>
      <c r="J885" s="652" t="s">
        <v>1159</v>
      </c>
      <c r="K885" s="652" t="s">
        <v>1159</v>
      </c>
      <c r="L885" s="652" t="s">
        <v>1159</v>
      </c>
      <c r="M885" s="652" t="s">
        <v>1159</v>
      </c>
      <c r="N885" s="652" t="s">
        <v>1159</v>
      </c>
      <c r="O885" s="652" t="s">
        <v>1159</v>
      </c>
    </row>
    <row r="886" spans="1:15">
      <c r="A886" s="652">
        <v>81</v>
      </c>
      <c r="B886" s="653" t="s">
        <v>1277</v>
      </c>
      <c r="C886" s="659" t="s">
        <v>1278</v>
      </c>
      <c r="D886" s="664" t="s">
        <v>3</v>
      </c>
      <c r="E886" s="667">
        <v>100000</v>
      </c>
      <c r="F886" s="664">
        <v>3</v>
      </c>
      <c r="G886" s="656">
        <f t="shared" si="59"/>
        <v>300000</v>
      </c>
      <c r="H886" s="652" t="s">
        <v>1159</v>
      </c>
      <c r="I886" s="652" t="s">
        <v>1159</v>
      </c>
      <c r="J886" s="652" t="s">
        <v>1159</v>
      </c>
      <c r="K886" s="652" t="s">
        <v>1159</v>
      </c>
      <c r="L886" s="652" t="s">
        <v>1159</v>
      </c>
      <c r="M886" s="652" t="s">
        <v>1159</v>
      </c>
      <c r="N886" s="652" t="s">
        <v>1159</v>
      </c>
      <c r="O886" s="652" t="s">
        <v>1159</v>
      </c>
    </row>
    <row r="887" spans="1:15">
      <c r="A887" s="652">
        <v>82</v>
      </c>
      <c r="B887" s="653" t="s">
        <v>1277</v>
      </c>
      <c r="C887" s="659" t="s">
        <v>1279</v>
      </c>
      <c r="D887" s="664" t="s">
        <v>3</v>
      </c>
      <c r="E887" s="667">
        <v>20000</v>
      </c>
      <c r="F887" s="664">
        <v>12</v>
      </c>
      <c r="G887" s="656">
        <f t="shared" si="59"/>
        <v>240000</v>
      </c>
      <c r="H887" s="652" t="s">
        <v>1159</v>
      </c>
      <c r="I887" s="652" t="s">
        <v>1159</v>
      </c>
      <c r="J887" s="652" t="s">
        <v>1159</v>
      </c>
      <c r="K887" s="652" t="s">
        <v>1159</v>
      </c>
      <c r="L887" s="652" t="s">
        <v>1159</v>
      </c>
      <c r="M887" s="652" t="s">
        <v>1159</v>
      </c>
      <c r="N887" s="652" t="s">
        <v>1159</v>
      </c>
      <c r="O887" s="652" t="s">
        <v>1159</v>
      </c>
    </row>
    <row r="888" spans="1:15">
      <c r="A888" s="652">
        <v>83</v>
      </c>
      <c r="B888" s="653" t="s">
        <v>202</v>
      </c>
      <c r="C888" s="659" t="s">
        <v>1280</v>
      </c>
      <c r="D888" s="664" t="s">
        <v>3</v>
      </c>
      <c r="E888" s="667">
        <v>12000</v>
      </c>
      <c r="F888" s="664">
        <v>3</v>
      </c>
      <c r="G888" s="656">
        <f t="shared" si="59"/>
        <v>36000</v>
      </c>
      <c r="H888" s="652" t="s">
        <v>1159</v>
      </c>
      <c r="I888" s="652" t="s">
        <v>1159</v>
      </c>
      <c r="J888" s="652" t="s">
        <v>1159</v>
      </c>
      <c r="K888" s="652" t="s">
        <v>1159</v>
      </c>
      <c r="L888" s="652" t="s">
        <v>1159</v>
      </c>
      <c r="M888" s="652" t="s">
        <v>1159</v>
      </c>
      <c r="N888" s="652" t="s">
        <v>1159</v>
      </c>
      <c r="O888" s="652" t="s">
        <v>1159</v>
      </c>
    </row>
    <row r="889" spans="1:15">
      <c r="A889" s="652">
        <v>84</v>
      </c>
      <c r="B889" s="653" t="s">
        <v>202</v>
      </c>
      <c r="C889" s="659" t="s">
        <v>1281</v>
      </c>
      <c r="D889" s="664" t="s">
        <v>3</v>
      </c>
      <c r="E889" s="667">
        <v>5000</v>
      </c>
      <c r="F889" s="664">
        <v>12</v>
      </c>
      <c r="G889" s="656">
        <f t="shared" si="59"/>
        <v>60000</v>
      </c>
      <c r="H889" s="652" t="s">
        <v>1159</v>
      </c>
      <c r="I889" s="652" t="s">
        <v>1159</v>
      </c>
      <c r="J889" s="652" t="s">
        <v>1159</v>
      </c>
      <c r="K889" s="652" t="s">
        <v>1159</v>
      </c>
      <c r="L889" s="652" t="s">
        <v>1159</v>
      </c>
      <c r="M889" s="652" t="s">
        <v>1159</v>
      </c>
      <c r="N889" s="652" t="s">
        <v>1159</v>
      </c>
      <c r="O889" s="652" t="s">
        <v>1159</v>
      </c>
    </row>
    <row r="890" spans="1:15">
      <c r="A890" s="652">
        <v>85</v>
      </c>
      <c r="B890" s="653" t="s">
        <v>315</v>
      </c>
      <c r="C890" s="659" t="s">
        <v>1282</v>
      </c>
      <c r="D890" s="664" t="s">
        <v>3</v>
      </c>
      <c r="E890" s="667">
        <v>2000</v>
      </c>
      <c r="F890" s="664">
        <v>3</v>
      </c>
      <c r="G890" s="656">
        <f t="shared" si="59"/>
        <v>6000</v>
      </c>
      <c r="H890" s="652" t="s">
        <v>1159</v>
      </c>
      <c r="I890" s="652" t="s">
        <v>1159</v>
      </c>
      <c r="J890" s="652" t="s">
        <v>1159</v>
      </c>
      <c r="K890" s="652" t="s">
        <v>1159</v>
      </c>
      <c r="L890" s="652" t="s">
        <v>1159</v>
      </c>
      <c r="M890" s="652" t="s">
        <v>1159</v>
      </c>
      <c r="N890" s="652" t="s">
        <v>1159</v>
      </c>
      <c r="O890" s="652" t="s">
        <v>1159</v>
      </c>
    </row>
    <row r="891" spans="1:15">
      <c r="A891" s="652">
        <v>86</v>
      </c>
      <c r="B891" s="653"/>
      <c r="C891" s="659" t="s">
        <v>1283</v>
      </c>
      <c r="D891" s="664" t="s">
        <v>552</v>
      </c>
      <c r="E891" s="666">
        <v>68.25</v>
      </c>
      <c r="F891" s="664">
        <v>2619</v>
      </c>
      <c r="G891" s="656">
        <f t="shared" si="59"/>
        <v>178746.75</v>
      </c>
      <c r="H891" s="652" t="s">
        <v>1159</v>
      </c>
      <c r="I891" s="652" t="s">
        <v>1159</v>
      </c>
      <c r="J891" s="652" t="s">
        <v>1159</v>
      </c>
      <c r="K891" s="652" t="s">
        <v>1159</v>
      </c>
      <c r="L891" s="652" t="s">
        <v>1159</v>
      </c>
      <c r="M891" s="652" t="s">
        <v>1159</v>
      </c>
      <c r="N891" s="652" t="s">
        <v>1159</v>
      </c>
      <c r="O891" s="652" t="s">
        <v>1159</v>
      </c>
    </row>
    <row r="892" spans="1:15">
      <c r="A892" s="652">
        <v>87</v>
      </c>
      <c r="B892" s="653" t="s">
        <v>1284</v>
      </c>
      <c r="C892" s="659" t="s">
        <v>1285</v>
      </c>
      <c r="D892" s="664" t="s">
        <v>552</v>
      </c>
      <c r="E892" s="666">
        <v>63</v>
      </c>
      <c r="F892" s="668">
        <v>1874.076</v>
      </c>
      <c r="G892" s="656">
        <f t="shared" si="59"/>
        <v>118066.788</v>
      </c>
      <c r="H892" s="652" t="s">
        <v>1159</v>
      </c>
      <c r="I892" s="652" t="s">
        <v>1159</v>
      </c>
      <c r="J892" s="652" t="s">
        <v>1159</v>
      </c>
      <c r="K892" s="652" t="s">
        <v>1159</v>
      </c>
      <c r="L892" s="652" t="s">
        <v>1159</v>
      </c>
      <c r="M892" s="652" t="s">
        <v>1159</v>
      </c>
      <c r="N892" s="652" t="s">
        <v>1159</v>
      </c>
      <c r="O892" s="652" t="s">
        <v>1159</v>
      </c>
    </row>
    <row r="893" spans="1:15" ht="28.5">
      <c r="A893" s="652">
        <v>88</v>
      </c>
      <c r="B893" s="653" t="s">
        <v>1057</v>
      </c>
      <c r="C893" s="659" t="s">
        <v>1286</v>
      </c>
      <c r="D893" s="664" t="s">
        <v>1287</v>
      </c>
      <c r="E893" s="666">
        <v>420</v>
      </c>
      <c r="F893" s="664">
        <v>459</v>
      </c>
      <c r="G893" s="656">
        <f t="shared" si="59"/>
        <v>192780</v>
      </c>
      <c r="H893" s="652" t="s">
        <v>1159</v>
      </c>
      <c r="I893" s="652" t="s">
        <v>1159</v>
      </c>
      <c r="J893" s="652" t="s">
        <v>1159</v>
      </c>
      <c r="K893" s="652" t="s">
        <v>1159</v>
      </c>
      <c r="L893" s="652" t="s">
        <v>1159</v>
      </c>
      <c r="M893" s="652" t="s">
        <v>1159</v>
      </c>
      <c r="N893" s="652" t="s">
        <v>1159</v>
      </c>
      <c r="O893" s="652" t="s">
        <v>1159</v>
      </c>
    </row>
    <row r="894" spans="1:15">
      <c r="A894" s="652">
        <v>89</v>
      </c>
      <c r="B894" s="653"/>
      <c r="C894" s="659" t="s">
        <v>1288</v>
      </c>
      <c r="D894" s="664" t="s">
        <v>552</v>
      </c>
      <c r="E894" s="666">
        <v>84</v>
      </c>
      <c r="F894" s="664">
        <v>80</v>
      </c>
      <c r="G894" s="656">
        <f t="shared" si="59"/>
        <v>6720</v>
      </c>
      <c r="H894" s="652" t="s">
        <v>1159</v>
      </c>
      <c r="I894" s="652" t="s">
        <v>1159</v>
      </c>
      <c r="J894" s="652" t="s">
        <v>1159</v>
      </c>
      <c r="K894" s="652" t="s">
        <v>1159</v>
      </c>
      <c r="L894" s="652" t="s">
        <v>1159</v>
      </c>
      <c r="M894" s="652" t="s">
        <v>1159</v>
      </c>
      <c r="N894" s="652" t="s">
        <v>1159</v>
      </c>
      <c r="O894" s="652" t="s">
        <v>1159</v>
      </c>
    </row>
    <row r="895" spans="1:15">
      <c r="A895" s="653">
        <v>90</v>
      </c>
      <c r="B895" s="653" t="s">
        <v>1247</v>
      </c>
      <c r="C895" s="659" t="s">
        <v>1289</v>
      </c>
      <c r="D895" s="669" t="s">
        <v>3</v>
      </c>
      <c r="E895" s="670">
        <v>569.35</v>
      </c>
      <c r="F895" s="671">
        <v>80</v>
      </c>
      <c r="G895" s="658">
        <f t="shared" si="59"/>
        <v>45548</v>
      </c>
      <c r="H895" s="653" t="s">
        <v>1159</v>
      </c>
      <c r="I895" s="653" t="s">
        <v>1159</v>
      </c>
      <c r="J895" s="653" t="s">
        <v>1159</v>
      </c>
      <c r="K895" s="653" t="s">
        <v>1159</v>
      </c>
      <c r="L895" s="653" t="s">
        <v>1159</v>
      </c>
      <c r="M895" s="653" t="s">
        <v>1159</v>
      </c>
      <c r="N895" s="653" t="s">
        <v>1159</v>
      </c>
      <c r="O895" s="653" t="s">
        <v>1159</v>
      </c>
    </row>
    <row r="896" spans="1:15">
      <c r="A896" s="653">
        <v>91</v>
      </c>
      <c r="B896" s="653" t="s">
        <v>1243</v>
      </c>
      <c r="C896" s="659" t="s">
        <v>1290</v>
      </c>
      <c r="D896" s="669" t="s">
        <v>3</v>
      </c>
      <c r="E896" s="670">
        <v>569.35</v>
      </c>
      <c r="F896" s="671">
        <v>80</v>
      </c>
      <c r="G896" s="658">
        <f t="shared" si="59"/>
        <v>45548</v>
      </c>
      <c r="H896" s="653"/>
      <c r="I896" s="653"/>
      <c r="J896" s="653"/>
      <c r="K896" s="653"/>
      <c r="L896" s="653"/>
      <c r="M896" s="653"/>
      <c r="N896" s="653"/>
      <c r="O896" s="653"/>
    </row>
    <row r="897" spans="1:15">
      <c r="A897" s="652">
        <v>92</v>
      </c>
      <c r="B897" s="653" t="s">
        <v>1241</v>
      </c>
      <c r="C897" s="659" t="s">
        <v>1291</v>
      </c>
      <c r="D897" s="668" t="s">
        <v>961</v>
      </c>
      <c r="E897" s="666">
        <v>584.1</v>
      </c>
      <c r="F897" s="664">
        <v>15</v>
      </c>
      <c r="G897" s="656">
        <f t="shared" si="59"/>
        <v>8761.5</v>
      </c>
      <c r="H897" s="652" t="s">
        <v>1159</v>
      </c>
      <c r="I897" s="652" t="s">
        <v>1159</v>
      </c>
      <c r="J897" s="652" t="s">
        <v>1159</v>
      </c>
      <c r="K897" s="652" t="s">
        <v>1159</v>
      </c>
      <c r="L897" s="652" t="s">
        <v>1159</v>
      </c>
      <c r="M897" s="652" t="s">
        <v>1159</v>
      </c>
      <c r="N897" s="652" t="s">
        <v>1159</v>
      </c>
      <c r="O897" s="652" t="s">
        <v>1159</v>
      </c>
    </row>
    <row r="898" spans="1:15" ht="28.5">
      <c r="A898" s="652">
        <v>93</v>
      </c>
      <c r="B898" s="653" t="s">
        <v>779</v>
      </c>
      <c r="C898" s="659" t="s">
        <v>1292</v>
      </c>
      <c r="D898" s="668" t="s">
        <v>3</v>
      </c>
      <c r="E898" s="667">
        <v>5000</v>
      </c>
      <c r="F898" s="664">
        <v>2</v>
      </c>
      <c r="G898" s="656">
        <f t="shared" si="59"/>
        <v>10000</v>
      </c>
      <c r="H898" s="652" t="s">
        <v>1159</v>
      </c>
      <c r="I898" s="652" t="s">
        <v>1159</v>
      </c>
      <c r="J898" s="652" t="s">
        <v>1159</v>
      </c>
      <c r="K898" s="652" t="s">
        <v>1159</v>
      </c>
      <c r="L898" s="652" t="s">
        <v>1159</v>
      </c>
      <c r="M898" s="652" t="s">
        <v>1159</v>
      </c>
      <c r="N898" s="652" t="s">
        <v>1159</v>
      </c>
      <c r="O898" s="652" t="s">
        <v>1159</v>
      </c>
    </row>
    <row r="899" spans="1:15" ht="28.5">
      <c r="A899" s="652">
        <v>94</v>
      </c>
      <c r="B899" s="653" t="s">
        <v>781</v>
      </c>
      <c r="C899" s="659" t="s">
        <v>1293</v>
      </c>
      <c r="D899" s="668" t="s">
        <v>3</v>
      </c>
      <c r="E899" s="667">
        <v>2000</v>
      </c>
      <c r="F899" s="664">
        <v>1</v>
      </c>
      <c r="G899" s="656">
        <f t="shared" si="59"/>
        <v>2000</v>
      </c>
      <c r="H899" s="652" t="s">
        <v>1159</v>
      </c>
      <c r="I899" s="652" t="s">
        <v>1159</v>
      </c>
      <c r="J899" s="652" t="s">
        <v>1159</v>
      </c>
      <c r="K899" s="652" t="s">
        <v>1159</v>
      </c>
      <c r="L899" s="652" t="s">
        <v>1159</v>
      </c>
      <c r="M899" s="652" t="s">
        <v>1159</v>
      </c>
      <c r="N899" s="652" t="s">
        <v>1159</v>
      </c>
      <c r="O899" s="652" t="s">
        <v>1159</v>
      </c>
    </row>
    <row r="900" spans="1:15">
      <c r="A900" s="652">
        <v>95</v>
      </c>
      <c r="B900" s="653" t="s">
        <v>779</v>
      </c>
      <c r="C900" s="659" t="s">
        <v>1294</v>
      </c>
      <c r="D900" s="668" t="s">
        <v>3</v>
      </c>
      <c r="E900" s="667">
        <v>5000</v>
      </c>
      <c r="F900" s="664">
        <v>3</v>
      </c>
      <c r="G900" s="656">
        <f t="shared" si="59"/>
        <v>15000</v>
      </c>
      <c r="H900" s="652" t="s">
        <v>1159</v>
      </c>
      <c r="I900" s="652" t="s">
        <v>1159</v>
      </c>
      <c r="J900" s="652" t="s">
        <v>1159</v>
      </c>
      <c r="K900" s="652" t="s">
        <v>1159</v>
      </c>
      <c r="L900" s="652" t="s">
        <v>1159</v>
      </c>
      <c r="M900" s="652" t="s">
        <v>1159</v>
      </c>
      <c r="N900" s="652" t="s">
        <v>1159</v>
      </c>
      <c r="O900" s="652" t="s">
        <v>1159</v>
      </c>
    </row>
    <row r="901" spans="1:15" ht="28.5">
      <c r="A901" s="652">
        <v>96</v>
      </c>
      <c r="B901" s="653" t="s">
        <v>1295</v>
      </c>
      <c r="C901" s="659" t="s">
        <v>1296</v>
      </c>
      <c r="D901" s="668" t="s">
        <v>3</v>
      </c>
      <c r="E901" s="667">
        <v>5000</v>
      </c>
      <c r="F901" s="664">
        <v>1</v>
      </c>
      <c r="G901" s="656">
        <f t="shared" si="59"/>
        <v>5000</v>
      </c>
      <c r="H901" s="652" t="s">
        <v>1159</v>
      </c>
      <c r="I901" s="652" t="s">
        <v>1159</v>
      </c>
      <c r="J901" s="652" t="s">
        <v>1159</v>
      </c>
      <c r="K901" s="652" t="s">
        <v>1159</v>
      </c>
      <c r="L901" s="652" t="s">
        <v>1159</v>
      </c>
      <c r="M901" s="652" t="s">
        <v>1159</v>
      </c>
      <c r="N901" s="652" t="s">
        <v>1159</v>
      </c>
      <c r="O901" s="652" t="s">
        <v>1159</v>
      </c>
    </row>
    <row r="902" spans="1:15" ht="28.5">
      <c r="A902" s="652">
        <v>97</v>
      </c>
      <c r="B902" s="653" t="s">
        <v>373</v>
      </c>
      <c r="C902" s="659" t="s">
        <v>1297</v>
      </c>
      <c r="D902" s="668" t="s">
        <v>3</v>
      </c>
      <c r="E902" s="667">
        <v>25000</v>
      </c>
      <c r="F902" s="664">
        <v>1</v>
      </c>
      <c r="G902" s="656">
        <f t="shared" si="59"/>
        <v>25000</v>
      </c>
      <c r="H902" s="652" t="s">
        <v>1159</v>
      </c>
      <c r="I902" s="652" t="s">
        <v>1159</v>
      </c>
      <c r="J902" s="652" t="s">
        <v>1159</v>
      </c>
      <c r="K902" s="652" t="s">
        <v>1159</v>
      </c>
      <c r="L902" s="652" t="s">
        <v>1159</v>
      </c>
      <c r="M902" s="652" t="s">
        <v>1159</v>
      </c>
      <c r="N902" s="652" t="s">
        <v>1159</v>
      </c>
      <c r="O902" s="652" t="s">
        <v>1159</v>
      </c>
    </row>
    <row r="903" spans="1:15" ht="28.5">
      <c r="A903" s="652">
        <v>98</v>
      </c>
      <c r="B903" s="653" t="s">
        <v>779</v>
      </c>
      <c r="C903" s="659" t="s">
        <v>1298</v>
      </c>
      <c r="D903" s="668" t="s">
        <v>3</v>
      </c>
      <c r="E903" s="666">
        <v>5000</v>
      </c>
      <c r="F903" s="664">
        <v>1</v>
      </c>
      <c r="G903" s="656">
        <f t="shared" si="59"/>
        <v>5000</v>
      </c>
      <c r="H903" s="652" t="s">
        <v>1159</v>
      </c>
      <c r="I903" s="652" t="s">
        <v>1159</v>
      </c>
      <c r="J903" s="652" t="s">
        <v>1159</v>
      </c>
      <c r="K903" s="652" t="s">
        <v>1159</v>
      </c>
      <c r="L903" s="652" t="s">
        <v>1159</v>
      </c>
      <c r="M903" s="652" t="s">
        <v>1159</v>
      </c>
      <c r="N903" s="652" t="s">
        <v>1159</v>
      </c>
      <c r="O903" s="652" t="s">
        <v>1159</v>
      </c>
    </row>
    <row r="904" spans="1:15" ht="28.5">
      <c r="A904" s="652">
        <v>99</v>
      </c>
      <c r="B904" s="653" t="s">
        <v>779</v>
      </c>
      <c r="C904" s="659" t="s">
        <v>1299</v>
      </c>
      <c r="D904" s="668" t="s">
        <v>3</v>
      </c>
      <c r="E904" s="666">
        <v>25000</v>
      </c>
      <c r="F904" s="664">
        <v>1</v>
      </c>
      <c r="G904" s="656">
        <f t="shared" si="59"/>
        <v>25000</v>
      </c>
      <c r="H904" s="652" t="s">
        <v>1159</v>
      </c>
      <c r="I904" s="652" t="s">
        <v>1159</v>
      </c>
      <c r="J904" s="652" t="s">
        <v>1159</v>
      </c>
      <c r="K904" s="652" t="s">
        <v>1159</v>
      </c>
      <c r="L904" s="652" t="s">
        <v>1159</v>
      </c>
      <c r="M904" s="652" t="s">
        <v>1159</v>
      </c>
      <c r="N904" s="652" t="s">
        <v>1159</v>
      </c>
      <c r="O904" s="652" t="s">
        <v>1159</v>
      </c>
    </row>
    <row r="905" spans="1:15">
      <c r="A905" s="652">
        <v>100</v>
      </c>
      <c r="B905" s="653" t="s">
        <v>164</v>
      </c>
      <c r="C905" s="659" t="s">
        <v>12</v>
      </c>
      <c r="D905" s="668" t="s">
        <v>1300</v>
      </c>
      <c r="E905" s="666">
        <v>115535</v>
      </c>
      <c r="F905" s="664">
        <v>1.0449999999999999</v>
      </c>
      <c r="G905" s="672">
        <f t="shared" si="59"/>
        <v>120734.075</v>
      </c>
      <c r="H905" s="652" t="s">
        <v>1159</v>
      </c>
      <c r="I905" s="652" t="s">
        <v>1159</v>
      </c>
      <c r="J905" s="652" t="s">
        <v>1159</v>
      </c>
      <c r="K905" s="652" t="s">
        <v>1159</v>
      </c>
      <c r="L905" s="652" t="s">
        <v>1159</v>
      </c>
      <c r="M905" s="652" t="s">
        <v>1159</v>
      </c>
      <c r="N905" s="652" t="s">
        <v>1159</v>
      </c>
      <c r="O905" s="652" t="s">
        <v>1159</v>
      </c>
    </row>
    <row r="906" spans="1:15" ht="28.5">
      <c r="A906" s="652">
        <v>101</v>
      </c>
      <c r="B906" s="653" t="s">
        <v>1301</v>
      </c>
      <c r="C906" s="659" t="s">
        <v>1302</v>
      </c>
      <c r="D906" s="668" t="s">
        <v>287</v>
      </c>
      <c r="E906" s="666">
        <v>8550</v>
      </c>
      <c r="F906" s="664">
        <v>7.9</v>
      </c>
      <c r="G906" s="672">
        <f t="shared" si="59"/>
        <v>67545</v>
      </c>
      <c r="H906" s="652" t="s">
        <v>1159</v>
      </c>
      <c r="I906" s="652" t="s">
        <v>1159</v>
      </c>
      <c r="J906" s="652" t="s">
        <v>1159</v>
      </c>
      <c r="K906" s="652" t="s">
        <v>1159</v>
      </c>
      <c r="L906" s="652" t="s">
        <v>1159</v>
      </c>
      <c r="M906" s="652" t="s">
        <v>1159</v>
      </c>
      <c r="N906" s="652" t="s">
        <v>1159</v>
      </c>
      <c r="O906" s="652" t="s">
        <v>1159</v>
      </c>
    </row>
    <row r="907" spans="1:15">
      <c r="A907" s="652">
        <v>102</v>
      </c>
      <c r="B907" s="653" t="s">
        <v>1047</v>
      </c>
      <c r="C907" s="659" t="s">
        <v>1303</v>
      </c>
      <c r="D907" s="668" t="s">
        <v>3</v>
      </c>
      <c r="E907" s="666">
        <v>53690</v>
      </c>
      <c r="F907" s="664">
        <v>1</v>
      </c>
      <c r="G907" s="672">
        <f t="shared" si="59"/>
        <v>53690</v>
      </c>
      <c r="H907" s="652" t="s">
        <v>1159</v>
      </c>
      <c r="I907" s="652" t="s">
        <v>1159</v>
      </c>
      <c r="J907" s="652" t="s">
        <v>1159</v>
      </c>
      <c r="K907" s="652" t="s">
        <v>1159</v>
      </c>
      <c r="L907" s="652" t="s">
        <v>1159</v>
      </c>
      <c r="M907" s="652" t="s">
        <v>1159</v>
      </c>
      <c r="N907" s="652" t="s">
        <v>1159</v>
      </c>
      <c r="O907" s="652" t="s">
        <v>1159</v>
      </c>
    </row>
    <row r="908" spans="1:15">
      <c r="A908" s="652">
        <v>103</v>
      </c>
      <c r="B908" s="653" t="s">
        <v>809</v>
      </c>
      <c r="C908" s="659" t="s">
        <v>1304</v>
      </c>
      <c r="D908" s="668" t="s">
        <v>3</v>
      </c>
      <c r="E908" s="666">
        <v>40710</v>
      </c>
      <c r="F908" s="664">
        <v>1</v>
      </c>
      <c r="G908" s="672">
        <f t="shared" si="59"/>
        <v>40710</v>
      </c>
      <c r="H908" s="652" t="s">
        <v>1159</v>
      </c>
      <c r="I908" s="652" t="s">
        <v>1159</v>
      </c>
      <c r="J908" s="652" t="s">
        <v>1159</v>
      </c>
      <c r="K908" s="652" t="s">
        <v>1159</v>
      </c>
      <c r="L908" s="652" t="s">
        <v>1159</v>
      </c>
      <c r="M908" s="652" t="s">
        <v>1159</v>
      </c>
      <c r="N908" s="652" t="s">
        <v>1159</v>
      </c>
      <c r="O908" s="652" t="s">
        <v>1159</v>
      </c>
    </row>
    <row r="909" spans="1:15">
      <c r="A909" s="652">
        <v>104</v>
      </c>
      <c r="B909" s="653" t="s">
        <v>315</v>
      </c>
      <c r="C909" s="659" t="s">
        <v>1305</v>
      </c>
      <c r="D909" s="669" t="s">
        <v>3</v>
      </c>
      <c r="E909" s="670">
        <v>22656</v>
      </c>
      <c r="F909" s="671">
        <v>2</v>
      </c>
      <c r="G909" s="672">
        <f t="shared" si="59"/>
        <v>45312</v>
      </c>
      <c r="H909" s="652" t="s">
        <v>1159</v>
      </c>
      <c r="I909" s="652" t="s">
        <v>1159</v>
      </c>
      <c r="J909" s="652" t="s">
        <v>1159</v>
      </c>
      <c r="K909" s="652" t="s">
        <v>1159</v>
      </c>
      <c r="L909" s="652" t="s">
        <v>1159</v>
      </c>
      <c r="M909" s="652" t="s">
        <v>1159</v>
      </c>
      <c r="N909" s="652" t="s">
        <v>1159</v>
      </c>
      <c r="O909" s="652" t="s">
        <v>1159</v>
      </c>
    </row>
    <row r="910" spans="1:15">
      <c r="A910" s="652">
        <v>105</v>
      </c>
      <c r="B910" s="653" t="s">
        <v>1306</v>
      </c>
      <c r="C910" s="659" t="s">
        <v>1307</v>
      </c>
      <c r="D910" s="669" t="s">
        <v>3</v>
      </c>
      <c r="E910" s="670">
        <v>4655.1000000000004</v>
      </c>
      <c r="F910" s="671">
        <v>4</v>
      </c>
      <c r="G910" s="673">
        <f t="shared" si="59"/>
        <v>18620.400000000001</v>
      </c>
      <c r="H910" s="652"/>
      <c r="I910" s="652"/>
      <c r="J910" s="652"/>
      <c r="K910" s="652"/>
      <c r="L910" s="652"/>
      <c r="M910" s="652"/>
      <c r="N910" s="652"/>
      <c r="O910" s="652"/>
    </row>
    <row r="911" spans="1:15">
      <c r="A911" s="652">
        <v>106</v>
      </c>
      <c r="B911" s="653" t="s">
        <v>331</v>
      </c>
      <c r="C911" s="659" t="s">
        <v>1308</v>
      </c>
      <c r="D911" s="668" t="s">
        <v>3</v>
      </c>
      <c r="E911" s="666">
        <v>1469.1</v>
      </c>
      <c r="F911" s="664">
        <v>6</v>
      </c>
      <c r="G911" s="672">
        <f t="shared" si="59"/>
        <v>8814.5999999999985</v>
      </c>
      <c r="H911" s="652"/>
      <c r="I911" s="652"/>
      <c r="J911" s="652"/>
      <c r="K911" s="652"/>
      <c r="L911" s="652"/>
      <c r="M911" s="652"/>
      <c r="N911" s="652" t="s">
        <v>1309</v>
      </c>
      <c r="O911" s="652"/>
    </row>
    <row r="912" spans="1:15">
      <c r="A912" s="652">
        <v>107</v>
      </c>
      <c r="B912" s="653" t="s">
        <v>1310</v>
      </c>
      <c r="C912" s="659" t="s">
        <v>1311</v>
      </c>
      <c r="D912" s="668" t="s">
        <v>3</v>
      </c>
      <c r="E912" s="666">
        <v>5000</v>
      </c>
      <c r="F912" s="664">
        <v>5</v>
      </c>
      <c r="G912" s="672">
        <f t="shared" si="59"/>
        <v>25000</v>
      </c>
      <c r="H912" s="652"/>
      <c r="I912" s="652"/>
      <c r="J912" s="652"/>
      <c r="K912" s="652"/>
      <c r="L912" s="652"/>
      <c r="M912" s="652"/>
      <c r="N912" s="652"/>
      <c r="O912" s="652"/>
    </row>
    <row r="913" spans="1:15">
      <c r="A913" s="652">
        <v>108</v>
      </c>
      <c r="B913" s="653" t="s">
        <v>434</v>
      </c>
      <c r="C913" s="659" t="s">
        <v>1312</v>
      </c>
      <c r="D913" s="668" t="s">
        <v>3</v>
      </c>
      <c r="E913" s="666">
        <v>5000</v>
      </c>
      <c r="F913" s="664">
        <v>4</v>
      </c>
      <c r="G913" s="672">
        <f t="shared" si="59"/>
        <v>20000</v>
      </c>
      <c r="H913" s="652"/>
      <c r="I913" s="652"/>
      <c r="J913" s="652"/>
      <c r="K913" s="652"/>
      <c r="L913" s="652"/>
      <c r="M913" s="652"/>
      <c r="N913" s="652"/>
      <c r="O913" s="652"/>
    </row>
    <row r="914" spans="1:15">
      <c r="A914" s="652">
        <v>109</v>
      </c>
      <c r="B914" s="653" t="s">
        <v>809</v>
      </c>
      <c r="C914" s="659" t="s">
        <v>1313</v>
      </c>
      <c r="D914" s="668" t="s">
        <v>3</v>
      </c>
      <c r="E914" s="666">
        <v>5000</v>
      </c>
      <c r="F914" s="664">
        <v>3</v>
      </c>
      <c r="G914" s="672">
        <f t="shared" si="59"/>
        <v>15000</v>
      </c>
      <c r="H914" s="652"/>
      <c r="I914" s="652"/>
      <c r="J914" s="652"/>
      <c r="K914" s="652"/>
      <c r="L914" s="652"/>
      <c r="M914" s="652"/>
      <c r="N914" s="652"/>
      <c r="O914" s="652"/>
    </row>
    <row r="915" spans="1:15" ht="28.5">
      <c r="A915" s="652">
        <v>110</v>
      </c>
      <c r="B915" s="653" t="s">
        <v>170</v>
      </c>
      <c r="C915" s="659" t="s">
        <v>1314</v>
      </c>
      <c r="D915" s="668" t="s">
        <v>3</v>
      </c>
      <c r="E915" s="666">
        <v>1563.5</v>
      </c>
      <c r="F915" s="256">
        <v>10</v>
      </c>
      <c r="G915" s="672">
        <f t="shared" si="59"/>
        <v>15635</v>
      </c>
      <c r="H915" s="652"/>
      <c r="I915" s="652"/>
      <c r="J915" s="652"/>
      <c r="K915" s="652"/>
      <c r="L915" s="652"/>
      <c r="M915" s="652"/>
      <c r="N915" s="652"/>
      <c r="O915" s="652"/>
    </row>
    <row r="916" spans="1:15">
      <c r="A916" s="652">
        <v>111</v>
      </c>
      <c r="B916" s="653" t="s">
        <v>172</v>
      </c>
      <c r="C916" s="659" t="s">
        <v>1315</v>
      </c>
      <c r="D916" s="668" t="s">
        <v>3</v>
      </c>
      <c r="E916" s="666">
        <v>684.4</v>
      </c>
      <c r="F916" s="256">
        <v>10</v>
      </c>
      <c r="G916" s="672">
        <f t="shared" si="59"/>
        <v>6844</v>
      </c>
      <c r="H916" s="652"/>
      <c r="I916" s="652"/>
      <c r="J916" s="652"/>
      <c r="K916" s="652"/>
      <c r="L916" s="652"/>
      <c r="M916" s="652"/>
      <c r="N916" s="652"/>
      <c r="O916" s="652"/>
    </row>
    <row r="917" spans="1:15" ht="28.5">
      <c r="A917" s="652">
        <v>112</v>
      </c>
      <c r="B917" s="653" t="s">
        <v>168</v>
      </c>
      <c r="C917" s="659" t="s">
        <v>1316</v>
      </c>
      <c r="D917" s="668" t="s">
        <v>3</v>
      </c>
      <c r="E917" s="666">
        <v>11800</v>
      </c>
      <c r="F917" s="256">
        <v>7</v>
      </c>
      <c r="G917" s="672">
        <f t="shared" si="59"/>
        <v>82600</v>
      </c>
      <c r="H917" s="652"/>
      <c r="I917" s="652"/>
      <c r="J917" s="652"/>
      <c r="K917" s="652"/>
      <c r="L917" s="652"/>
      <c r="M917" s="652"/>
      <c r="N917" s="652"/>
      <c r="O917" s="652"/>
    </row>
    <row r="918" spans="1:15" ht="28.5">
      <c r="A918" s="652">
        <v>113</v>
      </c>
      <c r="B918" s="653" t="s">
        <v>167</v>
      </c>
      <c r="C918" s="659" t="s">
        <v>1317</v>
      </c>
      <c r="D918" s="668" t="s">
        <v>3</v>
      </c>
      <c r="E918" s="666">
        <v>7139</v>
      </c>
      <c r="F918" s="256">
        <v>7</v>
      </c>
      <c r="G918" s="672">
        <f t="shared" si="59"/>
        <v>49973</v>
      </c>
      <c r="H918" s="652"/>
      <c r="I918" s="652"/>
      <c r="J918" s="652"/>
      <c r="K918" s="652"/>
      <c r="L918" s="652"/>
      <c r="M918" s="652"/>
      <c r="N918" s="652"/>
      <c r="O918" s="652"/>
    </row>
    <row r="919" spans="1:15">
      <c r="A919" s="652">
        <v>114</v>
      </c>
      <c r="B919" s="653" t="s">
        <v>565</v>
      </c>
      <c r="C919" s="659" t="s">
        <v>1318</v>
      </c>
      <c r="D919" s="668" t="s">
        <v>3</v>
      </c>
      <c r="E919" s="666">
        <v>1923.4</v>
      </c>
      <c r="F919" s="256">
        <v>20</v>
      </c>
      <c r="G919" s="672">
        <f t="shared" si="59"/>
        <v>38468</v>
      </c>
      <c r="H919" s="652"/>
      <c r="I919" s="652"/>
      <c r="J919" s="652"/>
      <c r="K919" s="652"/>
      <c r="L919" s="652"/>
      <c r="M919" s="652"/>
      <c r="N919" s="652"/>
      <c r="O919" s="652"/>
    </row>
    <row r="920" spans="1:15">
      <c r="A920" s="652">
        <v>115</v>
      </c>
      <c r="B920" s="653" t="s">
        <v>171</v>
      </c>
      <c r="C920" s="659" t="s">
        <v>1245</v>
      </c>
      <c r="D920" s="668" t="s">
        <v>3</v>
      </c>
      <c r="E920" s="666">
        <v>790.6</v>
      </c>
      <c r="F920" s="256">
        <v>10</v>
      </c>
      <c r="G920" s="672">
        <f t="shared" si="59"/>
        <v>7906</v>
      </c>
      <c r="H920" s="652"/>
      <c r="I920" s="652"/>
      <c r="J920" s="652"/>
      <c r="K920" s="652"/>
      <c r="L920" s="652"/>
      <c r="M920" s="652"/>
      <c r="N920" s="652"/>
      <c r="O920" s="652"/>
    </row>
    <row r="921" spans="1:15">
      <c r="A921" s="652">
        <v>116</v>
      </c>
      <c r="B921" s="653" t="s">
        <v>546</v>
      </c>
      <c r="C921" s="659" t="s">
        <v>1319</v>
      </c>
      <c r="D921" s="668" t="s">
        <v>3</v>
      </c>
      <c r="E921" s="666">
        <v>885</v>
      </c>
      <c r="F921" s="256">
        <v>10</v>
      </c>
      <c r="G921" s="672">
        <f t="shared" si="59"/>
        <v>8850</v>
      </c>
      <c r="H921" s="652"/>
      <c r="I921" s="652"/>
      <c r="J921" s="652"/>
      <c r="K921" s="652"/>
      <c r="L921" s="652"/>
      <c r="M921" s="652"/>
      <c r="N921" s="652"/>
      <c r="O921" s="652"/>
    </row>
    <row r="922" spans="1:15" ht="28.5">
      <c r="A922" s="652">
        <v>117</v>
      </c>
      <c r="B922" s="653" t="s">
        <v>1320</v>
      </c>
      <c r="C922" s="659" t="s">
        <v>1321</v>
      </c>
      <c r="D922" s="669" t="s">
        <v>3</v>
      </c>
      <c r="E922" s="670">
        <v>1711</v>
      </c>
      <c r="F922" s="674">
        <v>11</v>
      </c>
      <c r="G922" s="672">
        <f t="shared" si="59"/>
        <v>18821</v>
      </c>
      <c r="H922" s="652"/>
      <c r="I922" s="652"/>
      <c r="J922" s="652"/>
      <c r="K922" s="652"/>
      <c r="L922" s="652"/>
      <c r="M922" s="652"/>
      <c r="N922" s="652"/>
      <c r="O922" s="652"/>
    </row>
    <row r="923" spans="1:15" ht="28.5">
      <c r="A923" s="652">
        <v>118</v>
      </c>
      <c r="B923" s="653" t="s">
        <v>436</v>
      </c>
      <c r="C923" s="659" t="s">
        <v>1322</v>
      </c>
      <c r="D923" s="669" t="s">
        <v>3</v>
      </c>
      <c r="E923" s="670">
        <v>2500</v>
      </c>
      <c r="F923" s="674">
        <v>2</v>
      </c>
      <c r="G923" s="672">
        <f t="shared" si="59"/>
        <v>5000</v>
      </c>
      <c r="H923" s="652"/>
      <c r="I923" s="652"/>
      <c r="J923" s="652"/>
      <c r="K923" s="652"/>
      <c r="L923" s="652"/>
      <c r="M923" s="652"/>
      <c r="N923" s="652"/>
      <c r="O923" s="652"/>
    </row>
    <row r="924" spans="1:15">
      <c r="A924" s="653">
        <v>119</v>
      </c>
      <c r="B924" s="653" t="s">
        <v>139</v>
      </c>
      <c r="C924" s="659" t="s">
        <v>1323</v>
      </c>
      <c r="D924" s="669" t="s">
        <v>34</v>
      </c>
      <c r="E924" s="670">
        <v>50</v>
      </c>
      <c r="F924" s="674">
        <v>1881</v>
      </c>
      <c r="G924" s="673">
        <f t="shared" si="59"/>
        <v>94050</v>
      </c>
      <c r="H924" s="653"/>
      <c r="I924" s="653"/>
      <c r="J924" s="653"/>
      <c r="K924" s="653"/>
      <c r="L924" s="653"/>
      <c r="M924" s="653"/>
      <c r="N924" s="653"/>
      <c r="O924" s="653"/>
    </row>
    <row r="925" spans="1:15" ht="28.5">
      <c r="A925" s="652">
        <v>120</v>
      </c>
      <c r="B925" s="653" t="s">
        <v>713</v>
      </c>
      <c r="C925" s="659" t="s">
        <v>1324</v>
      </c>
      <c r="D925" s="669" t="s">
        <v>3</v>
      </c>
      <c r="E925" s="670">
        <v>2076.8000000000002</v>
      </c>
      <c r="F925" s="674">
        <v>6</v>
      </c>
      <c r="G925" s="673">
        <f t="shared" si="59"/>
        <v>12460.800000000001</v>
      </c>
      <c r="H925" s="652"/>
      <c r="I925" s="652"/>
      <c r="J925" s="652"/>
      <c r="K925" s="652"/>
      <c r="L925" s="652"/>
      <c r="M925" s="652"/>
      <c r="N925" s="652"/>
      <c r="O925" s="652"/>
    </row>
    <row r="926" spans="1:15">
      <c r="A926" s="652">
        <v>121</v>
      </c>
      <c r="B926" s="653" t="s">
        <v>336</v>
      </c>
      <c r="C926" s="659" t="s">
        <v>1325</v>
      </c>
      <c r="D926" s="669" t="s">
        <v>3</v>
      </c>
      <c r="E926" s="670">
        <v>2076.8000000000002</v>
      </c>
      <c r="F926" s="674">
        <v>8</v>
      </c>
      <c r="G926" s="673">
        <f t="shared" si="59"/>
        <v>16614.400000000001</v>
      </c>
      <c r="H926" s="652"/>
      <c r="I926" s="675"/>
      <c r="J926" s="652"/>
      <c r="K926" s="652"/>
      <c r="L926" s="652"/>
      <c r="M926" s="652"/>
      <c r="N926" s="652"/>
      <c r="O926" s="652"/>
    </row>
    <row r="927" spans="1:15" ht="28.5">
      <c r="A927" s="652">
        <v>122</v>
      </c>
      <c r="B927" s="653" t="s">
        <v>693</v>
      </c>
      <c r="C927" s="659" t="s">
        <v>1326</v>
      </c>
      <c r="D927" s="669" t="s">
        <v>3</v>
      </c>
      <c r="E927" s="670">
        <v>2076.8000000000002</v>
      </c>
      <c r="F927" s="674">
        <v>9</v>
      </c>
      <c r="G927" s="673">
        <f t="shared" si="59"/>
        <v>18691.2</v>
      </c>
      <c r="H927" s="652"/>
      <c r="I927" s="652"/>
      <c r="J927" s="652"/>
      <c r="K927" s="652"/>
      <c r="L927" s="652"/>
      <c r="M927" s="652"/>
      <c r="N927" s="652"/>
      <c r="O927" s="652"/>
    </row>
    <row r="928" spans="1:15" ht="28.5">
      <c r="A928" s="652">
        <v>123</v>
      </c>
      <c r="B928" s="653" t="s">
        <v>728</v>
      </c>
      <c r="C928" s="659" t="s">
        <v>1327</v>
      </c>
      <c r="D928" s="669" t="s">
        <v>193</v>
      </c>
      <c r="E928" s="670">
        <v>468.46</v>
      </c>
      <c r="F928" s="674">
        <v>15</v>
      </c>
      <c r="G928" s="673">
        <f t="shared" si="59"/>
        <v>7026.9</v>
      </c>
      <c r="H928" s="652"/>
      <c r="I928" s="652"/>
      <c r="J928" s="652"/>
      <c r="K928" s="652"/>
      <c r="L928" s="652"/>
      <c r="M928" s="652"/>
      <c r="N928" s="652"/>
      <c r="O928" s="652"/>
    </row>
    <row r="929" spans="1:15">
      <c r="A929" s="652">
        <v>124</v>
      </c>
      <c r="B929" s="653" t="s">
        <v>1328</v>
      </c>
      <c r="C929" s="659" t="s">
        <v>1329</v>
      </c>
      <c r="D929" s="669" t="s">
        <v>10</v>
      </c>
      <c r="E929" s="670">
        <v>14750</v>
      </c>
      <c r="F929" s="674">
        <v>3</v>
      </c>
      <c r="G929" s="673">
        <f t="shared" si="59"/>
        <v>44250</v>
      </c>
      <c r="H929" s="652"/>
      <c r="I929" s="652"/>
      <c r="J929" s="652"/>
      <c r="K929" s="652"/>
      <c r="L929" s="652"/>
      <c r="M929" s="652"/>
      <c r="N929" s="652"/>
      <c r="O929" s="652"/>
    </row>
    <row r="930" spans="1:15">
      <c r="A930" s="652">
        <v>125</v>
      </c>
      <c r="B930" s="653" t="s">
        <v>1330</v>
      </c>
      <c r="C930" s="659" t="s">
        <v>1331</v>
      </c>
      <c r="D930" s="669" t="s">
        <v>10</v>
      </c>
      <c r="E930" s="670">
        <v>16697</v>
      </c>
      <c r="F930" s="674">
        <v>4</v>
      </c>
      <c r="G930" s="673">
        <f t="shared" si="59"/>
        <v>66788</v>
      </c>
      <c r="H930" s="652"/>
      <c r="I930" s="652"/>
      <c r="J930" s="652"/>
      <c r="K930" s="652"/>
      <c r="L930" s="652"/>
      <c r="M930" s="652"/>
      <c r="N930" s="652"/>
      <c r="O930" s="652"/>
    </row>
    <row r="931" spans="1:15" ht="28.5">
      <c r="A931" s="652">
        <v>126</v>
      </c>
      <c r="B931" s="653" t="s">
        <v>303</v>
      </c>
      <c r="C931" s="659" t="s">
        <v>1332</v>
      </c>
      <c r="D931" s="669" t="s">
        <v>3</v>
      </c>
      <c r="E931" s="670">
        <v>2111.02</v>
      </c>
      <c r="F931" s="674">
        <v>10</v>
      </c>
      <c r="G931" s="673">
        <f t="shared" si="59"/>
        <v>21110.2</v>
      </c>
      <c r="H931" s="652"/>
      <c r="I931" s="652"/>
      <c r="J931" s="652"/>
      <c r="K931" s="652"/>
      <c r="L931" s="652"/>
      <c r="M931" s="652"/>
      <c r="N931" s="652"/>
      <c r="O931" s="652"/>
    </row>
    <row r="932" spans="1:15" ht="28.5">
      <c r="A932" s="652">
        <v>127</v>
      </c>
      <c r="B932" s="653" t="s">
        <v>689</v>
      </c>
      <c r="C932" s="659" t="s">
        <v>1333</v>
      </c>
      <c r="D932" s="669" t="s">
        <v>3</v>
      </c>
      <c r="E932" s="670">
        <v>1993.02</v>
      </c>
      <c r="F932" s="674">
        <v>7</v>
      </c>
      <c r="G932" s="673">
        <f t="shared" si="59"/>
        <v>13951.14</v>
      </c>
      <c r="H932" s="652"/>
      <c r="I932" s="652"/>
      <c r="J932" s="652"/>
      <c r="K932" s="652"/>
      <c r="L932" s="652"/>
      <c r="M932" s="652"/>
      <c r="N932" s="652"/>
      <c r="O932" s="652"/>
    </row>
    <row r="933" spans="1:15">
      <c r="A933" s="653">
        <v>128</v>
      </c>
      <c r="B933" s="653" t="s">
        <v>713</v>
      </c>
      <c r="C933" s="659" t="s">
        <v>1334</v>
      </c>
      <c r="D933" s="669" t="s">
        <v>3</v>
      </c>
      <c r="E933" s="670">
        <v>1994.2</v>
      </c>
      <c r="F933" s="674">
        <v>11</v>
      </c>
      <c r="G933" s="673">
        <f t="shared" si="59"/>
        <v>21936.2</v>
      </c>
      <c r="H933" s="653"/>
      <c r="I933" s="653"/>
      <c r="J933" s="653"/>
      <c r="K933" s="653"/>
      <c r="L933" s="653"/>
      <c r="M933" s="653"/>
      <c r="N933" s="653"/>
      <c r="O933" s="653"/>
    </row>
    <row r="934" spans="1:15" ht="28.5">
      <c r="A934" s="653">
        <v>129</v>
      </c>
      <c r="B934" s="653" t="s">
        <v>645</v>
      </c>
      <c r="C934" s="659" t="s">
        <v>1335</v>
      </c>
      <c r="D934" s="669" t="s">
        <v>3</v>
      </c>
      <c r="E934" s="670">
        <v>1994.2</v>
      </c>
      <c r="F934" s="674">
        <v>11</v>
      </c>
      <c r="G934" s="673">
        <f t="shared" si="59"/>
        <v>21936.2</v>
      </c>
      <c r="H934" s="653"/>
      <c r="I934" s="653"/>
      <c r="J934" s="653"/>
      <c r="K934" s="653"/>
      <c r="L934" s="653"/>
      <c r="M934" s="653"/>
      <c r="N934" s="653"/>
      <c r="O934" s="653"/>
    </row>
    <row r="935" spans="1:15" ht="28.5">
      <c r="A935" s="652">
        <v>130</v>
      </c>
      <c r="B935" s="653" t="s">
        <v>641</v>
      </c>
      <c r="C935" s="659" t="s">
        <v>1336</v>
      </c>
      <c r="D935" s="669" t="s">
        <v>3</v>
      </c>
      <c r="E935" s="670">
        <v>1994.2</v>
      </c>
      <c r="F935" s="674">
        <v>8</v>
      </c>
      <c r="G935" s="673">
        <f t="shared" ref="G935:G955" si="60">E935*F935</f>
        <v>15953.6</v>
      </c>
      <c r="H935" s="652"/>
      <c r="I935" s="652"/>
      <c r="J935" s="652"/>
      <c r="K935" s="652"/>
      <c r="L935" s="652"/>
      <c r="M935" s="652"/>
      <c r="N935" s="652"/>
      <c r="O935" s="652"/>
    </row>
    <row r="936" spans="1:15" ht="28.5">
      <c r="A936" s="652">
        <v>131</v>
      </c>
      <c r="B936" s="653" t="s">
        <v>832</v>
      </c>
      <c r="C936" s="659" t="s">
        <v>1337</v>
      </c>
      <c r="D936" s="669" t="s">
        <v>3</v>
      </c>
      <c r="E936" s="670">
        <v>302198</v>
      </c>
      <c r="F936" s="674">
        <v>3</v>
      </c>
      <c r="G936" s="673">
        <f t="shared" si="60"/>
        <v>906594</v>
      </c>
      <c r="H936" s="652"/>
      <c r="I936" s="652"/>
      <c r="J936" s="652"/>
      <c r="K936" s="652"/>
      <c r="L936" s="652"/>
      <c r="M936" s="652"/>
      <c r="N936" s="652"/>
      <c r="O936" s="652"/>
    </row>
    <row r="937" spans="1:15" ht="28.5">
      <c r="A937" s="652">
        <v>132</v>
      </c>
      <c r="B937" s="653" t="s">
        <v>1338</v>
      </c>
      <c r="C937" s="659" t="s">
        <v>1339</v>
      </c>
      <c r="D937" s="669" t="s">
        <v>3</v>
      </c>
      <c r="E937" s="670">
        <v>291460</v>
      </c>
      <c r="F937" s="674">
        <v>3</v>
      </c>
      <c r="G937" s="673">
        <f t="shared" si="60"/>
        <v>874380</v>
      </c>
      <c r="H937" s="652"/>
      <c r="I937" s="652"/>
      <c r="J937" s="652"/>
      <c r="K937" s="652"/>
      <c r="L937" s="652"/>
      <c r="M937" s="652"/>
      <c r="N937" s="652"/>
      <c r="O937" s="652"/>
    </row>
    <row r="938" spans="1:15" ht="28.5">
      <c r="A938" s="652">
        <v>133</v>
      </c>
      <c r="B938" s="653" t="s">
        <v>1047</v>
      </c>
      <c r="C938" s="659" t="s">
        <v>1340</v>
      </c>
      <c r="D938" s="669" t="s">
        <v>3</v>
      </c>
      <c r="E938" s="670">
        <v>86730</v>
      </c>
      <c r="F938" s="674">
        <v>3</v>
      </c>
      <c r="G938" s="673">
        <f t="shared" si="60"/>
        <v>260190</v>
      </c>
      <c r="H938" s="652"/>
      <c r="I938" s="652"/>
      <c r="J938" s="652"/>
      <c r="K938" s="652"/>
      <c r="L938" s="652"/>
      <c r="M938" s="652"/>
      <c r="N938" s="652"/>
      <c r="O938" s="652"/>
    </row>
    <row r="939" spans="1:15" ht="28.5">
      <c r="A939" s="652">
        <v>134</v>
      </c>
      <c r="B939" s="653" t="s">
        <v>801</v>
      </c>
      <c r="C939" s="659" t="s">
        <v>1341</v>
      </c>
      <c r="D939" s="669" t="s">
        <v>3</v>
      </c>
      <c r="E939" s="670">
        <v>86730</v>
      </c>
      <c r="F939" s="674">
        <v>4</v>
      </c>
      <c r="G939" s="673">
        <f t="shared" si="60"/>
        <v>346920</v>
      </c>
      <c r="H939" s="652"/>
      <c r="I939" s="652"/>
      <c r="J939" s="652"/>
      <c r="K939" s="652"/>
      <c r="L939" s="652"/>
      <c r="M939" s="652"/>
      <c r="N939" s="652"/>
      <c r="O939" s="652"/>
    </row>
    <row r="940" spans="1:15">
      <c r="A940" s="652">
        <v>135</v>
      </c>
      <c r="B940" s="653" t="s">
        <v>815</v>
      </c>
      <c r="C940" s="659" t="s">
        <v>1342</v>
      </c>
      <c r="D940" s="669" t="s">
        <v>3</v>
      </c>
      <c r="E940" s="670">
        <v>100</v>
      </c>
      <c r="F940" s="674">
        <v>55</v>
      </c>
      <c r="G940" s="673">
        <f t="shared" si="60"/>
        <v>5500</v>
      </c>
      <c r="H940" s="652"/>
      <c r="I940" s="652"/>
      <c r="J940" s="652"/>
      <c r="K940" s="652"/>
      <c r="L940" s="652"/>
      <c r="M940" s="652"/>
      <c r="N940" s="652"/>
      <c r="O940" s="652"/>
    </row>
    <row r="941" spans="1:15">
      <c r="A941" s="652">
        <v>136</v>
      </c>
      <c r="B941" s="653" t="s">
        <v>1343</v>
      </c>
      <c r="C941" s="659" t="s">
        <v>1344</v>
      </c>
      <c r="D941" s="669" t="s">
        <v>3</v>
      </c>
      <c r="E941" s="670">
        <v>15000</v>
      </c>
      <c r="F941" s="674">
        <v>1</v>
      </c>
      <c r="G941" s="673">
        <f t="shared" si="60"/>
        <v>15000</v>
      </c>
      <c r="H941" s="652"/>
      <c r="I941" s="652"/>
      <c r="J941" s="652"/>
      <c r="K941" s="652"/>
      <c r="L941" s="652"/>
      <c r="M941" s="652"/>
      <c r="N941" s="652"/>
      <c r="O941" s="652"/>
    </row>
    <row r="942" spans="1:15">
      <c r="A942" s="652">
        <v>137</v>
      </c>
      <c r="B942" s="653" t="s">
        <v>738</v>
      </c>
      <c r="C942" s="659" t="s">
        <v>1345</v>
      </c>
      <c r="D942" s="669" t="s">
        <v>3</v>
      </c>
      <c r="E942" s="670">
        <v>250</v>
      </c>
      <c r="F942" s="674">
        <v>15</v>
      </c>
      <c r="G942" s="673">
        <f t="shared" si="60"/>
        <v>3750</v>
      </c>
      <c r="H942" s="652"/>
      <c r="I942" s="652"/>
      <c r="J942" s="652"/>
      <c r="K942" s="652"/>
      <c r="L942" s="652"/>
      <c r="M942" s="652"/>
      <c r="N942" s="652"/>
      <c r="O942" s="652"/>
    </row>
    <row r="943" spans="1:15">
      <c r="A943" s="652">
        <v>138</v>
      </c>
      <c r="B943" s="676" t="s">
        <v>206</v>
      </c>
      <c r="C943" s="677" t="s">
        <v>1346</v>
      </c>
      <c r="D943" s="678" t="s">
        <v>3</v>
      </c>
      <c r="E943" s="679">
        <v>510940</v>
      </c>
      <c r="F943" s="680">
        <v>3</v>
      </c>
      <c r="G943" s="681">
        <f t="shared" si="60"/>
        <v>1532820</v>
      </c>
      <c r="H943" s="652"/>
      <c r="I943" s="652"/>
      <c r="J943" s="652"/>
      <c r="K943" s="652"/>
      <c r="L943" s="652"/>
      <c r="M943" s="652"/>
      <c r="N943" s="652"/>
      <c r="O943" s="652"/>
    </row>
    <row r="944" spans="1:15">
      <c r="A944" s="652">
        <v>139</v>
      </c>
      <c r="B944" s="676"/>
      <c r="C944" s="677" t="s">
        <v>1347</v>
      </c>
      <c r="D944" s="678" t="s">
        <v>3</v>
      </c>
      <c r="E944" s="679">
        <v>31860</v>
      </c>
      <c r="F944" s="680">
        <v>2</v>
      </c>
      <c r="G944" s="681">
        <f t="shared" si="60"/>
        <v>63720</v>
      </c>
      <c r="H944" s="652"/>
      <c r="I944" s="652"/>
      <c r="J944" s="652"/>
      <c r="K944" s="652"/>
      <c r="L944" s="652"/>
      <c r="M944" s="652"/>
      <c r="N944" s="652"/>
      <c r="O944" s="652"/>
    </row>
    <row r="945" spans="1:15">
      <c r="A945" s="652">
        <v>140</v>
      </c>
      <c r="B945" s="653" t="s">
        <v>1348</v>
      </c>
      <c r="C945" s="659" t="s">
        <v>1349</v>
      </c>
      <c r="D945" s="652" t="s">
        <v>2</v>
      </c>
      <c r="E945" s="655">
        <v>300</v>
      </c>
      <c r="F945" s="652" t="s">
        <v>1159</v>
      </c>
      <c r="G945" s="652"/>
      <c r="H945" s="652" t="s">
        <v>1159</v>
      </c>
      <c r="I945" s="652" t="s">
        <v>1159</v>
      </c>
      <c r="J945" s="652" t="s">
        <v>1159</v>
      </c>
      <c r="K945" s="652" t="s">
        <v>1159</v>
      </c>
      <c r="L945" s="652" t="s">
        <v>1159</v>
      </c>
      <c r="M945" s="652" t="s">
        <v>1159</v>
      </c>
      <c r="N945" s="652">
        <v>13</v>
      </c>
      <c r="O945" s="655">
        <f t="shared" ref="O945:O950" si="61">E945*N945</f>
        <v>3900</v>
      </c>
    </row>
    <row r="946" spans="1:15">
      <c r="A946" s="652">
        <v>141</v>
      </c>
      <c r="B946" s="653" t="s">
        <v>1111</v>
      </c>
      <c r="C946" s="659" t="s">
        <v>1350</v>
      </c>
      <c r="D946" s="652" t="s">
        <v>1024</v>
      </c>
      <c r="E946" s="655">
        <v>350</v>
      </c>
      <c r="F946" s="652" t="s">
        <v>1159</v>
      </c>
      <c r="G946" s="652"/>
      <c r="H946" s="652" t="s">
        <v>1159</v>
      </c>
      <c r="I946" s="652" t="s">
        <v>1159</v>
      </c>
      <c r="J946" s="652" t="s">
        <v>1159</v>
      </c>
      <c r="K946" s="652" t="s">
        <v>1159</v>
      </c>
      <c r="L946" s="652" t="s">
        <v>1159</v>
      </c>
      <c r="M946" s="652" t="s">
        <v>1159</v>
      </c>
      <c r="N946" s="652">
        <v>10</v>
      </c>
      <c r="O946" s="655">
        <f t="shared" si="61"/>
        <v>3500</v>
      </c>
    </row>
    <row r="947" spans="1:15">
      <c r="A947" s="652">
        <v>142</v>
      </c>
      <c r="B947" s="653" t="s">
        <v>738</v>
      </c>
      <c r="C947" s="659" t="s">
        <v>1351</v>
      </c>
      <c r="D947" s="652" t="s">
        <v>2</v>
      </c>
      <c r="E947" s="655">
        <v>120</v>
      </c>
      <c r="F947" s="652" t="s">
        <v>1159</v>
      </c>
      <c r="G947" s="652"/>
      <c r="H947" s="652" t="s">
        <v>1159</v>
      </c>
      <c r="I947" s="652" t="s">
        <v>1159</v>
      </c>
      <c r="J947" s="652" t="s">
        <v>1159</v>
      </c>
      <c r="K947" s="652" t="s">
        <v>1159</v>
      </c>
      <c r="L947" s="652" t="s">
        <v>1159</v>
      </c>
      <c r="M947" s="652" t="s">
        <v>1159</v>
      </c>
      <c r="N947" s="652">
        <v>0</v>
      </c>
      <c r="O947" s="655">
        <f t="shared" si="61"/>
        <v>0</v>
      </c>
    </row>
    <row r="948" spans="1:15">
      <c r="A948" s="652">
        <v>143</v>
      </c>
      <c r="B948" s="653" t="s">
        <v>1243</v>
      </c>
      <c r="C948" s="659" t="s">
        <v>1244</v>
      </c>
      <c r="D948" s="652" t="s">
        <v>2</v>
      </c>
      <c r="E948" s="655">
        <v>30</v>
      </c>
      <c r="F948" s="652" t="s">
        <v>1159</v>
      </c>
      <c r="G948" s="652"/>
      <c r="H948" s="652" t="s">
        <v>1159</v>
      </c>
      <c r="I948" s="652" t="s">
        <v>1159</v>
      </c>
      <c r="J948" s="652" t="s">
        <v>1159</v>
      </c>
      <c r="K948" s="652" t="s">
        <v>1159</v>
      </c>
      <c r="L948" s="652" t="s">
        <v>1159</v>
      </c>
      <c r="M948" s="652" t="s">
        <v>1159</v>
      </c>
      <c r="N948" s="652">
        <v>110</v>
      </c>
      <c r="O948" s="655">
        <f t="shared" si="61"/>
        <v>3300</v>
      </c>
    </row>
    <row r="949" spans="1:15">
      <c r="A949" s="652">
        <v>144</v>
      </c>
      <c r="B949" s="653" t="s">
        <v>1352</v>
      </c>
      <c r="C949" s="659" t="s">
        <v>1353</v>
      </c>
      <c r="D949" s="652" t="s">
        <v>2</v>
      </c>
      <c r="E949" s="655">
        <v>10</v>
      </c>
      <c r="F949" s="652" t="s">
        <v>1159</v>
      </c>
      <c r="G949" s="652"/>
      <c r="H949" s="652" t="s">
        <v>1159</v>
      </c>
      <c r="I949" s="652" t="s">
        <v>1159</v>
      </c>
      <c r="J949" s="652" t="s">
        <v>1159</v>
      </c>
      <c r="K949" s="652" t="s">
        <v>1159</v>
      </c>
      <c r="L949" s="652" t="s">
        <v>1159</v>
      </c>
      <c r="M949" s="652" t="s">
        <v>1159</v>
      </c>
      <c r="N949" s="652">
        <v>20</v>
      </c>
      <c r="O949" s="655">
        <f t="shared" si="61"/>
        <v>200</v>
      </c>
    </row>
    <row r="950" spans="1:15">
      <c r="A950" s="652">
        <v>145</v>
      </c>
      <c r="B950" s="653"/>
      <c r="C950" s="659" t="s">
        <v>1354</v>
      </c>
      <c r="D950" s="652" t="s">
        <v>2</v>
      </c>
      <c r="E950" s="655">
        <v>1400</v>
      </c>
      <c r="F950" s="652" t="s">
        <v>1159</v>
      </c>
      <c r="G950" s="652"/>
      <c r="H950" s="652" t="s">
        <v>1159</v>
      </c>
      <c r="I950" s="652" t="s">
        <v>1159</v>
      </c>
      <c r="J950" s="652" t="s">
        <v>1159</v>
      </c>
      <c r="K950" s="652" t="s">
        <v>1159</v>
      </c>
      <c r="L950" s="652" t="s">
        <v>1159</v>
      </c>
      <c r="M950" s="652" t="s">
        <v>1159</v>
      </c>
      <c r="N950" s="652">
        <v>8</v>
      </c>
      <c r="O950" s="655">
        <f t="shared" si="61"/>
        <v>11200</v>
      </c>
    </row>
    <row r="951" spans="1:15">
      <c r="A951" s="652"/>
      <c r="B951" s="652"/>
      <c r="C951" s="682"/>
      <c r="D951" s="652"/>
      <c r="E951" s="666"/>
      <c r="F951" s="652"/>
      <c r="G951" s="652"/>
      <c r="H951" s="652"/>
      <c r="I951" s="652"/>
      <c r="J951" s="652"/>
      <c r="K951" s="652"/>
      <c r="L951" s="652"/>
      <c r="M951" s="652"/>
      <c r="N951" s="664"/>
      <c r="O951" s="655"/>
    </row>
    <row r="952" spans="1:15" ht="18.75">
      <c r="A952" s="683" t="s">
        <v>1355</v>
      </c>
      <c r="B952" s="683"/>
      <c r="C952" s="683"/>
      <c r="D952" s="1"/>
      <c r="E952" s="1"/>
      <c r="F952" s="1"/>
      <c r="G952" s="684">
        <f>SUM(G806:G951)</f>
        <v>8432801.4326671008</v>
      </c>
      <c r="H952" s="1"/>
      <c r="I952" s="1"/>
      <c r="J952" s="1"/>
      <c r="K952" s="1"/>
      <c r="L952" s="1"/>
      <c r="M952" s="1"/>
      <c r="N952" s="1"/>
      <c r="O952" s="684">
        <f>SUM(O945:O951)</f>
        <v>22100</v>
      </c>
    </row>
    <row r="953" spans="1:15">
      <c r="A953"/>
      <c r="B953"/>
      <c r="C953"/>
      <c r="D953"/>
      <c r="E953"/>
      <c r="F953"/>
      <c r="G953"/>
      <c r="H953"/>
      <c r="I953"/>
      <c r="J953"/>
      <c r="K953"/>
      <c r="L953"/>
      <c r="M953"/>
      <c r="N953"/>
      <c r="O953"/>
    </row>
    <row r="954" spans="1:15">
      <c r="A954"/>
      <c r="B954"/>
      <c r="C954" t="s">
        <v>1356</v>
      </c>
      <c r="D954"/>
      <c r="E954"/>
      <c r="F954"/>
      <c r="G954" s="15"/>
      <c r="H954"/>
      <c r="I954" t="s">
        <v>1357</v>
      </c>
      <c r="J954"/>
      <c r="K954"/>
      <c r="L954"/>
      <c r="M954"/>
      <c r="N954"/>
      <c r="O954"/>
    </row>
    <row r="955" spans="1:15">
      <c r="A955"/>
      <c r="B955"/>
      <c r="C955"/>
      <c r="D955"/>
      <c r="E955"/>
      <c r="F955"/>
      <c r="G955"/>
      <c r="H955"/>
      <c r="I955"/>
      <c r="J955"/>
      <c r="K955"/>
      <c r="L955"/>
      <c r="M955"/>
      <c r="N955"/>
      <c r="O955"/>
    </row>
    <row r="957" spans="1:15">
      <c r="A957" s="685" t="s">
        <v>1358</v>
      </c>
      <c r="B957" s="685"/>
      <c r="C957" s="685"/>
      <c r="D957"/>
      <c r="E957"/>
      <c r="F957"/>
      <c r="G957"/>
      <c r="H957" s="685" t="s">
        <v>1359</v>
      </c>
      <c r="I957" s="685"/>
      <c r="J957" s="686">
        <v>46204</v>
      </c>
      <c r="K957" s="685"/>
      <c r="L957" s="685"/>
      <c r="M957"/>
      <c r="N957"/>
      <c r="O957"/>
    </row>
    <row r="958" spans="1:15">
      <c r="A958" s="685" t="s">
        <v>1360</v>
      </c>
      <c r="B958" s="685"/>
      <c r="C958" s="685"/>
      <c r="D958"/>
      <c r="E958"/>
      <c r="F958"/>
      <c r="G958"/>
      <c r="H958"/>
      <c r="I958" s="685"/>
      <c r="J958" s="685"/>
      <c r="K958" s="685"/>
      <c r="L958" s="685"/>
      <c r="M958"/>
      <c r="N958"/>
      <c r="O958"/>
    </row>
    <row r="959" spans="1:15">
      <c r="A959" s="685" t="s">
        <v>1361</v>
      </c>
      <c r="B959" s="685"/>
      <c r="C959" s="685"/>
      <c r="D959" s="685"/>
      <c r="E959"/>
      <c r="F959"/>
      <c r="G959"/>
      <c r="H959"/>
      <c r="I959" s="685"/>
      <c r="J959" s="685"/>
      <c r="K959" s="685"/>
      <c r="L959" s="685"/>
      <c r="M959"/>
      <c r="N959"/>
      <c r="O959"/>
    </row>
    <row r="960" spans="1:15">
      <c r="A960" s="685" t="s">
        <v>1362</v>
      </c>
      <c r="B960" s="685"/>
      <c r="C960" s="685"/>
      <c r="D960" s="685"/>
      <c r="E960"/>
      <c r="F960"/>
      <c r="G960"/>
      <c r="H960"/>
      <c r="I960" s="685"/>
      <c r="J960" s="685"/>
      <c r="K960" s="685"/>
      <c r="L960" s="685"/>
      <c r="M960"/>
      <c r="N960"/>
      <c r="O960"/>
    </row>
    <row r="961" spans="1:15">
      <c r="A961" s="687" t="s">
        <v>1363</v>
      </c>
      <c r="B961" s="688" t="s">
        <v>28</v>
      </c>
      <c r="C961" s="689" t="s">
        <v>1364</v>
      </c>
      <c r="D961" s="689" t="s">
        <v>8</v>
      </c>
      <c r="E961" s="688" t="s">
        <v>1365</v>
      </c>
      <c r="F961" s="690" t="s">
        <v>18</v>
      </c>
      <c r="G961" s="690"/>
      <c r="H961" s="690" t="s">
        <v>1366</v>
      </c>
      <c r="I961" s="690"/>
      <c r="J961" s="690" t="s">
        <v>1367</v>
      </c>
      <c r="K961" s="690"/>
      <c r="L961" s="690" t="s">
        <v>11</v>
      </c>
      <c r="M961" s="690"/>
      <c r="N961" s="690" t="s">
        <v>1</v>
      </c>
      <c r="O961" s="690"/>
    </row>
    <row r="962" spans="1:15" ht="45">
      <c r="A962" s="691"/>
      <c r="B962" s="688"/>
      <c r="C962" s="689"/>
      <c r="D962" s="689"/>
      <c r="E962" s="688"/>
      <c r="F962" s="8" t="s">
        <v>1156</v>
      </c>
      <c r="G962" s="211" t="s">
        <v>1157</v>
      </c>
      <c r="H962" s="8" t="s">
        <v>1156</v>
      </c>
      <c r="I962" s="211" t="s">
        <v>1157</v>
      </c>
      <c r="J962" s="8" t="s">
        <v>1156</v>
      </c>
      <c r="K962" s="211" t="s">
        <v>1157</v>
      </c>
      <c r="L962" s="8" t="s">
        <v>1156</v>
      </c>
      <c r="M962" s="211" t="s">
        <v>1157</v>
      </c>
      <c r="N962" s="8" t="s">
        <v>1156</v>
      </c>
      <c r="O962" s="211" t="s">
        <v>1157</v>
      </c>
    </row>
    <row r="963" spans="1:15">
      <c r="A963" s="1">
        <v>1</v>
      </c>
      <c r="B963" s="1"/>
      <c r="C963" s="692" t="s">
        <v>1368</v>
      </c>
      <c r="D963" s="693" t="s">
        <v>4</v>
      </c>
      <c r="E963" s="8">
        <v>279.89999999999998</v>
      </c>
      <c r="F963" s="694">
        <v>938</v>
      </c>
      <c r="G963" s="695">
        <f t="shared" ref="G963:G1026" si="62">E963*F963</f>
        <v>262546.19999999995</v>
      </c>
      <c r="H963" s="695"/>
      <c r="I963" s="1"/>
      <c r="J963" s="1"/>
      <c r="K963" s="1"/>
      <c r="L963" s="1"/>
      <c r="M963" s="1"/>
      <c r="N963" s="1"/>
      <c r="O963" s="1"/>
    </row>
    <row r="964" spans="1:15">
      <c r="A964" s="1">
        <v>2</v>
      </c>
      <c r="B964" s="1"/>
      <c r="C964" s="692" t="s">
        <v>1021</v>
      </c>
      <c r="D964" s="693" t="s">
        <v>4</v>
      </c>
      <c r="E964" s="8">
        <v>135</v>
      </c>
      <c r="F964" s="694">
        <v>1535</v>
      </c>
      <c r="G964" s="695">
        <f t="shared" si="62"/>
        <v>207225</v>
      </c>
      <c r="H964" s="695"/>
      <c r="I964" s="1"/>
      <c r="J964" s="1"/>
      <c r="K964" s="1"/>
      <c r="L964" s="1"/>
      <c r="M964" s="1"/>
      <c r="N964" s="1"/>
      <c r="O964" s="1"/>
    </row>
    <row r="965" spans="1:15">
      <c r="A965" s="1">
        <v>3</v>
      </c>
      <c r="B965" s="1"/>
      <c r="C965" s="692" t="s">
        <v>1369</v>
      </c>
      <c r="D965" s="693" t="s">
        <v>4</v>
      </c>
      <c r="E965" s="8">
        <v>49.95</v>
      </c>
      <c r="F965" s="694">
        <v>388</v>
      </c>
      <c r="G965" s="1">
        <f t="shared" si="62"/>
        <v>19380.600000000002</v>
      </c>
      <c r="H965" s="1"/>
      <c r="I965" s="1"/>
      <c r="J965" s="1"/>
      <c r="K965" s="1"/>
      <c r="L965" s="1"/>
      <c r="M965" s="1"/>
      <c r="N965" s="1"/>
      <c r="O965" s="1"/>
    </row>
    <row r="966" spans="1:15">
      <c r="A966" s="1">
        <v>4</v>
      </c>
      <c r="B966" s="1"/>
      <c r="C966" s="692" t="s">
        <v>1370</v>
      </c>
      <c r="D966" s="693" t="s">
        <v>4</v>
      </c>
      <c r="E966" s="8">
        <v>18000</v>
      </c>
      <c r="F966" s="696">
        <v>37</v>
      </c>
      <c r="G966" s="1">
        <f t="shared" si="62"/>
        <v>666000</v>
      </c>
      <c r="H966" s="1"/>
      <c r="I966" s="1"/>
      <c r="J966" s="1"/>
      <c r="K966" s="1"/>
      <c r="L966" s="1"/>
      <c r="M966" s="1"/>
      <c r="N966" s="1"/>
      <c r="O966" s="1"/>
    </row>
    <row r="967" spans="1:15">
      <c r="A967" s="1">
        <v>5</v>
      </c>
      <c r="B967" s="1"/>
      <c r="C967" s="697" t="s">
        <v>1371</v>
      </c>
      <c r="D967" s="698"/>
      <c r="E967" s="8">
        <v>202.65</v>
      </c>
      <c r="F967" s="4">
        <v>100</v>
      </c>
      <c r="G967" s="1">
        <f t="shared" si="62"/>
        <v>20265</v>
      </c>
      <c r="H967" s="695"/>
      <c r="I967" s="1"/>
      <c r="J967" s="1"/>
      <c r="K967" s="1"/>
      <c r="L967" s="1"/>
      <c r="M967" s="1"/>
      <c r="N967" s="1"/>
      <c r="O967" s="1"/>
    </row>
    <row r="968" spans="1:15">
      <c r="A968" s="1">
        <v>6</v>
      </c>
      <c r="B968" s="1"/>
      <c r="C968" s="697" t="s">
        <v>1372</v>
      </c>
      <c r="D968" s="698" t="s">
        <v>751</v>
      </c>
      <c r="E968" s="8">
        <v>29115</v>
      </c>
      <c r="F968" s="699">
        <v>1</v>
      </c>
      <c r="G968" s="1">
        <f t="shared" si="62"/>
        <v>29115</v>
      </c>
      <c r="H968" s="1"/>
      <c r="I968" s="1"/>
      <c r="J968" s="1"/>
      <c r="K968" s="1"/>
      <c r="L968" s="1"/>
      <c r="M968" s="1"/>
      <c r="N968" s="1"/>
      <c r="O968" s="1"/>
    </row>
    <row r="969" spans="1:15">
      <c r="A969" s="1">
        <v>7</v>
      </c>
      <c r="B969" s="1"/>
      <c r="C969" s="700" t="s">
        <v>1373</v>
      </c>
      <c r="D969" s="698" t="s">
        <v>5</v>
      </c>
      <c r="E969" s="8">
        <v>76.599999999999994</v>
      </c>
      <c r="F969" s="699">
        <v>990</v>
      </c>
      <c r="G969" s="1">
        <f t="shared" si="62"/>
        <v>75834</v>
      </c>
      <c r="H969" s="1"/>
      <c r="I969" s="1"/>
      <c r="J969" s="1"/>
      <c r="K969" s="1"/>
      <c r="L969" s="1"/>
      <c r="M969" s="1"/>
      <c r="N969" s="1"/>
      <c r="O969" s="1"/>
    </row>
    <row r="970" spans="1:15">
      <c r="A970" s="1">
        <v>8</v>
      </c>
      <c r="B970" s="1"/>
      <c r="C970" s="697" t="s">
        <v>1374</v>
      </c>
      <c r="D970" s="698" t="s">
        <v>845</v>
      </c>
      <c r="E970" s="8">
        <v>172759</v>
      </c>
      <c r="F970" s="701">
        <v>1</v>
      </c>
      <c r="G970" s="1">
        <f t="shared" si="62"/>
        <v>172759</v>
      </c>
      <c r="H970" s="1"/>
      <c r="I970" s="1"/>
      <c r="J970" s="1"/>
      <c r="K970" s="1"/>
      <c r="L970" s="1"/>
      <c r="M970" s="1"/>
      <c r="N970" s="1"/>
      <c r="O970" s="1"/>
    </row>
    <row r="971" spans="1:15">
      <c r="A971" s="1">
        <v>9</v>
      </c>
      <c r="B971" s="1"/>
      <c r="C971" s="697" t="s">
        <v>1375</v>
      </c>
      <c r="D971" s="698" t="s">
        <v>845</v>
      </c>
      <c r="E971" s="8">
        <v>162558</v>
      </c>
      <c r="F971" s="701">
        <v>1</v>
      </c>
      <c r="G971" s="1">
        <f t="shared" si="62"/>
        <v>162558</v>
      </c>
      <c r="H971" s="1"/>
      <c r="I971" s="1"/>
      <c r="J971" s="1"/>
      <c r="K971" s="1"/>
      <c r="L971" s="1"/>
      <c r="M971" s="1"/>
      <c r="N971" s="1"/>
      <c r="O971" s="1"/>
    </row>
    <row r="972" spans="1:15">
      <c r="A972" s="1">
        <v>10</v>
      </c>
      <c r="B972" s="1"/>
      <c r="C972" s="697" t="s">
        <v>1376</v>
      </c>
      <c r="D972" s="698" t="s">
        <v>9</v>
      </c>
      <c r="E972" s="8">
        <v>22950</v>
      </c>
      <c r="F972" s="701">
        <v>7</v>
      </c>
      <c r="G972" s="1">
        <f t="shared" si="62"/>
        <v>160650</v>
      </c>
      <c r="H972" s="1"/>
      <c r="I972" s="1"/>
      <c r="J972" s="1"/>
      <c r="K972" s="1"/>
      <c r="L972" s="1"/>
      <c r="M972" s="1"/>
      <c r="N972" s="1"/>
      <c r="O972" s="1"/>
    </row>
    <row r="973" spans="1:15" ht="33">
      <c r="A973" s="1">
        <v>11</v>
      </c>
      <c r="B973" s="1"/>
      <c r="C973" s="697" t="s">
        <v>1377</v>
      </c>
      <c r="D973" s="698" t="s">
        <v>10</v>
      </c>
      <c r="E973" s="8">
        <v>5221</v>
      </c>
      <c r="F973" s="701">
        <v>4</v>
      </c>
      <c r="G973" s="1">
        <f t="shared" si="62"/>
        <v>20884</v>
      </c>
      <c r="H973" s="1"/>
      <c r="I973" s="1"/>
      <c r="J973" s="1"/>
      <c r="K973" s="1"/>
      <c r="L973" s="1"/>
      <c r="M973" s="1"/>
      <c r="N973" s="1"/>
      <c r="O973" s="1"/>
    </row>
    <row r="974" spans="1:15">
      <c r="A974" s="1">
        <v>13</v>
      </c>
      <c r="B974" s="1"/>
      <c r="C974" s="697" t="s">
        <v>1378</v>
      </c>
      <c r="D974" s="698" t="s">
        <v>9</v>
      </c>
      <c r="E974" s="8">
        <v>13046.8</v>
      </c>
      <c r="F974" s="699">
        <v>1</v>
      </c>
      <c r="G974" s="1">
        <f t="shared" si="62"/>
        <v>13046.8</v>
      </c>
      <c r="H974" s="695"/>
      <c r="I974" s="1"/>
      <c r="J974" s="1"/>
      <c r="K974" s="1"/>
      <c r="L974" s="1"/>
      <c r="M974" s="1"/>
      <c r="N974" s="1"/>
      <c r="O974" s="1"/>
    </row>
    <row r="975" spans="1:15">
      <c r="A975" s="1">
        <v>14</v>
      </c>
      <c r="B975" s="1"/>
      <c r="C975" s="697" t="s">
        <v>1379</v>
      </c>
      <c r="D975" s="698" t="s">
        <v>845</v>
      </c>
      <c r="E975" s="8">
        <v>290</v>
      </c>
      <c r="F975" s="701">
        <v>4</v>
      </c>
      <c r="G975" s="1">
        <f t="shared" si="62"/>
        <v>1160</v>
      </c>
      <c r="H975" s="1"/>
      <c r="I975" s="1"/>
      <c r="J975" s="1"/>
      <c r="K975" s="1"/>
      <c r="L975" s="1"/>
      <c r="M975" s="1"/>
      <c r="N975" s="1"/>
      <c r="O975" s="1"/>
    </row>
    <row r="976" spans="1:15" ht="33">
      <c r="A976" s="1">
        <v>15</v>
      </c>
      <c r="B976" s="1"/>
      <c r="C976" s="697" t="s">
        <v>1380</v>
      </c>
      <c r="D976" s="698" t="s">
        <v>9</v>
      </c>
      <c r="E976" s="8">
        <v>60000</v>
      </c>
      <c r="F976" s="701">
        <v>1</v>
      </c>
      <c r="G976" s="1">
        <f t="shared" si="62"/>
        <v>60000</v>
      </c>
      <c r="H976" s="1"/>
      <c r="I976" s="1"/>
      <c r="J976" s="1"/>
      <c r="K976" s="1"/>
      <c r="L976" s="1"/>
      <c r="M976" s="1"/>
      <c r="N976" s="1"/>
      <c r="O976" s="1"/>
    </row>
    <row r="977" spans="1:15">
      <c r="A977" s="1">
        <v>16</v>
      </c>
      <c r="B977" s="1"/>
      <c r="C977" s="697" t="s">
        <v>1381</v>
      </c>
      <c r="D977" s="698" t="s">
        <v>9</v>
      </c>
      <c r="E977" s="8">
        <v>1610</v>
      </c>
      <c r="F977" s="701">
        <v>26</v>
      </c>
      <c r="G977" s="1">
        <f t="shared" si="62"/>
        <v>41860</v>
      </c>
      <c r="H977" s="695"/>
      <c r="I977" s="1"/>
      <c r="J977" s="1"/>
      <c r="K977" s="1"/>
      <c r="L977" s="1"/>
      <c r="M977" s="1"/>
      <c r="N977" s="1"/>
      <c r="O977" s="1"/>
    </row>
    <row r="978" spans="1:15">
      <c r="A978" s="1">
        <v>17</v>
      </c>
      <c r="B978" s="1"/>
      <c r="C978" s="697" t="s">
        <v>1030</v>
      </c>
      <c r="D978" s="698" t="s">
        <v>9</v>
      </c>
      <c r="E978" s="8">
        <v>999</v>
      </c>
      <c r="F978" s="699">
        <v>54</v>
      </c>
      <c r="G978" s="1">
        <f t="shared" si="62"/>
        <v>53946</v>
      </c>
      <c r="H978" s="695"/>
      <c r="I978" s="1"/>
      <c r="J978" s="1"/>
      <c r="K978" s="1"/>
      <c r="L978" s="1"/>
      <c r="M978" s="1"/>
      <c r="N978" s="1"/>
      <c r="O978" s="1"/>
    </row>
    <row r="979" spans="1:15">
      <c r="A979" s="1">
        <v>18</v>
      </c>
      <c r="B979" s="1"/>
      <c r="C979" s="697" t="s">
        <v>1382</v>
      </c>
      <c r="D979" s="698" t="s">
        <v>9</v>
      </c>
      <c r="E979" s="8">
        <v>599</v>
      </c>
      <c r="F979" s="701">
        <v>14</v>
      </c>
      <c r="G979" s="1">
        <f t="shared" si="62"/>
        <v>8386</v>
      </c>
      <c r="H979" s="1"/>
      <c r="I979" s="1"/>
      <c r="J979" s="1"/>
      <c r="K979" s="1"/>
      <c r="L979" s="1"/>
      <c r="M979" s="1"/>
      <c r="N979" s="1"/>
      <c r="O979" s="1"/>
    </row>
    <row r="980" spans="1:15">
      <c r="A980" s="1">
        <v>19</v>
      </c>
      <c r="B980" s="1"/>
      <c r="C980" s="697" t="s">
        <v>1382</v>
      </c>
      <c r="D980" s="698" t="s">
        <v>9</v>
      </c>
      <c r="E980" s="8">
        <v>1310</v>
      </c>
      <c r="F980" s="701">
        <v>15</v>
      </c>
      <c r="G980" s="1">
        <f t="shared" si="62"/>
        <v>19650</v>
      </c>
      <c r="H980" s="1"/>
      <c r="I980" s="1"/>
      <c r="J980" s="1"/>
      <c r="K980" s="1"/>
      <c r="L980" s="1"/>
      <c r="M980" s="1"/>
      <c r="N980" s="1"/>
      <c r="O980" s="1"/>
    </row>
    <row r="981" spans="1:15">
      <c r="A981" s="1">
        <v>20</v>
      </c>
      <c r="B981" s="1"/>
      <c r="C981" s="697" t="s">
        <v>1383</v>
      </c>
      <c r="D981" s="698" t="s">
        <v>9</v>
      </c>
      <c r="E981" s="8">
        <v>860</v>
      </c>
      <c r="F981" s="701">
        <v>143</v>
      </c>
      <c r="G981" s="1">
        <f t="shared" si="62"/>
        <v>122980</v>
      </c>
      <c r="H981" s="1"/>
      <c r="I981" s="1"/>
      <c r="J981" s="1"/>
      <c r="K981" s="1"/>
      <c r="L981" s="1"/>
      <c r="M981" s="1"/>
      <c r="N981" s="1"/>
      <c r="O981" s="1"/>
    </row>
    <row r="982" spans="1:15">
      <c r="A982" s="1">
        <v>21</v>
      </c>
      <c r="B982" s="1"/>
      <c r="C982" s="697" t="s">
        <v>1384</v>
      </c>
      <c r="D982" s="698" t="s">
        <v>9</v>
      </c>
      <c r="E982" s="407">
        <v>1080</v>
      </c>
      <c r="F982" s="699">
        <v>6</v>
      </c>
      <c r="G982" s="1">
        <f t="shared" si="62"/>
        <v>6480</v>
      </c>
      <c r="H982" s="1"/>
      <c r="I982" s="1"/>
      <c r="J982" s="1"/>
      <c r="K982" s="1"/>
      <c r="L982" s="1"/>
      <c r="M982" s="1"/>
      <c r="N982" s="1"/>
      <c r="O982" s="1"/>
    </row>
    <row r="983" spans="1:15">
      <c r="A983" s="1">
        <v>22</v>
      </c>
      <c r="B983" s="1"/>
      <c r="C983" s="697" t="s">
        <v>1384</v>
      </c>
      <c r="D983" s="698" t="s">
        <v>9</v>
      </c>
      <c r="E983" s="407">
        <v>2599.65</v>
      </c>
      <c r="F983" s="699">
        <v>20</v>
      </c>
      <c r="G983" s="1">
        <f t="shared" si="62"/>
        <v>51993</v>
      </c>
      <c r="H983" s="1"/>
      <c r="I983" s="1"/>
      <c r="J983" s="1"/>
      <c r="K983" s="1"/>
      <c r="L983" s="1"/>
      <c r="M983" s="1"/>
      <c r="N983" s="1"/>
      <c r="O983" s="1"/>
    </row>
    <row r="984" spans="1:15">
      <c r="A984" s="1">
        <v>23</v>
      </c>
      <c r="B984" s="1"/>
      <c r="C984" s="697" t="s">
        <v>1385</v>
      </c>
      <c r="D984" s="698" t="s">
        <v>845</v>
      </c>
      <c r="E984" s="8">
        <v>1685.48</v>
      </c>
      <c r="F984" s="699">
        <v>10</v>
      </c>
      <c r="G984" s="1">
        <f t="shared" si="62"/>
        <v>16854.8</v>
      </c>
      <c r="H984" s="1"/>
      <c r="I984" s="1"/>
      <c r="J984" s="1"/>
      <c r="K984" s="1"/>
      <c r="L984" s="1"/>
      <c r="M984" s="1"/>
      <c r="N984" s="1"/>
      <c r="O984" s="1"/>
    </row>
    <row r="985" spans="1:15">
      <c r="A985" s="1">
        <v>24</v>
      </c>
      <c r="B985" s="1"/>
      <c r="C985" s="697" t="s">
        <v>1386</v>
      </c>
      <c r="D985" s="698" t="s">
        <v>9</v>
      </c>
      <c r="E985" s="8">
        <v>1123.7</v>
      </c>
      <c r="F985" s="701">
        <v>4</v>
      </c>
      <c r="G985" s="1">
        <f t="shared" si="62"/>
        <v>4494.8</v>
      </c>
      <c r="H985" s="695"/>
      <c r="I985" s="1"/>
      <c r="J985" s="1"/>
      <c r="K985" s="1"/>
      <c r="L985" s="1"/>
      <c r="M985" s="1"/>
      <c r="N985" s="1"/>
      <c r="O985" s="1"/>
    </row>
    <row r="986" spans="1:15">
      <c r="A986" s="1">
        <v>25</v>
      </c>
      <c r="B986" s="1"/>
      <c r="C986" s="697" t="s">
        <v>1034</v>
      </c>
      <c r="D986" s="698" t="s">
        <v>9</v>
      </c>
      <c r="E986" s="8">
        <v>2365.9</v>
      </c>
      <c r="F986" s="699">
        <v>38</v>
      </c>
      <c r="G986" s="1">
        <f t="shared" si="62"/>
        <v>89904.2</v>
      </c>
      <c r="H986" s="1"/>
      <c r="I986" s="1"/>
      <c r="J986" s="1"/>
      <c r="K986" s="1"/>
      <c r="L986" s="1"/>
      <c r="M986" s="1"/>
      <c r="N986" s="1"/>
      <c r="O986" s="1"/>
    </row>
    <row r="987" spans="1:15">
      <c r="A987" s="1">
        <v>26</v>
      </c>
      <c r="B987" s="1"/>
      <c r="C987" s="697" t="s">
        <v>1387</v>
      </c>
      <c r="D987" s="698" t="s">
        <v>9</v>
      </c>
      <c r="E987" s="8">
        <v>2752.25</v>
      </c>
      <c r="F987" s="699">
        <v>0</v>
      </c>
      <c r="G987" s="1">
        <f t="shared" si="62"/>
        <v>0</v>
      </c>
      <c r="H987" s="695"/>
      <c r="I987" s="1"/>
      <c r="J987" s="1"/>
      <c r="K987" s="1"/>
      <c r="L987" s="1"/>
      <c r="M987" s="1"/>
      <c r="N987" s="1"/>
      <c r="O987" s="1"/>
    </row>
    <row r="988" spans="1:15">
      <c r="A988" s="1">
        <v>27</v>
      </c>
      <c r="B988" s="1"/>
      <c r="C988" s="697" t="s">
        <v>1035</v>
      </c>
      <c r="D988" s="698" t="s">
        <v>9</v>
      </c>
      <c r="E988" s="8">
        <v>2175.5</v>
      </c>
      <c r="F988" s="699">
        <v>14</v>
      </c>
      <c r="G988" s="1">
        <f t="shared" si="62"/>
        <v>30457</v>
      </c>
      <c r="H988" s="695"/>
      <c r="I988" s="1"/>
      <c r="J988" s="1"/>
      <c r="K988" s="1"/>
      <c r="L988" s="1"/>
      <c r="M988" s="1"/>
      <c r="N988" s="1"/>
      <c r="O988" s="1"/>
    </row>
    <row r="989" spans="1:15">
      <c r="A989" s="1">
        <v>28</v>
      </c>
      <c r="B989" s="1"/>
      <c r="C989" s="697" t="s">
        <v>1036</v>
      </c>
      <c r="D989" s="698" t="s">
        <v>9</v>
      </c>
      <c r="E989" s="8">
        <v>3957.72</v>
      </c>
      <c r="F989" s="699">
        <v>60</v>
      </c>
      <c r="G989" s="1">
        <f t="shared" si="62"/>
        <v>237463.19999999998</v>
      </c>
      <c r="H989" s="695"/>
      <c r="I989" s="1"/>
      <c r="J989" s="1"/>
      <c r="K989" s="1"/>
      <c r="L989" s="1"/>
      <c r="M989" s="1"/>
      <c r="N989" s="1"/>
      <c r="O989" s="1"/>
    </row>
    <row r="990" spans="1:15">
      <c r="A990" s="1">
        <v>29</v>
      </c>
      <c r="B990" s="1"/>
      <c r="C990" s="697" t="s">
        <v>1388</v>
      </c>
      <c r="D990" s="698" t="s">
        <v>9</v>
      </c>
      <c r="E990" s="8">
        <v>117</v>
      </c>
      <c r="F990" s="701">
        <v>19</v>
      </c>
      <c r="G990" s="1">
        <f t="shared" si="62"/>
        <v>2223</v>
      </c>
      <c r="H990" s="1"/>
      <c r="I990" s="1"/>
      <c r="J990" s="1"/>
      <c r="K990" s="1"/>
      <c r="L990" s="1"/>
      <c r="M990" s="1"/>
      <c r="N990" s="1"/>
      <c r="O990" s="1"/>
    </row>
    <row r="991" spans="1:15">
      <c r="A991" s="1">
        <v>30</v>
      </c>
      <c r="B991" s="1"/>
      <c r="C991" s="697" t="s">
        <v>1389</v>
      </c>
      <c r="D991" s="698" t="s">
        <v>9</v>
      </c>
      <c r="E991" s="8">
        <v>710</v>
      </c>
      <c r="F991" s="701">
        <v>9</v>
      </c>
      <c r="G991" s="1">
        <f t="shared" si="62"/>
        <v>6390</v>
      </c>
      <c r="H991" s="1"/>
      <c r="I991" s="1"/>
      <c r="J991" s="1"/>
      <c r="K991" s="1"/>
      <c r="L991" s="1"/>
      <c r="M991" s="1"/>
      <c r="N991" s="1"/>
      <c r="O991" s="1"/>
    </row>
    <row r="992" spans="1:15">
      <c r="A992" s="1">
        <v>31</v>
      </c>
      <c r="B992" s="1"/>
      <c r="C992" s="697" t="s">
        <v>1037</v>
      </c>
      <c r="D992" s="698" t="s">
        <v>9</v>
      </c>
      <c r="E992" s="8">
        <v>1271.2</v>
      </c>
      <c r="F992" s="699">
        <v>8</v>
      </c>
      <c r="G992" s="695">
        <f t="shared" si="62"/>
        <v>10169.6</v>
      </c>
      <c r="H992" s="1"/>
      <c r="I992" s="1"/>
      <c r="J992" s="1"/>
      <c r="K992" s="1"/>
      <c r="L992" s="1"/>
      <c r="M992" s="1"/>
      <c r="N992" s="1"/>
      <c r="O992" s="1"/>
    </row>
    <row r="993" spans="1:15">
      <c r="A993" s="1">
        <v>32</v>
      </c>
      <c r="B993" s="1"/>
      <c r="C993" s="697" t="s">
        <v>1390</v>
      </c>
      <c r="D993" s="698" t="s">
        <v>9</v>
      </c>
      <c r="E993" s="8">
        <v>610</v>
      </c>
      <c r="F993" s="701">
        <v>2</v>
      </c>
      <c r="G993" s="1">
        <f t="shared" si="62"/>
        <v>1220</v>
      </c>
      <c r="H993" s="1"/>
      <c r="I993" s="1"/>
      <c r="J993" s="1"/>
      <c r="K993" s="1"/>
      <c r="L993" s="1"/>
      <c r="M993" s="1"/>
      <c r="N993" s="1"/>
      <c r="O993" s="1"/>
    </row>
    <row r="994" spans="1:15">
      <c r="A994" s="1">
        <v>33</v>
      </c>
      <c r="B994" s="1"/>
      <c r="C994" s="697" t="s">
        <v>1391</v>
      </c>
      <c r="D994" s="698" t="s">
        <v>9</v>
      </c>
      <c r="E994" s="8">
        <v>1072.5999999999999</v>
      </c>
      <c r="F994" s="701">
        <v>1</v>
      </c>
      <c r="G994" s="1">
        <f t="shared" si="62"/>
        <v>1072.5999999999999</v>
      </c>
      <c r="H994" s="1"/>
      <c r="I994" s="1"/>
      <c r="J994" s="1"/>
      <c r="K994" s="1"/>
      <c r="L994" s="1"/>
      <c r="M994" s="1"/>
      <c r="N994" s="1"/>
      <c r="O994" s="1"/>
    </row>
    <row r="995" spans="1:15">
      <c r="A995" s="1">
        <v>34</v>
      </c>
      <c r="B995" s="1"/>
      <c r="C995" s="697" t="s">
        <v>1391</v>
      </c>
      <c r="D995" s="698" t="s">
        <v>9</v>
      </c>
      <c r="E995" s="8">
        <v>410</v>
      </c>
      <c r="F995" s="701">
        <v>8</v>
      </c>
      <c r="G995" s="1">
        <f t="shared" si="62"/>
        <v>3280</v>
      </c>
      <c r="H995" s="1"/>
      <c r="I995" s="1"/>
      <c r="J995" s="1"/>
      <c r="K995" s="1"/>
      <c r="L995" s="1"/>
      <c r="M995" s="1"/>
      <c r="N995" s="1"/>
      <c r="O995" s="1"/>
    </row>
    <row r="996" spans="1:15">
      <c r="A996" s="1">
        <v>35</v>
      </c>
      <c r="B996" s="1"/>
      <c r="C996" s="697" t="s">
        <v>1391</v>
      </c>
      <c r="D996" s="698" t="s">
        <v>9</v>
      </c>
      <c r="E996" s="8">
        <v>576</v>
      </c>
      <c r="F996" s="701">
        <v>5</v>
      </c>
      <c r="G996" s="1">
        <f t="shared" si="62"/>
        <v>2880</v>
      </c>
      <c r="H996" s="1"/>
      <c r="I996" s="1"/>
      <c r="J996" s="1"/>
      <c r="K996" s="1"/>
      <c r="L996" s="1"/>
      <c r="M996" s="1"/>
      <c r="N996" s="1"/>
      <c r="O996" s="1"/>
    </row>
    <row r="997" spans="1:15">
      <c r="A997" s="1">
        <v>36</v>
      </c>
      <c r="B997" s="1"/>
      <c r="C997" s="697" t="s">
        <v>1039</v>
      </c>
      <c r="D997" s="698" t="s">
        <v>9</v>
      </c>
      <c r="E997" s="8">
        <v>550.48</v>
      </c>
      <c r="F997" s="701">
        <v>5</v>
      </c>
      <c r="G997" s="1">
        <f t="shared" si="62"/>
        <v>2752.4</v>
      </c>
      <c r="H997" s="1"/>
      <c r="I997" s="1"/>
      <c r="J997" s="1"/>
      <c r="K997" s="1"/>
      <c r="L997" s="1"/>
      <c r="M997" s="1"/>
      <c r="N997" s="1"/>
      <c r="O997" s="1"/>
    </row>
    <row r="998" spans="1:15">
      <c r="A998" s="1">
        <v>37</v>
      </c>
      <c r="B998" s="1"/>
      <c r="C998" s="697" t="s">
        <v>1392</v>
      </c>
      <c r="D998" s="698" t="s">
        <v>2</v>
      </c>
      <c r="E998" s="8">
        <v>550.48</v>
      </c>
      <c r="F998" s="701">
        <v>5</v>
      </c>
      <c r="G998" s="1">
        <f t="shared" si="62"/>
        <v>2752.4</v>
      </c>
      <c r="H998" s="1"/>
      <c r="I998" s="1"/>
      <c r="J998" s="1"/>
      <c r="K998" s="1"/>
      <c r="L998" s="1"/>
      <c r="M998" s="1"/>
      <c r="N998" s="1"/>
      <c r="O998" s="1"/>
    </row>
    <row r="999" spans="1:15">
      <c r="A999" s="1">
        <v>38</v>
      </c>
      <c r="B999" s="1"/>
      <c r="C999" s="697" t="s">
        <v>1393</v>
      </c>
      <c r="D999" s="698" t="s">
        <v>751</v>
      </c>
      <c r="E999" s="8">
        <v>710</v>
      </c>
      <c r="F999" s="701">
        <v>2</v>
      </c>
      <c r="G999" s="1">
        <f t="shared" si="62"/>
        <v>1420</v>
      </c>
      <c r="H999" s="1"/>
      <c r="I999" s="1"/>
      <c r="J999" s="1"/>
      <c r="K999" s="1"/>
      <c r="L999" s="1"/>
      <c r="M999" s="1"/>
      <c r="N999" s="1"/>
      <c r="O999" s="1"/>
    </row>
    <row r="1000" spans="1:15">
      <c r="A1000" s="1">
        <v>39</v>
      </c>
      <c r="B1000" s="1"/>
      <c r="C1000" s="697" t="s">
        <v>1394</v>
      </c>
      <c r="D1000" s="698" t="s">
        <v>2</v>
      </c>
      <c r="E1000" s="8">
        <v>1710</v>
      </c>
      <c r="F1000" s="701">
        <v>4</v>
      </c>
      <c r="G1000" s="1">
        <f t="shared" si="62"/>
        <v>6840</v>
      </c>
      <c r="H1000" s="1"/>
      <c r="I1000" s="1"/>
      <c r="J1000" s="1"/>
      <c r="K1000" s="1"/>
      <c r="L1000" s="1"/>
      <c r="M1000" s="1"/>
      <c r="N1000" s="1"/>
      <c r="O1000" s="1"/>
    </row>
    <row r="1001" spans="1:15">
      <c r="A1001" s="1">
        <v>40</v>
      </c>
      <c r="B1001" s="1"/>
      <c r="C1001" s="697" t="s">
        <v>1395</v>
      </c>
      <c r="D1001" s="698" t="s">
        <v>9</v>
      </c>
      <c r="E1001" s="8">
        <v>1888</v>
      </c>
      <c r="F1001" s="701">
        <v>14</v>
      </c>
      <c r="G1001" s="1">
        <f t="shared" si="62"/>
        <v>26432</v>
      </c>
      <c r="H1001" s="695"/>
      <c r="I1001" s="1"/>
      <c r="J1001" s="1"/>
      <c r="K1001" s="1"/>
      <c r="L1001" s="1"/>
      <c r="M1001" s="1"/>
      <c r="N1001" s="1"/>
      <c r="O1001" s="1"/>
    </row>
    <row r="1002" spans="1:15">
      <c r="A1002" s="1">
        <v>41</v>
      </c>
      <c r="B1002" s="1"/>
      <c r="C1002" s="697" t="s">
        <v>1396</v>
      </c>
      <c r="D1002" s="698" t="s">
        <v>9</v>
      </c>
      <c r="E1002" s="8">
        <v>810</v>
      </c>
      <c r="F1002" s="701">
        <v>12</v>
      </c>
      <c r="G1002" s="1">
        <f t="shared" si="62"/>
        <v>9720</v>
      </c>
      <c r="H1002" s="695"/>
      <c r="I1002" s="1"/>
      <c r="J1002" s="1"/>
      <c r="K1002" s="1"/>
      <c r="L1002" s="1"/>
      <c r="M1002" s="1"/>
      <c r="N1002" s="1"/>
      <c r="O1002" s="1"/>
    </row>
    <row r="1003" spans="1:15">
      <c r="A1003" s="1">
        <v>42</v>
      </c>
      <c r="B1003" s="1"/>
      <c r="C1003" s="697" t="s">
        <v>1397</v>
      </c>
      <c r="D1003" s="698" t="s">
        <v>751</v>
      </c>
      <c r="E1003" s="407">
        <v>5210</v>
      </c>
      <c r="F1003" s="699">
        <v>12</v>
      </c>
      <c r="G1003" s="1">
        <f t="shared" si="62"/>
        <v>62520</v>
      </c>
      <c r="H1003" s="1"/>
      <c r="I1003" s="1"/>
      <c r="J1003" s="1"/>
      <c r="K1003" s="1"/>
      <c r="L1003" s="1"/>
      <c r="M1003" s="1"/>
      <c r="N1003" s="1"/>
      <c r="O1003" s="1"/>
    </row>
    <row r="1004" spans="1:15">
      <c r="A1004" s="1">
        <v>43</v>
      </c>
      <c r="B1004" s="1"/>
      <c r="C1004" s="697" t="s">
        <v>1398</v>
      </c>
      <c r="D1004" s="698" t="s">
        <v>9</v>
      </c>
      <c r="E1004" s="8">
        <v>8128.9</v>
      </c>
      <c r="F1004" s="701">
        <v>2</v>
      </c>
      <c r="G1004" s="1">
        <f t="shared" si="62"/>
        <v>16257.8</v>
      </c>
      <c r="H1004" s="1"/>
      <c r="I1004" s="1"/>
      <c r="J1004" s="1"/>
      <c r="K1004" s="1"/>
      <c r="L1004" s="1"/>
      <c r="M1004" s="1"/>
      <c r="N1004" s="1"/>
      <c r="O1004" s="1"/>
    </row>
    <row r="1005" spans="1:15">
      <c r="A1005" s="1">
        <v>44</v>
      </c>
      <c r="B1005" s="1"/>
      <c r="C1005" s="697" t="s">
        <v>1399</v>
      </c>
      <c r="D1005" s="698" t="s">
        <v>9</v>
      </c>
      <c r="E1005" s="8">
        <v>4494.6000000000004</v>
      </c>
      <c r="F1005" s="699">
        <v>2</v>
      </c>
      <c r="G1005" s="1">
        <f t="shared" si="62"/>
        <v>8989.2000000000007</v>
      </c>
      <c r="H1005" s="1"/>
      <c r="I1005" s="1"/>
      <c r="J1005" s="1"/>
      <c r="K1005" s="1"/>
      <c r="L1005" s="1"/>
      <c r="M1005" s="1"/>
      <c r="N1005" s="1"/>
      <c r="O1005" s="1"/>
    </row>
    <row r="1006" spans="1:15">
      <c r="A1006" s="1">
        <v>45</v>
      </c>
      <c r="B1006" s="1"/>
      <c r="C1006" s="697" t="s">
        <v>1400</v>
      </c>
      <c r="D1006" s="698" t="s">
        <v>1401</v>
      </c>
      <c r="E1006" s="407">
        <v>3610</v>
      </c>
      <c r="F1006" s="699">
        <v>13</v>
      </c>
      <c r="G1006" s="1">
        <f t="shared" si="62"/>
        <v>46930</v>
      </c>
      <c r="H1006" s="1"/>
      <c r="I1006" s="1"/>
      <c r="J1006" s="1"/>
      <c r="K1006" s="1"/>
      <c r="L1006" s="1"/>
      <c r="M1006" s="1"/>
      <c r="N1006" s="1"/>
      <c r="O1006" s="1"/>
    </row>
    <row r="1007" spans="1:15" ht="33">
      <c r="A1007" s="1">
        <v>46</v>
      </c>
      <c r="B1007" s="1"/>
      <c r="C1007" s="697" t="s">
        <v>1402</v>
      </c>
      <c r="D1007" s="698" t="s">
        <v>845</v>
      </c>
      <c r="E1007" s="8">
        <v>13554</v>
      </c>
      <c r="F1007" s="701">
        <v>1</v>
      </c>
      <c r="G1007" s="1">
        <f t="shared" si="62"/>
        <v>13554</v>
      </c>
      <c r="H1007" s="1"/>
      <c r="I1007" s="1"/>
      <c r="J1007" s="1"/>
      <c r="K1007" s="1"/>
      <c r="L1007" s="1"/>
      <c r="M1007" s="1"/>
      <c r="N1007" s="1"/>
      <c r="O1007" s="1"/>
    </row>
    <row r="1008" spans="1:15" ht="33">
      <c r="A1008" s="1">
        <v>47</v>
      </c>
      <c r="B1008" s="1"/>
      <c r="C1008" s="697" t="s">
        <v>1403</v>
      </c>
      <c r="D1008" s="698" t="s">
        <v>845</v>
      </c>
      <c r="E1008" s="8">
        <v>13776</v>
      </c>
      <c r="F1008" s="701">
        <v>1</v>
      </c>
      <c r="G1008" s="1">
        <f t="shared" si="62"/>
        <v>13776</v>
      </c>
      <c r="H1008" s="1"/>
      <c r="I1008" s="1"/>
      <c r="J1008" s="1"/>
      <c r="K1008" s="1"/>
      <c r="L1008" s="1"/>
      <c r="M1008" s="1"/>
      <c r="N1008" s="1"/>
      <c r="O1008" s="1"/>
    </row>
    <row r="1009" spans="1:15">
      <c r="A1009" s="1">
        <v>48</v>
      </c>
      <c r="B1009" s="1"/>
      <c r="C1009" s="697" t="s">
        <v>1404</v>
      </c>
      <c r="D1009" s="698" t="s">
        <v>2</v>
      </c>
      <c r="E1009" s="8">
        <v>719475</v>
      </c>
      <c r="F1009" s="701">
        <v>1</v>
      </c>
      <c r="G1009" s="1">
        <f t="shared" si="62"/>
        <v>719475</v>
      </c>
      <c r="H1009" s="1"/>
      <c r="I1009" s="1"/>
      <c r="J1009" s="1"/>
      <c r="K1009" s="1"/>
      <c r="L1009" s="1"/>
      <c r="M1009" s="1"/>
      <c r="N1009" s="1"/>
      <c r="O1009" s="1"/>
    </row>
    <row r="1010" spans="1:15">
      <c r="A1010" s="1">
        <v>49</v>
      </c>
      <c r="B1010" s="1"/>
      <c r="C1010" s="697" t="s">
        <v>1405</v>
      </c>
      <c r="D1010" s="698" t="s">
        <v>2</v>
      </c>
      <c r="E1010" s="8">
        <v>535725</v>
      </c>
      <c r="F1010" s="701">
        <v>1</v>
      </c>
      <c r="G1010" s="1">
        <f t="shared" si="62"/>
        <v>535725</v>
      </c>
      <c r="H1010" s="1"/>
      <c r="I1010" s="1"/>
      <c r="J1010" s="1"/>
      <c r="K1010" s="1"/>
      <c r="L1010" s="1"/>
      <c r="M1010" s="1"/>
      <c r="N1010" s="1"/>
      <c r="O1010" s="1"/>
    </row>
    <row r="1011" spans="1:15">
      <c r="A1011" s="1">
        <v>50</v>
      </c>
      <c r="B1011" s="1"/>
      <c r="C1011" s="697" t="s">
        <v>1406</v>
      </c>
      <c r="D1011" s="698" t="s">
        <v>845</v>
      </c>
      <c r="E1011" s="8">
        <v>8892</v>
      </c>
      <c r="F1011" s="701">
        <v>1</v>
      </c>
      <c r="G1011" s="1">
        <f t="shared" si="62"/>
        <v>8892</v>
      </c>
      <c r="H1011" s="1"/>
      <c r="I1011" s="1"/>
      <c r="J1011" s="1"/>
      <c r="K1011" s="1"/>
      <c r="L1011" s="1"/>
      <c r="M1011" s="1"/>
      <c r="N1011" s="1"/>
      <c r="O1011" s="1"/>
    </row>
    <row r="1012" spans="1:15" ht="33">
      <c r="A1012" s="1">
        <v>51</v>
      </c>
      <c r="B1012" s="1"/>
      <c r="C1012" s="697" t="s">
        <v>1407</v>
      </c>
      <c r="D1012" s="698" t="s">
        <v>845</v>
      </c>
      <c r="E1012" s="8">
        <v>11231</v>
      </c>
      <c r="F1012" s="701">
        <v>1</v>
      </c>
      <c r="G1012" s="1">
        <f t="shared" si="62"/>
        <v>11231</v>
      </c>
      <c r="H1012" s="1"/>
      <c r="I1012" s="1"/>
      <c r="J1012" s="1"/>
      <c r="K1012" s="1"/>
      <c r="L1012" s="1"/>
      <c r="M1012" s="1"/>
      <c r="N1012" s="1"/>
      <c r="O1012" s="1"/>
    </row>
    <row r="1013" spans="1:15" ht="33">
      <c r="A1013" s="1">
        <v>52</v>
      </c>
      <c r="B1013" s="1"/>
      <c r="C1013" s="697" t="s">
        <v>1408</v>
      </c>
      <c r="D1013" s="698" t="s">
        <v>845</v>
      </c>
      <c r="E1013" s="8">
        <v>12443</v>
      </c>
      <c r="F1013" s="701">
        <v>1</v>
      </c>
      <c r="G1013" s="1">
        <f t="shared" si="62"/>
        <v>12443</v>
      </c>
      <c r="H1013" s="1"/>
      <c r="I1013" s="1"/>
      <c r="J1013" s="1"/>
      <c r="K1013" s="1"/>
      <c r="L1013" s="1"/>
      <c r="M1013" s="1"/>
      <c r="N1013" s="1"/>
      <c r="O1013" s="1"/>
    </row>
    <row r="1014" spans="1:15">
      <c r="A1014" s="1">
        <v>53</v>
      </c>
      <c r="B1014" s="1"/>
      <c r="C1014" s="697" t="s">
        <v>1409</v>
      </c>
      <c r="D1014" s="698" t="s">
        <v>845</v>
      </c>
      <c r="E1014" s="8">
        <v>7885</v>
      </c>
      <c r="F1014" s="4">
        <v>1</v>
      </c>
      <c r="G1014" s="1">
        <f t="shared" si="62"/>
        <v>7885</v>
      </c>
      <c r="H1014" s="1"/>
      <c r="I1014" s="1"/>
      <c r="J1014" s="1"/>
      <c r="K1014" s="1"/>
      <c r="L1014" s="1"/>
      <c r="M1014" s="1"/>
      <c r="N1014" s="1"/>
      <c r="O1014" s="1"/>
    </row>
    <row r="1015" spans="1:15" ht="33">
      <c r="A1015" s="1">
        <v>54</v>
      </c>
      <c r="B1015" s="1"/>
      <c r="C1015" s="697" t="s">
        <v>1410</v>
      </c>
      <c r="D1015" s="698" t="s">
        <v>9</v>
      </c>
      <c r="E1015" s="8">
        <v>979.72</v>
      </c>
      <c r="F1015" s="4">
        <v>0</v>
      </c>
      <c r="G1015" s="1">
        <f t="shared" si="62"/>
        <v>0</v>
      </c>
      <c r="H1015" s="1"/>
      <c r="I1015" s="1"/>
      <c r="J1015" s="1"/>
      <c r="K1015" s="1"/>
      <c r="L1015" s="1"/>
      <c r="M1015" s="1"/>
      <c r="N1015" s="1"/>
      <c r="O1015" s="1"/>
    </row>
    <row r="1016" spans="1:15" ht="33">
      <c r="A1016" s="1">
        <v>55</v>
      </c>
      <c r="B1016" s="1"/>
      <c r="C1016" s="697" t="s">
        <v>1411</v>
      </c>
      <c r="D1016" s="698" t="s">
        <v>9</v>
      </c>
      <c r="E1016" s="8">
        <v>22855</v>
      </c>
      <c r="F1016" s="4">
        <v>1</v>
      </c>
      <c r="G1016" s="1">
        <f t="shared" si="62"/>
        <v>22855</v>
      </c>
      <c r="H1016" s="1"/>
      <c r="I1016" s="1"/>
      <c r="J1016" s="1"/>
      <c r="K1016" s="1"/>
      <c r="L1016" s="1"/>
      <c r="M1016" s="1"/>
      <c r="N1016" s="1"/>
      <c r="O1016" s="1"/>
    </row>
    <row r="1017" spans="1:15" ht="33">
      <c r="A1017" s="1">
        <v>56</v>
      </c>
      <c r="B1017" s="1"/>
      <c r="C1017" s="697" t="s">
        <v>1411</v>
      </c>
      <c r="D1017" s="698" t="s">
        <v>9</v>
      </c>
      <c r="E1017" s="8">
        <v>19886</v>
      </c>
      <c r="F1017" s="4">
        <v>1</v>
      </c>
      <c r="G1017" s="1">
        <f t="shared" si="62"/>
        <v>19886</v>
      </c>
      <c r="H1017" s="1"/>
      <c r="I1017" s="1"/>
      <c r="J1017" s="1"/>
      <c r="K1017" s="1"/>
      <c r="L1017" s="1"/>
      <c r="M1017" s="1"/>
      <c r="N1017" s="1"/>
      <c r="O1017" s="1"/>
    </row>
    <row r="1018" spans="1:15">
      <c r="A1018" s="1">
        <v>57</v>
      </c>
      <c r="B1018" s="1"/>
      <c r="C1018" s="697" t="s">
        <v>1412</v>
      </c>
      <c r="D1018" s="698" t="s">
        <v>9</v>
      </c>
      <c r="E1018" s="8">
        <v>8361.9500000000007</v>
      </c>
      <c r="F1018" s="4">
        <v>4</v>
      </c>
      <c r="G1018" s="1">
        <f t="shared" si="62"/>
        <v>33447.800000000003</v>
      </c>
      <c r="H1018" s="1"/>
      <c r="I1018" s="1"/>
      <c r="J1018" s="1"/>
      <c r="K1018" s="1"/>
      <c r="L1018" s="1"/>
      <c r="M1018" s="1"/>
      <c r="N1018" s="1"/>
      <c r="O1018" s="1"/>
    </row>
    <row r="1019" spans="1:15">
      <c r="A1019" s="1">
        <v>58</v>
      </c>
      <c r="B1019" s="1"/>
      <c r="C1019" s="697" t="s">
        <v>1413</v>
      </c>
      <c r="D1019" s="698" t="s">
        <v>9</v>
      </c>
      <c r="E1019" s="8">
        <v>12450.55</v>
      </c>
      <c r="F1019" s="4">
        <v>5</v>
      </c>
      <c r="G1019" s="1">
        <f t="shared" si="62"/>
        <v>62252.75</v>
      </c>
      <c r="H1019" s="1"/>
      <c r="I1019" s="1"/>
      <c r="J1019" s="1"/>
      <c r="K1019" s="1"/>
      <c r="L1019" s="1"/>
      <c r="M1019" s="1"/>
      <c r="N1019" s="1"/>
      <c r="O1019" s="1"/>
    </row>
    <row r="1020" spans="1:15">
      <c r="A1020" s="1">
        <v>59</v>
      </c>
      <c r="B1020" s="1"/>
      <c r="C1020" s="697" t="s">
        <v>1414</v>
      </c>
      <c r="D1020" s="698" t="s">
        <v>751</v>
      </c>
      <c r="E1020" s="8">
        <v>8896</v>
      </c>
      <c r="F1020" s="4">
        <v>3</v>
      </c>
      <c r="G1020" s="1">
        <f t="shared" si="62"/>
        <v>26688</v>
      </c>
      <c r="H1020" s="1"/>
      <c r="I1020" s="1"/>
      <c r="J1020" s="1"/>
      <c r="K1020" s="1"/>
      <c r="L1020" s="1"/>
      <c r="M1020" s="1"/>
      <c r="N1020" s="1"/>
      <c r="O1020" s="1"/>
    </row>
    <row r="1021" spans="1:15">
      <c r="A1021" s="1">
        <v>60</v>
      </c>
      <c r="B1021" s="1"/>
      <c r="C1021" s="697" t="s">
        <v>1414</v>
      </c>
      <c r="D1021" s="698" t="s">
        <v>751</v>
      </c>
      <c r="E1021" s="8">
        <v>8897</v>
      </c>
      <c r="F1021" s="4">
        <v>3</v>
      </c>
      <c r="G1021" s="1">
        <f t="shared" si="62"/>
        <v>26691</v>
      </c>
      <c r="H1021" s="1"/>
      <c r="I1021" s="1"/>
      <c r="J1021" s="1"/>
      <c r="K1021" s="1"/>
      <c r="L1021" s="1"/>
      <c r="M1021" s="1"/>
      <c r="N1021" s="1"/>
      <c r="O1021" s="1"/>
    </row>
    <row r="1022" spans="1:15">
      <c r="A1022" s="1">
        <v>61</v>
      </c>
      <c r="B1022" s="1"/>
      <c r="C1022" s="697" t="s">
        <v>1415</v>
      </c>
      <c r="D1022" s="698" t="s">
        <v>751</v>
      </c>
      <c r="E1022" s="8">
        <v>9883</v>
      </c>
      <c r="F1022" s="4">
        <v>1</v>
      </c>
      <c r="G1022" s="1">
        <f t="shared" si="62"/>
        <v>9883</v>
      </c>
      <c r="H1022" s="1"/>
      <c r="I1022" s="1"/>
      <c r="J1022" s="1"/>
      <c r="K1022" s="1"/>
      <c r="L1022" s="1"/>
      <c r="M1022" s="1"/>
      <c r="N1022" s="1"/>
      <c r="O1022" s="1"/>
    </row>
    <row r="1023" spans="1:15">
      <c r="A1023" s="1">
        <v>62</v>
      </c>
      <c r="B1023" s="1"/>
      <c r="C1023" s="697" t="s">
        <v>1415</v>
      </c>
      <c r="D1023" s="698" t="s">
        <v>751</v>
      </c>
      <c r="E1023" s="8">
        <v>8883</v>
      </c>
      <c r="F1023" s="4">
        <v>1</v>
      </c>
      <c r="G1023" s="1">
        <f t="shared" si="62"/>
        <v>8883</v>
      </c>
      <c r="H1023" s="1"/>
      <c r="I1023" s="1"/>
      <c r="J1023" s="1"/>
      <c r="K1023" s="1"/>
      <c r="L1023" s="1"/>
      <c r="M1023" s="1"/>
      <c r="N1023" s="1"/>
      <c r="O1023" s="1"/>
    </row>
    <row r="1024" spans="1:15">
      <c r="A1024" s="1">
        <v>63</v>
      </c>
      <c r="B1024" s="1"/>
      <c r="C1024" s="697" t="s">
        <v>1416</v>
      </c>
      <c r="D1024" s="698" t="s">
        <v>751</v>
      </c>
      <c r="E1024" s="8">
        <v>18000</v>
      </c>
      <c r="F1024" s="4">
        <v>1</v>
      </c>
      <c r="G1024" s="1">
        <f t="shared" si="62"/>
        <v>18000</v>
      </c>
      <c r="H1024" s="1"/>
      <c r="I1024" s="1"/>
      <c r="J1024" s="1"/>
      <c r="K1024" s="1"/>
      <c r="L1024" s="1"/>
      <c r="M1024" s="1"/>
      <c r="N1024" s="1"/>
      <c r="O1024" s="1"/>
    </row>
    <row r="1025" spans="1:15">
      <c r="A1025" s="1">
        <v>64</v>
      </c>
      <c r="B1025" s="1"/>
      <c r="C1025" s="697" t="s">
        <v>1416</v>
      </c>
      <c r="D1025" s="698" t="s">
        <v>751</v>
      </c>
      <c r="E1025" s="8">
        <v>14332</v>
      </c>
      <c r="F1025" s="4">
        <v>1</v>
      </c>
      <c r="G1025" s="1">
        <f t="shared" si="62"/>
        <v>14332</v>
      </c>
      <c r="H1025" s="1"/>
      <c r="I1025" s="1"/>
      <c r="J1025" s="1"/>
      <c r="K1025" s="1"/>
      <c r="L1025" s="1"/>
      <c r="M1025" s="1"/>
      <c r="N1025" s="1"/>
      <c r="O1025" s="1"/>
    </row>
    <row r="1026" spans="1:15">
      <c r="A1026" s="1">
        <v>65</v>
      </c>
      <c r="B1026" s="1"/>
      <c r="C1026" s="700" t="s">
        <v>1417</v>
      </c>
      <c r="D1026" s="698" t="s">
        <v>751</v>
      </c>
      <c r="E1026" s="8">
        <v>16500</v>
      </c>
      <c r="F1026" s="4">
        <v>1</v>
      </c>
      <c r="G1026" s="1">
        <f t="shared" si="62"/>
        <v>16500</v>
      </c>
      <c r="H1026" s="1"/>
      <c r="I1026" s="1"/>
      <c r="J1026" s="1"/>
      <c r="K1026" s="1"/>
      <c r="L1026" s="1"/>
      <c r="M1026" s="1"/>
      <c r="N1026" s="1"/>
      <c r="O1026" s="1"/>
    </row>
    <row r="1027" spans="1:15">
      <c r="A1027" s="1">
        <v>66</v>
      </c>
      <c r="B1027" s="1"/>
      <c r="C1027" s="700" t="s">
        <v>1417</v>
      </c>
      <c r="D1027" s="698" t="s">
        <v>751</v>
      </c>
      <c r="E1027" s="8">
        <v>16500</v>
      </c>
      <c r="F1027" s="4">
        <v>1</v>
      </c>
      <c r="G1027" s="1">
        <f t="shared" ref="G1027:G1090" si="63">E1027*F1027</f>
        <v>16500</v>
      </c>
      <c r="H1027" s="1"/>
      <c r="I1027" s="1"/>
      <c r="J1027" s="1"/>
      <c r="K1027" s="1"/>
      <c r="L1027" s="1"/>
      <c r="M1027" s="1"/>
      <c r="N1027" s="1"/>
      <c r="O1027" s="1"/>
    </row>
    <row r="1028" spans="1:15">
      <c r="A1028" s="1">
        <v>67</v>
      </c>
      <c r="B1028" s="1"/>
      <c r="C1028" s="700" t="s">
        <v>1418</v>
      </c>
      <c r="D1028" s="698" t="s">
        <v>751</v>
      </c>
      <c r="E1028" s="8">
        <v>8500</v>
      </c>
      <c r="F1028" s="4">
        <v>1</v>
      </c>
      <c r="G1028" s="1">
        <f t="shared" si="63"/>
        <v>8500</v>
      </c>
      <c r="H1028" s="1"/>
      <c r="I1028" s="1"/>
      <c r="J1028" s="1"/>
      <c r="K1028" s="1"/>
      <c r="L1028" s="1"/>
      <c r="M1028" s="1"/>
      <c r="N1028" s="1"/>
      <c r="O1028" s="1"/>
    </row>
    <row r="1029" spans="1:15">
      <c r="A1029" s="1">
        <v>68</v>
      </c>
      <c r="B1029" s="1"/>
      <c r="C1029" s="700" t="s">
        <v>1418</v>
      </c>
      <c r="D1029" s="698" t="s">
        <v>751</v>
      </c>
      <c r="E1029" s="8">
        <v>7220</v>
      </c>
      <c r="F1029" s="4">
        <v>1</v>
      </c>
      <c r="G1029" s="1">
        <f t="shared" si="63"/>
        <v>7220</v>
      </c>
      <c r="H1029" s="1"/>
      <c r="I1029" s="1"/>
      <c r="J1029" s="1"/>
      <c r="K1029" s="1"/>
      <c r="L1029" s="1"/>
      <c r="M1029" s="1"/>
      <c r="N1029" s="1"/>
      <c r="O1029" s="1"/>
    </row>
    <row r="1030" spans="1:15">
      <c r="A1030" s="1">
        <v>69</v>
      </c>
      <c r="B1030" s="1"/>
      <c r="C1030" s="700" t="s">
        <v>1419</v>
      </c>
      <c r="D1030" s="698" t="s">
        <v>845</v>
      </c>
      <c r="E1030" s="8">
        <v>2566</v>
      </c>
      <c r="F1030" s="4">
        <v>1</v>
      </c>
      <c r="G1030" s="1">
        <f t="shared" si="63"/>
        <v>2566</v>
      </c>
      <c r="H1030" s="1"/>
      <c r="I1030" s="1"/>
      <c r="J1030" s="1"/>
      <c r="K1030" s="1"/>
      <c r="L1030" s="1"/>
      <c r="M1030" s="1"/>
      <c r="N1030" s="1"/>
      <c r="O1030" s="1"/>
    </row>
    <row r="1031" spans="1:15">
      <c r="A1031" s="1">
        <v>70</v>
      </c>
      <c r="B1031" s="1"/>
      <c r="C1031" s="700" t="s">
        <v>1420</v>
      </c>
      <c r="D1031" s="698" t="s">
        <v>845</v>
      </c>
      <c r="E1031" s="8">
        <v>2566</v>
      </c>
      <c r="F1031" s="4">
        <v>1</v>
      </c>
      <c r="G1031" s="1">
        <f t="shared" si="63"/>
        <v>2566</v>
      </c>
      <c r="H1031" s="1"/>
      <c r="I1031" s="1"/>
      <c r="J1031" s="1"/>
      <c r="K1031" s="1"/>
      <c r="L1031" s="1"/>
      <c r="M1031" s="1"/>
      <c r="N1031" s="1"/>
      <c r="O1031" s="1"/>
    </row>
    <row r="1032" spans="1:15" ht="33">
      <c r="A1032" s="1">
        <v>71</v>
      </c>
      <c r="B1032" s="1"/>
      <c r="C1032" s="697" t="s">
        <v>1421</v>
      </c>
      <c r="D1032" s="698" t="s">
        <v>845</v>
      </c>
      <c r="E1032" s="8">
        <v>26567</v>
      </c>
      <c r="F1032" s="4">
        <v>4</v>
      </c>
      <c r="G1032" s="1">
        <f t="shared" si="63"/>
        <v>106268</v>
      </c>
      <c r="H1032" s="1"/>
      <c r="I1032" s="1"/>
      <c r="J1032" s="1"/>
      <c r="K1032" s="1"/>
      <c r="L1032" s="1"/>
      <c r="M1032" s="1"/>
      <c r="N1032" s="1"/>
      <c r="O1032" s="1"/>
    </row>
    <row r="1033" spans="1:15">
      <c r="A1033" s="1">
        <v>72</v>
      </c>
      <c r="B1033" s="1"/>
      <c r="C1033" s="697" t="s">
        <v>1422</v>
      </c>
      <c r="D1033" s="698" t="s">
        <v>9</v>
      </c>
      <c r="E1033" s="8">
        <v>63495</v>
      </c>
      <c r="F1033" s="4">
        <v>1</v>
      </c>
      <c r="G1033" s="1">
        <f t="shared" si="63"/>
        <v>63495</v>
      </c>
      <c r="H1033" s="1"/>
      <c r="I1033" s="1"/>
      <c r="J1033" s="1"/>
      <c r="K1033" s="1"/>
      <c r="L1033" s="1"/>
      <c r="M1033" s="1"/>
      <c r="N1033" s="1"/>
      <c r="O1033" s="1"/>
    </row>
    <row r="1034" spans="1:15">
      <c r="A1034" s="1">
        <v>73</v>
      </c>
      <c r="B1034" s="1"/>
      <c r="C1034" s="697" t="s">
        <v>1423</v>
      </c>
      <c r="D1034" s="698" t="s">
        <v>9</v>
      </c>
      <c r="E1034" s="8">
        <v>34992</v>
      </c>
      <c r="F1034" s="4">
        <v>1</v>
      </c>
      <c r="G1034" s="1">
        <f t="shared" si="63"/>
        <v>34992</v>
      </c>
      <c r="H1034" s="1"/>
      <c r="I1034" s="1"/>
      <c r="J1034" s="1"/>
      <c r="K1034" s="1"/>
      <c r="L1034" s="1"/>
      <c r="M1034" s="1"/>
      <c r="N1034" s="1"/>
      <c r="O1034" s="1"/>
    </row>
    <row r="1035" spans="1:15" ht="33">
      <c r="A1035" s="1">
        <v>74</v>
      </c>
      <c r="B1035" s="1"/>
      <c r="C1035" s="697" t="s">
        <v>1424</v>
      </c>
      <c r="D1035" s="698" t="s">
        <v>845</v>
      </c>
      <c r="E1035" s="8">
        <v>36895</v>
      </c>
      <c r="F1035" s="4">
        <v>15</v>
      </c>
      <c r="G1035" s="1">
        <f t="shared" si="63"/>
        <v>553425</v>
      </c>
      <c r="H1035" s="1"/>
      <c r="I1035" s="1"/>
      <c r="J1035" s="1"/>
      <c r="K1035" s="1"/>
      <c r="L1035" s="1"/>
      <c r="M1035" s="1"/>
      <c r="N1035" s="1"/>
      <c r="O1035" s="1"/>
    </row>
    <row r="1036" spans="1:15" ht="33">
      <c r="A1036" s="1">
        <v>75</v>
      </c>
      <c r="B1036" s="1"/>
      <c r="C1036" s="697" t="s">
        <v>1425</v>
      </c>
      <c r="D1036" s="698" t="s">
        <v>845</v>
      </c>
      <c r="E1036" s="8">
        <v>13770</v>
      </c>
      <c r="F1036" s="4">
        <v>4</v>
      </c>
      <c r="G1036" s="1">
        <f t="shared" si="63"/>
        <v>55080</v>
      </c>
      <c r="H1036" s="1"/>
      <c r="I1036" s="1"/>
      <c r="J1036" s="1"/>
      <c r="K1036" s="1"/>
      <c r="L1036" s="1"/>
      <c r="M1036" s="1"/>
      <c r="N1036" s="1"/>
      <c r="O1036" s="1"/>
    </row>
    <row r="1037" spans="1:15" ht="33">
      <c r="A1037" s="1">
        <v>76</v>
      </c>
      <c r="B1037" s="1"/>
      <c r="C1037" s="697" t="s">
        <v>1425</v>
      </c>
      <c r="D1037" s="698" t="s">
        <v>845</v>
      </c>
      <c r="E1037" s="8">
        <v>20647</v>
      </c>
      <c r="F1037" s="4">
        <v>13</v>
      </c>
      <c r="G1037" s="1">
        <f t="shared" si="63"/>
        <v>268411</v>
      </c>
      <c r="H1037" s="1"/>
      <c r="I1037" s="1"/>
      <c r="J1037" s="1"/>
      <c r="K1037" s="1"/>
      <c r="L1037" s="1"/>
      <c r="M1037" s="1"/>
      <c r="N1037" s="1"/>
      <c r="O1037" s="1"/>
    </row>
    <row r="1038" spans="1:15" ht="33">
      <c r="A1038" s="1">
        <v>77</v>
      </c>
      <c r="B1038" s="1"/>
      <c r="C1038" s="697" t="s">
        <v>1426</v>
      </c>
      <c r="D1038" s="702" t="s">
        <v>9</v>
      </c>
      <c r="E1038" s="8">
        <v>68554</v>
      </c>
      <c r="F1038" s="4">
        <v>1</v>
      </c>
      <c r="G1038" s="1">
        <f t="shared" si="63"/>
        <v>68554</v>
      </c>
      <c r="H1038" s="1"/>
      <c r="I1038" s="1"/>
      <c r="J1038" s="1"/>
      <c r="K1038" s="1"/>
      <c r="L1038" s="1"/>
      <c r="M1038" s="1"/>
      <c r="N1038" s="1"/>
      <c r="O1038" s="1"/>
    </row>
    <row r="1039" spans="1:15">
      <c r="A1039" s="1">
        <v>78</v>
      </c>
      <c r="B1039" s="1"/>
      <c r="C1039" s="697" t="s">
        <v>1427</v>
      </c>
      <c r="D1039" s="698" t="s">
        <v>845</v>
      </c>
      <c r="E1039" s="8">
        <v>65478</v>
      </c>
      <c r="F1039" s="4">
        <v>2</v>
      </c>
      <c r="G1039" s="1">
        <f t="shared" si="63"/>
        <v>130956</v>
      </c>
      <c r="H1039" s="1"/>
      <c r="I1039" s="1"/>
      <c r="J1039" s="1"/>
      <c r="K1039" s="1"/>
      <c r="L1039" s="1"/>
      <c r="M1039" s="1"/>
      <c r="N1039" s="1"/>
      <c r="O1039" s="1"/>
    </row>
    <row r="1040" spans="1:15" ht="49.5">
      <c r="A1040" s="1">
        <v>79</v>
      </c>
      <c r="B1040" s="1"/>
      <c r="C1040" s="697" t="s">
        <v>1428</v>
      </c>
      <c r="D1040" s="698" t="s">
        <v>845</v>
      </c>
      <c r="E1040" s="8">
        <v>1961</v>
      </c>
      <c r="F1040" s="4">
        <v>0</v>
      </c>
      <c r="G1040" s="1">
        <f t="shared" si="63"/>
        <v>0</v>
      </c>
      <c r="H1040" s="1"/>
      <c r="I1040" s="1"/>
      <c r="J1040" s="1"/>
      <c r="K1040" s="1"/>
      <c r="L1040" s="1"/>
      <c r="M1040" s="1"/>
      <c r="N1040" s="1"/>
      <c r="O1040" s="1"/>
    </row>
    <row r="1041" spans="1:15" ht="49.5">
      <c r="A1041" s="1">
        <v>80</v>
      </c>
      <c r="B1041" s="1"/>
      <c r="C1041" s="697" t="s">
        <v>1428</v>
      </c>
      <c r="D1041" s="698" t="s">
        <v>845</v>
      </c>
      <c r="E1041" s="8">
        <v>2940.5</v>
      </c>
      <c r="F1041" s="4">
        <v>1</v>
      </c>
      <c r="G1041" s="1">
        <f t="shared" si="63"/>
        <v>2940.5</v>
      </c>
      <c r="H1041" s="1"/>
      <c r="I1041" s="1"/>
      <c r="J1041" s="1"/>
      <c r="K1041" s="1"/>
      <c r="L1041" s="1"/>
      <c r="M1041" s="1"/>
      <c r="N1041" s="1"/>
      <c r="O1041" s="1"/>
    </row>
    <row r="1042" spans="1:15" ht="33">
      <c r="A1042" s="1">
        <v>81</v>
      </c>
      <c r="B1042" s="1"/>
      <c r="C1042" s="697" t="s">
        <v>1429</v>
      </c>
      <c r="D1042" s="698" t="s">
        <v>845</v>
      </c>
      <c r="E1042" s="8">
        <v>141340</v>
      </c>
      <c r="F1042" s="4">
        <v>1</v>
      </c>
      <c r="G1042" s="1">
        <f t="shared" si="63"/>
        <v>141340</v>
      </c>
      <c r="H1042" s="1"/>
      <c r="I1042" s="1"/>
      <c r="J1042" s="1"/>
      <c r="K1042" s="1"/>
      <c r="L1042" s="1"/>
      <c r="M1042" s="1"/>
      <c r="N1042" s="1"/>
      <c r="O1042" s="1"/>
    </row>
    <row r="1043" spans="1:15" ht="49.5">
      <c r="A1043" s="1">
        <v>82</v>
      </c>
      <c r="B1043" s="1"/>
      <c r="C1043" s="697" t="s">
        <v>1430</v>
      </c>
      <c r="D1043" s="698" t="s">
        <v>845</v>
      </c>
      <c r="E1043" s="8">
        <v>79487</v>
      </c>
      <c r="F1043" s="4">
        <v>1</v>
      </c>
      <c r="G1043" s="1">
        <f t="shared" si="63"/>
        <v>79487</v>
      </c>
      <c r="H1043" s="1"/>
      <c r="I1043" s="1"/>
      <c r="J1043" s="1"/>
      <c r="K1043" s="1"/>
      <c r="L1043" s="1"/>
      <c r="M1043" s="1"/>
      <c r="N1043" s="1"/>
      <c r="O1043" s="1"/>
    </row>
    <row r="1044" spans="1:15" ht="33">
      <c r="A1044" s="1">
        <v>83</v>
      </c>
      <c r="B1044" s="1"/>
      <c r="C1044" s="697" t="s">
        <v>1431</v>
      </c>
      <c r="D1044" s="698" t="s">
        <v>845</v>
      </c>
      <c r="E1044" s="8">
        <v>42000</v>
      </c>
      <c r="F1044" s="4">
        <v>1</v>
      </c>
      <c r="G1044" s="1">
        <f t="shared" si="63"/>
        <v>42000</v>
      </c>
      <c r="H1044" s="1"/>
      <c r="I1044" s="1"/>
      <c r="J1044" s="1"/>
      <c r="K1044" s="1"/>
      <c r="L1044" s="1"/>
      <c r="M1044" s="1"/>
      <c r="N1044" s="1"/>
      <c r="O1044" s="1"/>
    </row>
    <row r="1045" spans="1:15" ht="33">
      <c r="A1045" s="1">
        <v>84</v>
      </c>
      <c r="B1045" s="1"/>
      <c r="C1045" s="697" t="s">
        <v>1432</v>
      </c>
      <c r="D1045" s="698" t="s">
        <v>845</v>
      </c>
      <c r="E1045" s="8">
        <v>1600</v>
      </c>
      <c r="F1045" s="4">
        <v>1</v>
      </c>
      <c r="G1045" s="1">
        <f t="shared" si="63"/>
        <v>1600</v>
      </c>
      <c r="H1045" s="1"/>
      <c r="I1045" s="1"/>
      <c r="J1045" s="1"/>
      <c r="K1045" s="1"/>
      <c r="L1045" s="1"/>
      <c r="M1045" s="1"/>
      <c r="N1045" s="1"/>
      <c r="O1045" s="1"/>
    </row>
    <row r="1046" spans="1:15">
      <c r="A1046" s="1">
        <v>85</v>
      </c>
      <c r="B1046" s="1"/>
      <c r="C1046" s="697" t="s">
        <v>1433</v>
      </c>
      <c r="D1046" s="698" t="s">
        <v>845</v>
      </c>
      <c r="E1046" s="8">
        <v>16200</v>
      </c>
      <c r="F1046" s="4">
        <v>1</v>
      </c>
      <c r="G1046" s="1">
        <f t="shared" si="63"/>
        <v>16200</v>
      </c>
      <c r="H1046" s="1"/>
      <c r="I1046" s="1"/>
      <c r="J1046" s="1"/>
      <c r="K1046" s="1"/>
      <c r="L1046" s="1"/>
      <c r="M1046" s="1"/>
      <c r="N1046" s="1"/>
      <c r="O1046" s="1"/>
    </row>
    <row r="1047" spans="1:15" ht="33">
      <c r="A1047" s="1">
        <v>86</v>
      </c>
      <c r="B1047" s="1"/>
      <c r="C1047" s="697" t="s">
        <v>1434</v>
      </c>
      <c r="D1047" s="698" t="s">
        <v>845</v>
      </c>
      <c r="E1047" s="8">
        <v>138674</v>
      </c>
      <c r="F1047" s="4">
        <v>1</v>
      </c>
      <c r="G1047" s="1">
        <f t="shared" si="63"/>
        <v>138674</v>
      </c>
      <c r="H1047" s="1"/>
      <c r="I1047" s="1"/>
      <c r="J1047" s="1"/>
      <c r="K1047" s="1"/>
      <c r="L1047" s="1"/>
      <c r="M1047" s="1"/>
      <c r="N1047" s="1"/>
      <c r="O1047" s="1"/>
    </row>
    <row r="1048" spans="1:15" ht="33">
      <c r="A1048" s="1">
        <v>87</v>
      </c>
      <c r="B1048" s="1"/>
      <c r="C1048" s="697" t="s">
        <v>1435</v>
      </c>
      <c r="D1048" s="698" t="s">
        <v>751</v>
      </c>
      <c r="E1048" s="8">
        <v>88657</v>
      </c>
      <c r="F1048" s="4">
        <v>1</v>
      </c>
      <c r="G1048" s="1">
        <f t="shared" si="63"/>
        <v>88657</v>
      </c>
      <c r="H1048" s="1"/>
      <c r="I1048" s="1"/>
      <c r="J1048" s="1"/>
      <c r="K1048" s="1"/>
      <c r="L1048" s="1"/>
      <c r="M1048" s="1"/>
      <c r="N1048" s="1"/>
      <c r="O1048" s="1"/>
    </row>
    <row r="1049" spans="1:15" ht="33">
      <c r="A1049" s="1">
        <v>88</v>
      </c>
      <c r="B1049" s="1"/>
      <c r="C1049" s="697" t="s">
        <v>1436</v>
      </c>
      <c r="D1049" s="698" t="s">
        <v>751</v>
      </c>
      <c r="E1049" s="8">
        <v>9000</v>
      </c>
      <c r="F1049" s="4">
        <v>1</v>
      </c>
      <c r="G1049" s="1">
        <f t="shared" si="63"/>
        <v>9000</v>
      </c>
      <c r="H1049" s="1"/>
      <c r="I1049" s="1"/>
      <c r="J1049" s="1"/>
      <c r="K1049" s="1"/>
      <c r="L1049" s="1"/>
      <c r="M1049" s="1"/>
      <c r="N1049" s="1"/>
      <c r="O1049" s="1"/>
    </row>
    <row r="1050" spans="1:15" ht="33">
      <c r="A1050" s="1">
        <v>89</v>
      </c>
      <c r="B1050" s="1"/>
      <c r="C1050" s="697" t="s">
        <v>1437</v>
      </c>
      <c r="D1050" s="698" t="s">
        <v>845</v>
      </c>
      <c r="E1050" s="8">
        <v>139872</v>
      </c>
      <c r="F1050" s="4">
        <v>1</v>
      </c>
      <c r="G1050" s="1">
        <f t="shared" si="63"/>
        <v>139872</v>
      </c>
      <c r="H1050" s="1"/>
      <c r="I1050" s="1"/>
      <c r="J1050" s="1"/>
      <c r="K1050" s="1"/>
      <c r="L1050" s="1"/>
      <c r="M1050" s="1"/>
      <c r="N1050" s="1"/>
      <c r="O1050" s="1"/>
    </row>
    <row r="1051" spans="1:15">
      <c r="A1051" s="1">
        <v>90</v>
      </c>
      <c r="B1051" s="1"/>
      <c r="C1051" s="697" t="s">
        <v>1438</v>
      </c>
      <c r="D1051" s="698" t="s">
        <v>751</v>
      </c>
      <c r="E1051" s="8">
        <v>900</v>
      </c>
      <c r="F1051" s="4">
        <v>1</v>
      </c>
      <c r="G1051" s="1">
        <f t="shared" si="63"/>
        <v>900</v>
      </c>
      <c r="H1051" s="1"/>
      <c r="I1051" s="1"/>
      <c r="J1051" s="1"/>
      <c r="K1051" s="1"/>
      <c r="L1051" s="1"/>
      <c r="M1051" s="1"/>
      <c r="N1051" s="1"/>
      <c r="O1051" s="1"/>
    </row>
    <row r="1052" spans="1:15">
      <c r="A1052" s="1">
        <v>91</v>
      </c>
      <c r="B1052" s="1"/>
      <c r="C1052" s="697" t="s">
        <v>1439</v>
      </c>
      <c r="D1052" s="698" t="s">
        <v>845</v>
      </c>
      <c r="E1052" s="8">
        <v>62558</v>
      </c>
      <c r="F1052" s="4">
        <v>2</v>
      </c>
      <c r="G1052" s="1">
        <f t="shared" si="63"/>
        <v>125116</v>
      </c>
      <c r="H1052" s="1"/>
      <c r="I1052" s="1"/>
      <c r="J1052" s="1"/>
      <c r="K1052" s="1"/>
      <c r="L1052" s="1"/>
      <c r="M1052" s="1"/>
      <c r="N1052" s="1"/>
      <c r="O1052" s="1"/>
    </row>
    <row r="1053" spans="1:15" ht="33">
      <c r="A1053" s="1">
        <v>92</v>
      </c>
      <c r="B1053" s="1"/>
      <c r="C1053" s="697" t="s">
        <v>1440</v>
      </c>
      <c r="D1053" s="698" t="s">
        <v>845</v>
      </c>
      <c r="E1053" s="8">
        <v>69887</v>
      </c>
      <c r="F1053" s="4">
        <v>2</v>
      </c>
      <c r="G1053" s="1">
        <f t="shared" si="63"/>
        <v>139774</v>
      </c>
      <c r="H1053" s="1"/>
      <c r="I1053" s="1"/>
      <c r="J1053" s="1"/>
      <c r="K1053" s="1"/>
      <c r="L1053" s="1"/>
      <c r="M1053" s="1"/>
      <c r="N1053" s="1"/>
      <c r="O1053" s="1"/>
    </row>
    <row r="1054" spans="1:15" ht="33">
      <c r="A1054" s="1">
        <v>93</v>
      </c>
      <c r="B1054" s="1"/>
      <c r="C1054" s="697" t="s">
        <v>1441</v>
      </c>
      <c r="D1054" s="698" t="s">
        <v>845</v>
      </c>
      <c r="E1054" s="8">
        <v>58976</v>
      </c>
      <c r="F1054" s="4">
        <v>2</v>
      </c>
      <c r="G1054" s="1">
        <f t="shared" si="63"/>
        <v>117952</v>
      </c>
      <c r="H1054" s="1"/>
      <c r="I1054" s="1"/>
      <c r="J1054" s="1"/>
      <c r="K1054" s="1"/>
      <c r="L1054" s="1"/>
      <c r="M1054" s="1"/>
      <c r="N1054" s="1"/>
      <c r="O1054" s="1"/>
    </row>
    <row r="1055" spans="1:15" ht="49.5">
      <c r="A1055" s="1">
        <v>94</v>
      </c>
      <c r="B1055" s="1"/>
      <c r="C1055" s="697" t="s">
        <v>1442</v>
      </c>
      <c r="D1055" s="698" t="s">
        <v>845</v>
      </c>
      <c r="E1055" s="8">
        <v>55438</v>
      </c>
      <c r="F1055" s="4">
        <v>2</v>
      </c>
      <c r="G1055" s="1">
        <f t="shared" si="63"/>
        <v>110876</v>
      </c>
      <c r="H1055" s="1"/>
      <c r="I1055" s="1"/>
      <c r="J1055" s="1"/>
      <c r="K1055" s="1"/>
      <c r="L1055" s="1"/>
      <c r="M1055" s="1"/>
      <c r="N1055" s="1"/>
      <c r="O1055" s="1"/>
    </row>
    <row r="1056" spans="1:15">
      <c r="A1056" s="1">
        <v>95</v>
      </c>
      <c r="B1056" s="1"/>
      <c r="C1056" s="697" t="s">
        <v>1443</v>
      </c>
      <c r="D1056" s="698" t="s">
        <v>845</v>
      </c>
      <c r="E1056" s="8">
        <v>356</v>
      </c>
      <c r="F1056" s="4">
        <v>1</v>
      </c>
      <c r="G1056" s="1">
        <f t="shared" si="63"/>
        <v>356</v>
      </c>
      <c r="H1056" s="1"/>
      <c r="I1056" s="1"/>
      <c r="J1056" s="1"/>
      <c r="K1056" s="1"/>
      <c r="L1056" s="1"/>
      <c r="M1056" s="1"/>
      <c r="N1056" s="1"/>
      <c r="O1056" s="1"/>
    </row>
    <row r="1057" spans="1:15">
      <c r="A1057" s="1">
        <v>96</v>
      </c>
      <c r="B1057" s="1"/>
      <c r="C1057" s="697" t="s">
        <v>1444</v>
      </c>
      <c r="D1057" s="698" t="s">
        <v>9</v>
      </c>
      <c r="E1057" s="8">
        <v>240</v>
      </c>
      <c r="F1057" s="4">
        <v>1</v>
      </c>
      <c r="G1057" s="1">
        <f t="shared" si="63"/>
        <v>240</v>
      </c>
      <c r="H1057" s="1"/>
      <c r="I1057" s="1"/>
      <c r="J1057" s="1"/>
      <c r="K1057" s="1"/>
      <c r="L1057" s="1"/>
      <c r="M1057" s="1"/>
      <c r="N1057" s="1"/>
      <c r="O1057" s="1"/>
    </row>
    <row r="1058" spans="1:15">
      <c r="A1058" s="1">
        <v>97</v>
      </c>
      <c r="B1058" s="1"/>
      <c r="C1058" s="697" t="s">
        <v>1445</v>
      </c>
      <c r="D1058" s="698" t="s">
        <v>9</v>
      </c>
      <c r="E1058" s="8">
        <v>54789</v>
      </c>
      <c r="F1058" s="4">
        <v>2</v>
      </c>
      <c r="G1058" s="1">
        <f t="shared" si="63"/>
        <v>109578</v>
      </c>
      <c r="H1058" s="1"/>
      <c r="I1058" s="1"/>
      <c r="J1058" s="1"/>
      <c r="K1058" s="1"/>
      <c r="L1058" s="1"/>
      <c r="M1058" s="1"/>
      <c r="N1058" s="1"/>
      <c r="O1058" s="1"/>
    </row>
    <row r="1059" spans="1:15">
      <c r="A1059" s="1">
        <v>98</v>
      </c>
      <c r="B1059" s="1"/>
      <c r="C1059" s="697" t="s">
        <v>1446</v>
      </c>
      <c r="D1059" s="698" t="s">
        <v>845</v>
      </c>
      <c r="E1059" s="8">
        <v>12559</v>
      </c>
      <c r="F1059" s="4">
        <v>1</v>
      </c>
      <c r="G1059" s="1">
        <f t="shared" si="63"/>
        <v>12559</v>
      </c>
      <c r="H1059" s="1"/>
      <c r="I1059" s="1"/>
      <c r="J1059" s="1"/>
      <c r="K1059" s="1"/>
      <c r="L1059" s="1"/>
      <c r="M1059" s="1"/>
      <c r="N1059" s="1"/>
      <c r="O1059" s="1"/>
    </row>
    <row r="1060" spans="1:15">
      <c r="A1060" s="1">
        <v>99</v>
      </c>
      <c r="B1060" s="1"/>
      <c r="C1060" s="697" t="s">
        <v>1447</v>
      </c>
      <c r="D1060" s="698" t="s">
        <v>9</v>
      </c>
      <c r="E1060" s="8">
        <v>3224</v>
      </c>
      <c r="F1060" s="4">
        <v>2</v>
      </c>
      <c r="G1060" s="1">
        <f t="shared" si="63"/>
        <v>6448</v>
      </c>
      <c r="H1060" s="1"/>
      <c r="I1060" s="1"/>
      <c r="J1060" s="1"/>
      <c r="K1060" s="1"/>
      <c r="L1060" s="1"/>
      <c r="M1060" s="1"/>
      <c r="N1060" s="1"/>
      <c r="O1060" s="1"/>
    </row>
    <row r="1061" spans="1:15" ht="33">
      <c r="A1061" s="1">
        <v>100</v>
      </c>
      <c r="B1061" s="1"/>
      <c r="C1061" s="697" t="s">
        <v>1448</v>
      </c>
      <c r="D1061" s="698" t="s">
        <v>751</v>
      </c>
      <c r="E1061" s="8">
        <v>18044</v>
      </c>
      <c r="F1061" s="4">
        <v>1</v>
      </c>
      <c r="G1061" s="1">
        <f t="shared" si="63"/>
        <v>18044</v>
      </c>
      <c r="H1061" s="1"/>
      <c r="I1061" s="1"/>
      <c r="J1061" s="1"/>
      <c r="K1061" s="1"/>
      <c r="L1061" s="1"/>
      <c r="M1061" s="1"/>
      <c r="N1061" s="1"/>
      <c r="O1061" s="1"/>
    </row>
    <row r="1062" spans="1:15" ht="33">
      <c r="A1062" s="1">
        <v>101</v>
      </c>
      <c r="B1062" s="1"/>
      <c r="C1062" s="697" t="s">
        <v>1449</v>
      </c>
      <c r="D1062" s="698" t="s">
        <v>9</v>
      </c>
      <c r="E1062" s="8">
        <v>32665</v>
      </c>
      <c r="F1062" s="4">
        <v>1</v>
      </c>
      <c r="G1062" s="1">
        <f t="shared" si="63"/>
        <v>32665</v>
      </c>
      <c r="H1062" s="1"/>
      <c r="I1062" s="1"/>
      <c r="J1062" s="1"/>
      <c r="K1062" s="1"/>
      <c r="L1062" s="1"/>
      <c r="M1062" s="1"/>
      <c r="N1062" s="1"/>
      <c r="O1062" s="1"/>
    </row>
    <row r="1063" spans="1:15" ht="33">
      <c r="A1063" s="1">
        <v>102</v>
      </c>
      <c r="B1063" s="1"/>
      <c r="C1063" s="697" t="s">
        <v>1450</v>
      </c>
      <c r="D1063" s="698" t="s">
        <v>9</v>
      </c>
      <c r="E1063" s="8">
        <v>33256</v>
      </c>
      <c r="F1063" s="4">
        <v>1</v>
      </c>
      <c r="G1063" s="1">
        <f t="shared" si="63"/>
        <v>33256</v>
      </c>
      <c r="H1063" s="1"/>
      <c r="I1063" s="1"/>
      <c r="J1063" s="1"/>
      <c r="K1063" s="1"/>
      <c r="L1063" s="1"/>
      <c r="M1063" s="1"/>
      <c r="N1063" s="1"/>
      <c r="O1063" s="1"/>
    </row>
    <row r="1064" spans="1:15" ht="33">
      <c r="A1064" s="1">
        <v>103</v>
      </c>
      <c r="B1064" s="1"/>
      <c r="C1064" s="697" t="s">
        <v>1451</v>
      </c>
      <c r="D1064" s="698" t="s">
        <v>9</v>
      </c>
      <c r="E1064" s="8">
        <v>22987</v>
      </c>
      <c r="F1064" s="4">
        <v>1</v>
      </c>
      <c r="G1064" s="1">
        <f t="shared" si="63"/>
        <v>22987</v>
      </c>
      <c r="H1064" s="1"/>
      <c r="I1064" s="1"/>
      <c r="J1064" s="1"/>
      <c r="K1064" s="1"/>
      <c r="L1064" s="1"/>
      <c r="M1064" s="1"/>
      <c r="N1064" s="1"/>
      <c r="O1064" s="1"/>
    </row>
    <row r="1065" spans="1:15" ht="33">
      <c r="A1065" s="1">
        <v>104</v>
      </c>
      <c r="B1065" s="1"/>
      <c r="C1065" s="697" t="s">
        <v>1452</v>
      </c>
      <c r="D1065" s="698" t="s">
        <v>9</v>
      </c>
      <c r="E1065" s="8">
        <v>26556</v>
      </c>
      <c r="F1065" s="4">
        <v>1</v>
      </c>
      <c r="G1065" s="1">
        <f t="shared" si="63"/>
        <v>26556</v>
      </c>
      <c r="H1065" s="1"/>
      <c r="I1065" s="1"/>
      <c r="J1065" s="1"/>
      <c r="K1065" s="1"/>
      <c r="L1065" s="1"/>
      <c r="M1065" s="1"/>
      <c r="N1065" s="1"/>
      <c r="O1065" s="1"/>
    </row>
    <row r="1066" spans="1:15" ht="33">
      <c r="A1066" s="1">
        <v>105</v>
      </c>
      <c r="B1066" s="1"/>
      <c r="C1066" s="697" t="s">
        <v>1453</v>
      </c>
      <c r="D1066" s="698" t="s">
        <v>9</v>
      </c>
      <c r="E1066" s="8">
        <v>28996</v>
      </c>
      <c r="F1066" s="4">
        <v>1</v>
      </c>
      <c r="G1066" s="1">
        <f t="shared" si="63"/>
        <v>28996</v>
      </c>
      <c r="H1066" s="1"/>
      <c r="I1066" s="1"/>
      <c r="J1066" s="1"/>
      <c r="K1066" s="1"/>
      <c r="L1066" s="1"/>
      <c r="M1066" s="1"/>
      <c r="N1066" s="1"/>
      <c r="O1066" s="1"/>
    </row>
    <row r="1067" spans="1:15" ht="33">
      <c r="A1067" s="1">
        <v>106</v>
      </c>
      <c r="B1067" s="1"/>
      <c r="C1067" s="697" t="s">
        <v>1454</v>
      </c>
      <c r="D1067" s="698" t="s">
        <v>9</v>
      </c>
      <c r="E1067" s="8">
        <v>1137</v>
      </c>
      <c r="F1067" s="4">
        <v>2</v>
      </c>
      <c r="G1067" s="1">
        <f t="shared" si="63"/>
        <v>2274</v>
      </c>
      <c r="H1067" s="1"/>
      <c r="I1067" s="1"/>
      <c r="J1067" s="1"/>
      <c r="K1067" s="1"/>
      <c r="L1067" s="1"/>
      <c r="M1067" s="1"/>
      <c r="N1067" s="1"/>
      <c r="O1067" s="1"/>
    </row>
    <row r="1068" spans="1:15" ht="33">
      <c r="A1068" s="1">
        <v>107</v>
      </c>
      <c r="B1068" s="1"/>
      <c r="C1068" s="697" t="s">
        <v>1455</v>
      </c>
      <c r="D1068" s="698" t="s">
        <v>845</v>
      </c>
      <c r="E1068" s="8">
        <v>9237</v>
      </c>
      <c r="F1068" s="4">
        <v>1</v>
      </c>
      <c r="G1068" s="1">
        <f t="shared" si="63"/>
        <v>9237</v>
      </c>
      <c r="H1068" s="1"/>
      <c r="I1068" s="1"/>
      <c r="J1068" s="1"/>
      <c r="K1068" s="1"/>
      <c r="L1068" s="1"/>
      <c r="M1068" s="1"/>
      <c r="N1068" s="1"/>
      <c r="O1068" s="1"/>
    </row>
    <row r="1069" spans="1:15" ht="33">
      <c r="A1069" s="1">
        <v>108</v>
      </c>
      <c r="B1069" s="1"/>
      <c r="C1069" s="697" t="s">
        <v>1456</v>
      </c>
      <c r="D1069" s="702" t="s">
        <v>9</v>
      </c>
      <c r="E1069" s="8">
        <v>6589</v>
      </c>
      <c r="F1069" s="4">
        <v>1</v>
      </c>
      <c r="G1069" s="1">
        <f t="shared" si="63"/>
        <v>6589</v>
      </c>
      <c r="H1069" s="1"/>
      <c r="I1069" s="1"/>
      <c r="J1069" s="1"/>
      <c r="K1069" s="1"/>
      <c r="L1069" s="1"/>
      <c r="M1069" s="1"/>
      <c r="N1069" s="1"/>
      <c r="O1069" s="1"/>
    </row>
    <row r="1070" spans="1:15" ht="33">
      <c r="A1070" s="1">
        <v>109</v>
      </c>
      <c r="B1070" s="1"/>
      <c r="C1070" s="697" t="s">
        <v>1457</v>
      </c>
      <c r="D1070" s="702" t="s">
        <v>9</v>
      </c>
      <c r="E1070" s="8">
        <v>430</v>
      </c>
      <c r="F1070" s="4">
        <v>1</v>
      </c>
      <c r="G1070" s="1">
        <f t="shared" si="63"/>
        <v>430</v>
      </c>
      <c r="H1070" s="1"/>
      <c r="I1070" s="1"/>
      <c r="J1070" s="1"/>
      <c r="K1070" s="1"/>
      <c r="L1070" s="1"/>
      <c r="M1070" s="1"/>
      <c r="N1070" s="1"/>
      <c r="O1070" s="1"/>
    </row>
    <row r="1071" spans="1:15" ht="33">
      <c r="A1071" s="1">
        <v>110</v>
      </c>
      <c r="B1071" s="1"/>
      <c r="C1071" s="697" t="s">
        <v>1458</v>
      </c>
      <c r="D1071" s="698" t="s">
        <v>845</v>
      </c>
      <c r="E1071" s="8">
        <v>3565</v>
      </c>
      <c r="F1071" s="4">
        <v>1</v>
      </c>
      <c r="G1071" s="1">
        <f t="shared" si="63"/>
        <v>3565</v>
      </c>
      <c r="H1071" s="1"/>
      <c r="I1071" s="1"/>
      <c r="J1071" s="1"/>
      <c r="K1071" s="1"/>
      <c r="L1071" s="1"/>
      <c r="M1071" s="1"/>
      <c r="N1071" s="1"/>
      <c r="O1071" s="1"/>
    </row>
    <row r="1072" spans="1:15" ht="33">
      <c r="A1072" s="1">
        <v>111</v>
      </c>
      <c r="B1072" s="1"/>
      <c r="C1072" s="697" t="s">
        <v>1459</v>
      </c>
      <c r="D1072" s="698" t="s">
        <v>845</v>
      </c>
      <c r="E1072" s="8">
        <v>2546</v>
      </c>
      <c r="F1072" s="4">
        <v>1</v>
      </c>
      <c r="G1072" s="1">
        <f t="shared" si="63"/>
        <v>2546</v>
      </c>
      <c r="H1072" s="1"/>
      <c r="I1072" s="1"/>
      <c r="J1072" s="1"/>
      <c r="K1072" s="1"/>
      <c r="L1072" s="1"/>
      <c r="M1072" s="1"/>
      <c r="N1072" s="1"/>
      <c r="O1072" s="1"/>
    </row>
    <row r="1073" spans="1:15" ht="33">
      <c r="A1073" s="1">
        <v>112</v>
      </c>
      <c r="B1073" s="1"/>
      <c r="C1073" s="697" t="s">
        <v>1460</v>
      </c>
      <c r="D1073" s="698" t="s">
        <v>845</v>
      </c>
      <c r="E1073" s="8">
        <v>2223</v>
      </c>
      <c r="F1073" s="4">
        <v>1</v>
      </c>
      <c r="G1073" s="1">
        <f t="shared" si="63"/>
        <v>2223</v>
      </c>
      <c r="H1073" s="1"/>
      <c r="I1073" s="1"/>
      <c r="J1073" s="1"/>
      <c r="K1073" s="1"/>
      <c r="L1073" s="1"/>
      <c r="M1073" s="1"/>
      <c r="N1073" s="1"/>
      <c r="O1073" s="1"/>
    </row>
    <row r="1074" spans="1:15" ht="33">
      <c r="A1074" s="1">
        <v>113</v>
      </c>
      <c r="B1074" s="1"/>
      <c r="C1074" s="697" t="s">
        <v>1461</v>
      </c>
      <c r="D1074" s="698" t="s">
        <v>845</v>
      </c>
      <c r="E1074" s="8">
        <v>6695</v>
      </c>
      <c r="F1074" s="4">
        <v>1</v>
      </c>
      <c r="G1074" s="1">
        <f t="shared" si="63"/>
        <v>6695</v>
      </c>
      <c r="H1074" s="1"/>
      <c r="I1074" s="1"/>
      <c r="J1074" s="1"/>
      <c r="K1074" s="1"/>
      <c r="L1074" s="1"/>
      <c r="M1074" s="1"/>
      <c r="N1074" s="1"/>
      <c r="O1074" s="1"/>
    </row>
    <row r="1075" spans="1:15" ht="33">
      <c r="A1075" s="1">
        <v>114</v>
      </c>
      <c r="B1075" s="1"/>
      <c r="C1075" s="697" t="s">
        <v>1462</v>
      </c>
      <c r="D1075" s="698" t="s">
        <v>845</v>
      </c>
      <c r="E1075" s="8">
        <v>3365</v>
      </c>
      <c r="F1075" s="4">
        <v>1</v>
      </c>
      <c r="G1075" s="1">
        <f t="shared" si="63"/>
        <v>3365</v>
      </c>
      <c r="H1075" s="1"/>
      <c r="I1075" s="1"/>
      <c r="J1075" s="1"/>
      <c r="K1075" s="1"/>
      <c r="L1075" s="1"/>
      <c r="M1075" s="1"/>
      <c r="N1075" s="1"/>
      <c r="O1075" s="1"/>
    </row>
    <row r="1076" spans="1:15" ht="33">
      <c r="A1076" s="1">
        <v>115</v>
      </c>
      <c r="B1076" s="1"/>
      <c r="C1076" s="697" t="s">
        <v>1463</v>
      </c>
      <c r="D1076" s="698" t="s">
        <v>845</v>
      </c>
      <c r="E1076" s="8">
        <v>342</v>
      </c>
      <c r="F1076" s="4">
        <v>2</v>
      </c>
      <c r="G1076" s="1">
        <f t="shared" si="63"/>
        <v>684</v>
      </c>
      <c r="H1076" s="1"/>
      <c r="I1076" s="1"/>
      <c r="J1076" s="1"/>
      <c r="K1076" s="1"/>
      <c r="L1076" s="1"/>
      <c r="M1076" s="1"/>
      <c r="N1076" s="1"/>
      <c r="O1076" s="1"/>
    </row>
    <row r="1077" spans="1:15" ht="33">
      <c r="A1077" s="1">
        <v>116</v>
      </c>
      <c r="B1077" s="1"/>
      <c r="C1077" s="697" t="s">
        <v>1464</v>
      </c>
      <c r="D1077" s="698" t="s">
        <v>9</v>
      </c>
      <c r="E1077" s="8">
        <v>3524</v>
      </c>
      <c r="F1077" s="4">
        <v>2</v>
      </c>
      <c r="G1077" s="1">
        <f t="shared" si="63"/>
        <v>7048</v>
      </c>
      <c r="H1077" s="1"/>
      <c r="I1077" s="1"/>
      <c r="J1077" s="1"/>
      <c r="K1077" s="1"/>
      <c r="L1077" s="1"/>
      <c r="M1077" s="1"/>
      <c r="N1077" s="1"/>
      <c r="O1077" s="1"/>
    </row>
    <row r="1078" spans="1:15">
      <c r="A1078" s="1">
        <v>117</v>
      </c>
      <c r="B1078" s="1"/>
      <c r="C1078" s="697" t="s">
        <v>1465</v>
      </c>
      <c r="D1078" s="698" t="s">
        <v>2</v>
      </c>
      <c r="E1078" s="8">
        <v>12454</v>
      </c>
      <c r="F1078" s="4">
        <v>1</v>
      </c>
      <c r="G1078" s="1">
        <f t="shared" si="63"/>
        <v>12454</v>
      </c>
      <c r="H1078" s="1"/>
      <c r="I1078" s="1"/>
      <c r="J1078" s="1"/>
      <c r="K1078" s="1"/>
      <c r="L1078" s="1"/>
      <c r="M1078" s="1"/>
      <c r="N1078" s="1"/>
      <c r="O1078" s="1"/>
    </row>
    <row r="1079" spans="1:15" ht="33">
      <c r="A1079" s="1">
        <v>118</v>
      </c>
      <c r="B1079" s="1"/>
      <c r="C1079" s="697" t="s">
        <v>1466</v>
      </c>
      <c r="D1079" s="698" t="s">
        <v>2</v>
      </c>
      <c r="E1079" s="8">
        <v>5512</v>
      </c>
      <c r="F1079" s="4">
        <v>2</v>
      </c>
      <c r="G1079" s="1">
        <f t="shared" si="63"/>
        <v>11024</v>
      </c>
      <c r="H1079" s="1"/>
      <c r="I1079" s="1"/>
      <c r="J1079" s="1"/>
      <c r="K1079" s="1"/>
      <c r="L1079" s="1"/>
      <c r="M1079" s="1"/>
      <c r="N1079" s="1"/>
      <c r="O1079" s="1"/>
    </row>
    <row r="1080" spans="1:15">
      <c r="A1080" s="1">
        <v>119</v>
      </c>
      <c r="B1080" s="1"/>
      <c r="C1080" s="697" t="s">
        <v>1467</v>
      </c>
      <c r="D1080" s="702" t="s">
        <v>9</v>
      </c>
      <c r="E1080" s="8">
        <v>9888</v>
      </c>
      <c r="F1080" s="4">
        <v>1</v>
      </c>
      <c r="G1080" s="1">
        <f t="shared" si="63"/>
        <v>9888</v>
      </c>
      <c r="H1080" s="1"/>
      <c r="I1080" s="1"/>
      <c r="J1080" s="1"/>
      <c r="K1080" s="1"/>
      <c r="L1080" s="1"/>
      <c r="M1080" s="1"/>
      <c r="N1080" s="1"/>
      <c r="O1080" s="1"/>
    </row>
    <row r="1081" spans="1:15">
      <c r="A1081" s="1">
        <v>120</v>
      </c>
      <c r="B1081" s="1"/>
      <c r="C1081" s="697" t="s">
        <v>1468</v>
      </c>
      <c r="D1081" s="698" t="s">
        <v>2</v>
      </c>
      <c r="E1081" s="8">
        <v>9888</v>
      </c>
      <c r="F1081" s="4">
        <v>1</v>
      </c>
      <c r="G1081" s="1">
        <f t="shared" si="63"/>
        <v>9888</v>
      </c>
      <c r="H1081" s="1"/>
      <c r="I1081" s="1"/>
      <c r="J1081" s="1"/>
      <c r="K1081" s="1"/>
      <c r="L1081" s="1"/>
      <c r="M1081" s="1"/>
      <c r="N1081" s="1"/>
      <c r="O1081" s="1"/>
    </row>
    <row r="1082" spans="1:15" ht="33">
      <c r="A1082" s="1">
        <v>121</v>
      </c>
      <c r="B1082" s="1"/>
      <c r="C1082" s="697" t="s">
        <v>1469</v>
      </c>
      <c r="D1082" s="698" t="s">
        <v>2</v>
      </c>
      <c r="E1082" s="8">
        <v>8856</v>
      </c>
      <c r="F1082" s="4">
        <v>1</v>
      </c>
      <c r="G1082" s="1">
        <f t="shared" si="63"/>
        <v>8856</v>
      </c>
      <c r="H1082" s="1"/>
      <c r="I1082" s="1"/>
      <c r="J1082" s="1"/>
      <c r="K1082" s="1"/>
      <c r="L1082" s="1"/>
      <c r="M1082" s="1"/>
      <c r="N1082" s="1"/>
      <c r="O1082" s="1"/>
    </row>
    <row r="1083" spans="1:15" ht="33">
      <c r="A1083" s="1">
        <v>122</v>
      </c>
      <c r="B1083" s="1"/>
      <c r="C1083" s="697" t="s">
        <v>1470</v>
      </c>
      <c r="D1083" s="698" t="s">
        <v>2</v>
      </c>
      <c r="E1083" s="8">
        <v>7588</v>
      </c>
      <c r="F1083" s="4">
        <v>1</v>
      </c>
      <c r="G1083" s="1">
        <f t="shared" si="63"/>
        <v>7588</v>
      </c>
      <c r="H1083" s="1"/>
      <c r="I1083" s="1"/>
      <c r="J1083" s="1"/>
      <c r="K1083" s="1"/>
      <c r="L1083" s="1"/>
      <c r="M1083" s="1"/>
      <c r="N1083" s="1"/>
      <c r="O1083" s="1"/>
    </row>
    <row r="1084" spans="1:15">
      <c r="A1084" s="1">
        <v>123</v>
      </c>
      <c r="B1084" s="1"/>
      <c r="C1084" s="697" t="s">
        <v>1471</v>
      </c>
      <c r="D1084" s="702" t="s">
        <v>9</v>
      </c>
      <c r="E1084" s="8">
        <v>7588</v>
      </c>
      <c r="F1084" s="4">
        <v>1</v>
      </c>
      <c r="G1084" s="1">
        <f t="shared" si="63"/>
        <v>7588</v>
      </c>
      <c r="H1084" s="1"/>
      <c r="I1084" s="1"/>
      <c r="J1084" s="1"/>
      <c r="K1084" s="1"/>
      <c r="L1084" s="1"/>
      <c r="M1084" s="1"/>
      <c r="N1084" s="1"/>
      <c r="O1084" s="1"/>
    </row>
    <row r="1085" spans="1:15" ht="33">
      <c r="A1085" s="1">
        <v>124</v>
      </c>
      <c r="B1085" s="1"/>
      <c r="C1085" s="697" t="s">
        <v>1472</v>
      </c>
      <c r="D1085" s="698" t="s">
        <v>2</v>
      </c>
      <c r="E1085" s="8">
        <v>7588</v>
      </c>
      <c r="F1085" s="4">
        <v>1</v>
      </c>
      <c r="G1085" s="1">
        <f t="shared" si="63"/>
        <v>7588</v>
      </c>
      <c r="H1085" s="1"/>
      <c r="I1085" s="1"/>
      <c r="J1085" s="1"/>
      <c r="K1085" s="1"/>
      <c r="L1085" s="1"/>
      <c r="M1085" s="1"/>
      <c r="N1085" s="1"/>
      <c r="O1085" s="1"/>
    </row>
    <row r="1086" spans="1:15" ht="33">
      <c r="A1086" s="1">
        <v>125</v>
      </c>
      <c r="B1086" s="1"/>
      <c r="C1086" s="697" t="s">
        <v>1473</v>
      </c>
      <c r="D1086" s="698" t="s">
        <v>9</v>
      </c>
      <c r="E1086" s="8">
        <v>5512</v>
      </c>
      <c r="F1086" s="4">
        <v>4</v>
      </c>
      <c r="G1086" s="1">
        <f t="shared" si="63"/>
        <v>22048</v>
      </c>
      <c r="H1086" s="1"/>
      <c r="I1086" s="1"/>
      <c r="J1086" s="1"/>
      <c r="K1086" s="1"/>
      <c r="L1086" s="1"/>
      <c r="M1086" s="1"/>
      <c r="N1086" s="1"/>
      <c r="O1086" s="1"/>
    </row>
    <row r="1087" spans="1:15" ht="33">
      <c r="A1087" s="1">
        <v>126</v>
      </c>
      <c r="B1087" s="1"/>
      <c r="C1087" s="697" t="s">
        <v>1474</v>
      </c>
      <c r="D1087" s="698" t="s">
        <v>9</v>
      </c>
      <c r="E1087" s="8">
        <v>12556</v>
      </c>
      <c r="F1087" s="4">
        <v>1</v>
      </c>
      <c r="G1087" s="1">
        <f t="shared" si="63"/>
        <v>12556</v>
      </c>
      <c r="H1087" s="1"/>
      <c r="I1087" s="1"/>
      <c r="J1087" s="1"/>
      <c r="K1087" s="1"/>
      <c r="L1087" s="1"/>
      <c r="M1087" s="1"/>
      <c r="N1087" s="1"/>
      <c r="O1087" s="1"/>
    </row>
    <row r="1088" spans="1:15" ht="33">
      <c r="A1088" s="1">
        <v>127</v>
      </c>
      <c r="B1088" s="1"/>
      <c r="C1088" s="697" t="s">
        <v>1475</v>
      </c>
      <c r="D1088" s="698" t="s">
        <v>9</v>
      </c>
      <c r="E1088" s="8">
        <v>12556</v>
      </c>
      <c r="F1088" s="4">
        <v>1</v>
      </c>
      <c r="G1088" s="1">
        <f t="shared" si="63"/>
        <v>12556</v>
      </c>
      <c r="H1088" s="1"/>
      <c r="I1088" s="1"/>
      <c r="J1088" s="1"/>
      <c r="K1088" s="1"/>
      <c r="L1088" s="1"/>
      <c r="M1088" s="1"/>
      <c r="N1088" s="1"/>
      <c r="O1088" s="1"/>
    </row>
    <row r="1089" spans="1:15" ht="33">
      <c r="A1089" s="1">
        <v>128</v>
      </c>
      <c r="B1089" s="1"/>
      <c r="C1089" s="697" t="s">
        <v>1476</v>
      </c>
      <c r="D1089" s="698" t="s">
        <v>10</v>
      </c>
      <c r="E1089" s="8">
        <v>345672</v>
      </c>
      <c r="F1089" s="4">
        <v>1</v>
      </c>
      <c r="G1089" s="1">
        <f t="shared" si="63"/>
        <v>345672</v>
      </c>
      <c r="H1089" s="1"/>
      <c r="I1089" s="1"/>
      <c r="J1089" s="1"/>
      <c r="K1089" s="1"/>
      <c r="L1089" s="1"/>
      <c r="M1089" s="1"/>
      <c r="N1089" s="1"/>
      <c r="O1089" s="1"/>
    </row>
    <row r="1090" spans="1:15" ht="33">
      <c r="A1090" s="1">
        <v>129</v>
      </c>
      <c r="B1090" s="1"/>
      <c r="C1090" s="697" t="s">
        <v>1477</v>
      </c>
      <c r="D1090" s="698" t="s">
        <v>9</v>
      </c>
      <c r="E1090" s="8">
        <v>3000</v>
      </c>
      <c r="F1090" s="4">
        <v>1</v>
      </c>
      <c r="G1090" s="1">
        <f t="shared" si="63"/>
        <v>3000</v>
      </c>
      <c r="H1090" s="1"/>
      <c r="I1090" s="1"/>
      <c r="J1090" s="1"/>
      <c r="K1090" s="1"/>
      <c r="L1090" s="1"/>
      <c r="M1090" s="1"/>
      <c r="N1090" s="1"/>
      <c r="O1090" s="1"/>
    </row>
    <row r="1091" spans="1:15">
      <c r="A1091" s="1">
        <v>130</v>
      </c>
      <c r="B1091" s="1"/>
      <c r="C1091" s="697" t="s">
        <v>1478</v>
      </c>
      <c r="D1091" s="698" t="s">
        <v>9</v>
      </c>
      <c r="E1091" s="8">
        <v>900</v>
      </c>
      <c r="F1091" s="4">
        <v>1</v>
      </c>
      <c r="G1091" s="1">
        <f t="shared" ref="G1091:G1154" si="64">E1091*F1091</f>
        <v>900</v>
      </c>
      <c r="H1091" s="1"/>
      <c r="I1091" s="1"/>
      <c r="J1091" s="1"/>
      <c r="K1091" s="1"/>
      <c r="L1091" s="1"/>
      <c r="M1091" s="1"/>
      <c r="N1091" s="1"/>
      <c r="O1091" s="1"/>
    </row>
    <row r="1092" spans="1:15" ht="33">
      <c r="A1092" s="1">
        <v>131</v>
      </c>
      <c r="B1092" s="1"/>
      <c r="C1092" s="697" t="s">
        <v>1479</v>
      </c>
      <c r="D1092" s="698" t="s">
        <v>10</v>
      </c>
      <c r="E1092" s="8">
        <v>2400</v>
      </c>
      <c r="F1092" s="4">
        <v>1</v>
      </c>
      <c r="G1092" s="1">
        <f t="shared" si="64"/>
        <v>2400</v>
      </c>
      <c r="H1092" s="1"/>
      <c r="I1092" s="1"/>
      <c r="J1092" s="1"/>
      <c r="K1092" s="1"/>
      <c r="L1092" s="1"/>
      <c r="M1092" s="1"/>
      <c r="N1092" s="1"/>
      <c r="O1092" s="1"/>
    </row>
    <row r="1093" spans="1:15" ht="49.5">
      <c r="A1093" s="1">
        <v>132</v>
      </c>
      <c r="B1093" s="1"/>
      <c r="C1093" s="697" t="s">
        <v>1480</v>
      </c>
      <c r="D1093" s="698" t="s">
        <v>751</v>
      </c>
      <c r="E1093" s="8">
        <v>5674</v>
      </c>
      <c r="F1093" s="4">
        <v>2</v>
      </c>
      <c r="G1093" s="1">
        <f t="shared" si="64"/>
        <v>11348</v>
      </c>
      <c r="H1093" s="1"/>
      <c r="I1093" s="1"/>
      <c r="J1093" s="1"/>
      <c r="K1093" s="1"/>
      <c r="L1093" s="1"/>
      <c r="M1093" s="1"/>
      <c r="N1093" s="1"/>
      <c r="O1093" s="1"/>
    </row>
    <row r="1094" spans="1:15" ht="33">
      <c r="A1094" s="1">
        <v>133</v>
      </c>
      <c r="B1094" s="1"/>
      <c r="C1094" s="697" t="s">
        <v>1481</v>
      </c>
      <c r="D1094" s="698" t="s">
        <v>751</v>
      </c>
      <c r="E1094" s="8">
        <v>1356</v>
      </c>
      <c r="F1094" s="4">
        <v>2</v>
      </c>
      <c r="G1094" s="1">
        <f t="shared" si="64"/>
        <v>2712</v>
      </c>
      <c r="H1094" s="1"/>
      <c r="I1094" s="1"/>
      <c r="J1094" s="1"/>
      <c r="K1094" s="1"/>
      <c r="L1094" s="1"/>
      <c r="M1094" s="1"/>
      <c r="N1094" s="1"/>
      <c r="O1094" s="1"/>
    </row>
    <row r="1095" spans="1:15" ht="33">
      <c r="A1095" s="1">
        <v>134</v>
      </c>
      <c r="B1095" s="1"/>
      <c r="C1095" s="697" t="s">
        <v>1482</v>
      </c>
      <c r="D1095" s="698" t="s">
        <v>751</v>
      </c>
      <c r="E1095" s="8">
        <v>1234</v>
      </c>
      <c r="F1095" s="4">
        <v>1</v>
      </c>
      <c r="G1095" s="1">
        <f t="shared" si="64"/>
        <v>1234</v>
      </c>
      <c r="H1095" s="1"/>
      <c r="I1095" s="1"/>
      <c r="J1095" s="1"/>
      <c r="K1095" s="1"/>
      <c r="L1095" s="1"/>
      <c r="M1095" s="1"/>
      <c r="N1095" s="1"/>
      <c r="O1095" s="1"/>
    </row>
    <row r="1096" spans="1:15" ht="49.5">
      <c r="A1096" s="1">
        <v>135</v>
      </c>
      <c r="B1096" s="1"/>
      <c r="C1096" s="697" t="s">
        <v>1483</v>
      </c>
      <c r="D1096" s="698" t="s">
        <v>751</v>
      </c>
      <c r="E1096" s="8">
        <v>52187</v>
      </c>
      <c r="F1096" s="4">
        <v>1</v>
      </c>
      <c r="G1096" s="1">
        <f t="shared" si="64"/>
        <v>52187</v>
      </c>
      <c r="H1096" s="1"/>
      <c r="I1096" s="1"/>
      <c r="J1096" s="1"/>
      <c r="K1096" s="1"/>
      <c r="L1096" s="1"/>
      <c r="M1096" s="1"/>
      <c r="N1096" s="1"/>
      <c r="O1096" s="1"/>
    </row>
    <row r="1097" spans="1:15">
      <c r="A1097" s="1">
        <v>136</v>
      </c>
      <c r="B1097" s="1"/>
      <c r="C1097" s="703" t="s">
        <v>1484</v>
      </c>
      <c r="D1097" s="704"/>
      <c r="E1097" s="8">
        <v>3391.4</v>
      </c>
      <c r="F1097" s="705">
        <v>2</v>
      </c>
      <c r="G1097" s="1">
        <f t="shared" si="64"/>
        <v>6782.8</v>
      </c>
      <c r="H1097" s="1"/>
      <c r="I1097" s="1"/>
      <c r="J1097" s="1"/>
      <c r="K1097" s="1"/>
      <c r="L1097" s="1"/>
      <c r="M1097" s="1"/>
      <c r="N1097" s="1"/>
      <c r="O1097" s="1"/>
    </row>
    <row r="1098" spans="1:15">
      <c r="A1098" s="1">
        <v>137</v>
      </c>
      <c r="B1098" s="1"/>
      <c r="C1098" s="703" t="s">
        <v>1485</v>
      </c>
      <c r="D1098" s="704" t="s">
        <v>845</v>
      </c>
      <c r="E1098" s="8">
        <v>32000</v>
      </c>
      <c r="F1098" s="705">
        <v>1</v>
      </c>
      <c r="G1098" s="1">
        <f t="shared" si="64"/>
        <v>32000</v>
      </c>
      <c r="H1098" s="1"/>
      <c r="I1098" s="1"/>
      <c r="J1098" s="1"/>
      <c r="K1098" s="1"/>
      <c r="L1098" s="1"/>
      <c r="M1098" s="1"/>
      <c r="N1098" s="1"/>
      <c r="O1098" s="1"/>
    </row>
    <row r="1099" spans="1:15" ht="33">
      <c r="A1099" s="1">
        <v>138</v>
      </c>
      <c r="B1099" s="1"/>
      <c r="C1099" s="703" t="s">
        <v>1486</v>
      </c>
      <c r="D1099" s="704" t="s">
        <v>845</v>
      </c>
      <c r="E1099" s="8">
        <v>19554</v>
      </c>
      <c r="F1099" s="705">
        <v>1</v>
      </c>
      <c r="G1099" s="1">
        <f t="shared" si="64"/>
        <v>19554</v>
      </c>
      <c r="H1099" s="1"/>
      <c r="I1099" s="1"/>
      <c r="J1099" s="1"/>
      <c r="K1099" s="1"/>
      <c r="L1099" s="1"/>
      <c r="M1099" s="1"/>
      <c r="N1099" s="1"/>
      <c r="O1099" s="1"/>
    </row>
    <row r="1100" spans="1:15" ht="33">
      <c r="A1100" s="1">
        <v>139</v>
      </c>
      <c r="B1100" s="1"/>
      <c r="C1100" s="703" t="s">
        <v>1487</v>
      </c>
      <c r="D1100" s="704" t="s">
        <v>845</v>
      </c>
      <c r="E1100" s="8">
        <v>15447</v>
      </c>
      <c r="F1100" s="705">
        <v>1</v>
      </c>
      <c r="G1100" s="1">
        <f t="shared" si="64"/>
        <v>15447</v>
      </c>
      <c r="H1100" s="1"/>
      <c r="I1100" s="1"/>
      <c r="J1100" s="1"/>
      <c r="K1100" s="1"/>
      <c r="L1100" s="1"/>
      <c r="M1100" s="1"/>
      <c r="N1100" s="1"/>
      <c r="O1100" s="1"/>
    </row>
    <row r="1101" spans="1:15" ht="33">
      <c r="A1101" s="1">
        <v>140</v>
      </c>
      <c r="B1101" s="1"/>
      <c r="C1101" s="703" t="s">
        <v>1488</v>
      </c>
      <c r="D1101" s="704" t="s">
        <v>845</v>
      </c>
      <c r="E1101" s="8">
        <v>13345</v>
      </c>
      <c r="F1101" s="705">
        <v>1</v>
      </c>
      <c r="G1101" s="1">
        <f t="shared" si="64"/>
        <v>13345</v>
      </c>
      <c r="H1101" s="1"/>
      <c r="I1101" s="1"/>
      <c r="J1101" s="1"/>
      <c r="K1101" s="1"/>
      <c r="L1101" s="1"/>
      <c r="M1101" s="1"/>
      <c r="N1101" s="1"/>
      <c r="O1101" s="1"/>
    </row>
    <row r="1102" spans="1:15" ht="33">
      <c r="A1102" s="1">
        <v>141</v>
      </c>
      <c r="B1102" s="1"/>
      <c r="C1102" s="703" t="s">
        <v>1489</v>
      </c>
      <c r="D1102" s="704" t="s">
        <v>845</v>
      </c>
      <c r="E1102" s="8">
        <v>15248</v>
      </c>
      <c r="F1102" s="705">
        <v>1</v>
      </c>
      <c r="G1102" s="1">
        <f t="shared" si="64"/>
        <v>15248</v>
      </c>
      <c r="H1102" s="1"/>
      <c r="I1102" s="1"/>
      <c r="J1102" s="1"/>
      <c r="K1102" s="1"/>
      <c r="L1102" s="1"/>
      <c r="M1102" s="1"/>
      <c r="N1102" s="1"/>
      <c r="O1102" s="1"/>
    </row>
    <row r="1103" spans="1:15" ht="33">
      <c r="A1103" s="1">
        <v>142</v>
      </c>
      <c r="B1103" s="1"/>
      <c r="C1103" s="703" t="s">
        <v>1490</v>
      </c>
      <c r="D1103" s="704" t="s">
        <v>845</v>
      </c>
      <c r="E1103" s="8">
        <v>13224</v>
      </c>
      <c r="F1103" s="705">
        <v>1</v>
      </c>
      <c r="G1103" s="1">
        <f t="shared" si="64"/>
        <v>13224</v>
      </c>
      <c r="H1103" s="1"/>
      <c r="I1103" s="1"/>
      <c r="J1103" s="1"/>
      <c r="K1103" s="1"/>
      <c r="L1103" s="1"/>
      <c r="M1103" s="1"/>
      <c r="N1103" s="1"/>
      <c r="O1103" s="1"/>
    </row>
    <row r="1104" spans="1:15" ht="49.5">
      <c r="A1104" s="1">
        <v>143</v>
      </c>
      <c r="B1104" s="1"/>
      <c r="C1104" s="703" t="s">
        <v>1491</v>
      </c>
      <c r="D1104" s="704" t="s">
        <v>845</v>
      </c>
      <c r="E1104" s="8">
        <v>10092</v>
      </c>
      <c r="F1104" s="705">
        <v>2</v>
      </c>
      <c r="G1104" s="1">
        <f t="shared" si="64"/>
        <v>20184</v>
      </c>
      <c r="H1104" s="1"/>
      <c r="I1104" s="1"/>
      <c r="J1104" s="1"/>
      <c r="K1104" s="1"/>
      <c r="L1104" s="1"/>
      <c r="M1104" s="1"/>
      <c r="N1104" s="1"/>
      <c r="O1104" s="1"/>
    </row>
    <row r="1105" spans="1:15">
      <c r="A1105" s="1">
        <v>144</v>
      </c>
      <c r="B1105" s="1"/>
      <c r="C1105" s="706" t="s">
        <v>1492</v>
      </c>
      <c r="D1105" s="707" t="s">
        <v>9</v>
      </c>
      <c r="E1105" s="8">
        <v>2826.15</v>
      </c>
      <c r="F1105" s="705">
        <v>2</v>
      </c>
      <c r="G1105" s="1">
        <f t="shared" si="64"/>
        <v>5652.3</v>
      </c>
      <c r="H1105" s="1"/>
      <c r="I1105" s="1"/>
      <c r="J1105" s="1"/>
      <c r="K1105" s="1"/>
      <c r="L1105" s="1"/>
      <c r="M1105" s="1"/>
      <c r="N1105" s="1"/>
      <c r="O1105" s="1"/>
    </row>
    <row r="1106" spans="1:15">
      <c r="A1106" s="1">
        <v>145</v>
      </c>
      <c r="B1106" s="1"/>
      <c r="C1106" s="706" t="s">
        <v>1493</v>
      </c>
      <c r="D1106" s="707" t="s">
        <v>9</v>
      </c>
      <c r="E1106" s="8">
        <v>1170</v>
      </c>
      <c r="F1106" s="705">
        <v>2</v>
      </c>
      <c r="G1106" s="1">
        <f t="shared" si="64"/>
        <v>2340</v>
      </c>
      <c r="H1106" s="1"/>
      <c r="I1106" s="1"/>
      <c r="J1106" s="1"/>
      <c r="K1106" s="1"/>
      <c r="L1106" s="1"/>
      <c r="M1106" s="1"/>
      <c r="N1106" s="1"/>
      <c r="O1106" s="1"/>
    </row>
    <row r="1107" spans="1:15">
      <c r="A1107" s="1">
        <v>146</v>
      </c>
      <c r="B1107" s="1"/>
      <c r="C1107" s="706" t="s">
        <v>1494</v>
      </c>
      <c r="D1107" s="707" t="s">
        <v>9</v>
      </c>
      <c r="E1107" s="8">
        <v>2712.65</v>
      </c>
      <c r="F1107" s="705">
        <v>2</v>
      </c>
      <c r="G1107" s="1">
        <f t="shared" si="64"/>
        <v>5425.3</v>
      </c>
      <c r="H1107" s="1"/>
      <c r="I1107" s="1"/>
      <c r="J1107" s="1"/>
      <c r="K1107" s="1"/>
      <c r="L1107" s="1"/>
      <c r="M1107" s="1"/>
      <c r="N1107" s="1"/>
      <c r="O1107" s="1"/>
    </row>
    <row r="1108" spans="1:15">
      <c r="A1108" s="1">
        <v>147</v>
      </c>
      <c r="B1108" s="1"/>
      <c r="C1108" s="706" t="s">
        <v>1495</v>
      </c>
      <c r="D1108" s="702" t="s">
        <v>1496</v>
      </c>
      <c r="E1108" s="8">
        <v>73.16</v>
      </c>
      <c r="F1108" s="705">
        <v>300</v>
      </c>
      <c r="G1108" s="695">
        <f t="shared" si="64"/>
        <v>21948</v>
      </c>
      <c r="H1108" s="695"/>
      <c r="I1108" s="1"/>
      <c r="J1108" s="1"/>
      <c r="K1108" s="1"/>
      <c r="L1108" s="1"/>
      <c r="M1108" s="1"/>
      <c r="N1108" s="1"/>
      <c r="O1108" s="1"/>
    </row>
    <row r="1109" spans="1:15" ht="33">
      <c r="A1109" s="1">
        <v>148</v>
      </c>
      <c r="B1109" s="1"/>
      <c r="C1109" s="706" t="s">
        <v>1497</v>
      </c>
      <c r="D1109" s="707" t="s">
        <v>845</v>
      </c>
      <c r="E1109" s="8">
        <v>171270</v>
      </c>
      <c r="F1109" s="705">
        <v>2</v>
      </c>
      <c r="G1109" s="1">
        <f t="shared" si="64"/>
        <v>342540</v>
      </c>
      <c r="H1109" s="695"/>
      <c r="I1109" s="1"/>
      <c r="J1109" s="1"/>
      <c r="K1109" s="1"/>
      <c r="L1109" s="1"/>
      <c r="M1109" s="1"/>
      <c r="N1109" s="1"/>
      <c r="O1109" s="1"/>
    </row>
    <row r="1110" spans="1:15" ht="33">
      <c r="A1110" s="1">
        <v>149</v>
      </c>
      <c r="B1110" s="1"/>
      <c r="C1110" s="706" t="s">
        <v>1498</v>
      </c>
      <c r="D1110" s="707" t="s">
        <v>845</v>
      </c>
      <c r="E1110" s="8">
        <v>209975</v>
      </c>
      <c r="F1110" s="705">
        <v>1</v>
      </c>
      <c r="G1110" s="1">
        <f t="shared" si="64"/>
        <v>209975</v>
      </c>
      <c r="H1110" s="695"/>
      <c r="I1110" s="1"/>
      <c r="J1110" s="1"/>
      <c r="K1110" s="1"/>
      <c r="L1110" s="1"/>
      <c r="M1110" s="1"/>
      <c r="N1110" s="1"/>
      <c r="O1110" s="1"/>
    </row>
    <row r="1111" spans="1:15" ht="33">
      <c r="A1111" s="1">
        <v>151</v>
      </c>
      <c r="B1111" s="1"/>
      <c r="C1111" s="703" t="s">
        <v>1499</v>
      </c>
      <c r="D1111" s="698" t="s">
        <v>9</v>
      </c>
      <c r="E1111" s="8">
        <v>56563</v>
      </c>
      <c r="F1111" s="705">
        <v>2</v>
      </c>
      <c r="G1111" s="1">
        <f t="shared" si="64"/>
        <v>113126</v>
      </c>
      <c r="H1111" s="1"/>
      <c r="I1111" s="1"/>
      <c r="J1111" s="1"/>
      <c r="K1111" s="1"/>
      <c r="L1111" s="1"/>
      <c r="M1111" s="1"/>
      <c r="N1111" s="1"/>
      <c r="O1111" s="1"/>
    </row>
    <row r="1112" spans="1:15">
      <c r="A1112" s="1">
        <v>152</v>
      </c>
      <c r="B1112" s="1"/>
      <c r="C1112" s="703" t="s">
        <v>1500</v>
      </c>
      <c r="D1112" s="704"/>
      <c r="E1112" s="8">
        <v>181000</v>
      </c>
      <c r="F1112" s="705">
        <v>1</v>
      </c>
      <c r="G1112" s="1">
        <f t="shared" si="64"/>
        <v>181000</v>
      </c>
      <c r="H1112" s="1"/>
      <c r="I1112" s="1"/>
      <c r="J1112" s="1"/>
      <c r="K1112" s="1"/>
      <c r="L1112" s="1"/>
      <c r="M1112" s="1"/>
      <c r="N1112" s="1"/>
      <c r="O1112" s="1"/>
    </row>
    <row r="1113" spans="1:15">
      <c r="A1113" s="1">
        <v>153</v>
      </c>
      <c r="B1113" s="1"/>
      <c r="C1113" s="703" t="s">
        <v>1501</v>
      </c>
      <c r="D1113" s="698" t="s">
        <v>9</v>
      </c>
      <c r="E1113" s="8">
        <v>181000</v>
      </c>
      <c r="F1113" s="705">
        <v>1</v>
      </c>
      <c r="G1113" s="1">
        <f t="shared" si="64"/>
        <v>181000</v>
      </c>
      <c r="H1113" s="1"/>
      <c r="I1113" s="1"/>
      <c r="J1113" s="1"/>
      <c r="K1113" s="1"/>
      <c r="L1113" s="1"/>
      <c r="M1113" s="1"/>
      <c r="N1113" s="1"/>
      <c r="O1113" s="1"/>
    </row>
    <row r="1114" spans="1:15" ht="33">
      <c r="A1114" s="1">
        <v>154</v>
      </c>
      <c r="B1114" s="1"/>
      <c r="C1114" s="703" t="s">
        <v>1502</v>
      </c>
      <c r="D1114" s="704" t="s">
        <v>845</v>
      </c>
      <c r="E1114" s="8">
        <v>25623</v>
      </c>
      <c r="F1114" s="705">
        <v>1</v>
      </c>
      <c r="G1114" s="1">
        <f t="shared" si="64"/>
        <v>25623</v>
      </c>
      <c r="H1114" s="1"/>
      <c r="I1114" s="1"/>
      <c r="J1114" s="1"/>
      <c r="K1114" s="1"/>
      <c r="L1114" s="1"/>
      <c r="M1114" s="1"/>
      <c r="N1114" s="1"/>
      <c r="O1114" s="1"/>
    </row>
    <row r="1115" spans="1:15" ht="33">
      <c r="A1115" s="1">
        <v>155</v>
      </c>
      <c r="B1115" s="1"/>
      <c r="C1115" s="703" t="s">
        <v>1503</v>
      </c>
      <c r="D1115" s="704" t="s">
        <v>845</v>
      </c>
      <c r="E1115" s="8">
        <v>15662</v>
      </c>
      <c r="F1115" s="705">
        <v>1</v>
      </c>
      <c r="G1115" s="1">
        <f t="shared" si="64"/>
        <v>15662</v>
      </c>
      <c r="H1115" s="1"/>
      <c r="I1115" s="1"/>
      <c r="J1115" s="1"/>
      <c r="K1115" s="1"/>
      <c r="L1115" s="1"/>
      <c r="M1115" s="1"/>
      <c r="N1115" s="1"/>
      <c r="O1115" s="1"/>
    </row>
    <row r="1116" spans="1:15" ht="33">
      <c r="A1116" s="1">
        <v>156</v>
      </c>
      <c r="B1116" s="1"/>
      <c r="C1116" s="703" t="s">
        <v>1504</v>
      </c>
      <c r="D1116" s="704" t="s">
        <v>845</v>
      </c>
      <c r="E1116" s="8">
        <v>13554</v>
      </c>
      <c r="F1116" s="705">
        <v>1</v>
      </c>
      <c r="G1116" s="1">
        <f t="shared" si="64"/>
        <v>13554</v>
      </c>
      <c r="H1116" s="1"/>
      <c r="I1116" s="1"/>
      <c r="J1116" s="1"/>
      <c r="K1116" s="1"/>
      <c r="L1116" s="1"/>
      <c r="M1116" s="1"/>
      <c r="N1116" s="1"/>
      <c r="O1116" s="1"/>
    </row>
    <row r="1117" spans="1:15">
      <c r="A1117" s="1">
        <v>157</v>
      </c>
      <c r="B1117" s="1"/>
      <c r="C1117" s="703" t="s">
        <v>1505</v>
      </c>
      <c r="D1117" s="704" t="s">
        <v>845</v>
      </c>
      <c r="E1117" s="8">
        <v>6574</v>
      </c>
      <c r="F1117" s="705">
        <v>1</v>
      </c>
      <c r="G1117" s="1">
        <f t="shared" si="64"/>
        <v>6574</v>
      </c>
      <c r="H1117" s="1"/>
      <c r="I1117" s="1"/>
      <c r="J1117" s="1"/>
      <c r="K1117" s="1"/>
      <c r="L1117" s="1"/>
      <c r="M1117" s="1"/>
      <c r="N1117" s="1"/>
      <c r="O1117" s="1"/>
    </row>
    <row r="1118" spans="1:15" ht="33">
      <c r="A1118" s="1">
        <v>158</v>
      </c>
      <c r="B1118" s="1"/>
      <c r="C1118" s="703" t="s">
        <v>1506</v>
      </c>
      <c r="D1118" s="704" t="s">
        <v>845</v>
      </c>
      <c r="E1118" s="8">
        <v>18321</v>
      </c>
      <c r="F1118" s="705">
        <v>1</v>
      </c>
      <c r="G1118" s="1">
        <f t="shared" si="64"/>
        <v>18321</v>
      </c>
      <c r="H1118" s="1"/>
      <c r="I1118" s="1"/>
      <c r="J1118" s="1"/>
      <c r="K1118" s="1"/>
      <c r="L1118" s="1"/>
      <c r="M1118" s="1"/>
      <c r="N1118" s="1"/>
      <c r="O1118" s="1"/>
    </row>
    <row r="1119" spans="1:15" ht="33">
      <c r="A1119" s="1">
        <v>159</v>
      </c>
      <c r="B1119" s="1"/>
      <c r="C1119" s="703" t="s">
        <v>1507</v>
      </c>
      <c r="D1119" s="704" t="s">
        <v>845</v>
      </c>
      <c r="E1119" s="8">
        <v>18552</v>
      </c>
      <c r="F1119" s="705">
        <v>1</v>
      </c>
      <c r="G1119" s="1">
        <f t="shared" si="64"/>
        <v>18552</v>
      </c>
      <c r="H1119" s="1"/>
      <c r="I1119" s="1"/>
      <c r="J1119" s="1"/>
      <c r="K1119" s="1"/>
      <c r="L1119" s="1"/>
      <c r="M1119" s="1"/>
      <c r="N1119" s="1"/>
      <c r="O1119" s="1"/>
    </row>
    <row r="1120" spans="1:15">
      <c r="A1120" s="1">
        <v>160</v>
      </c>
      <c r="B1120" s="1"/>
      <c r="C1120" s="703" t="s">
        <v>1508</v>
      </c>
      <c r="D1120" s="704" t="s">
        <v>10</v>
      </c>
      <c r="E1120" s="8">
        <v>3452</v>
      </c>
      <c r="F1120" s="705">
        <v>1</v>
      </c>
      <c r="G1120" s="1">
        <f t="shared" si="64"/>
        <v>3452</v>
      </c>
      <c r="H1120" s="1"/>
      <c r="I1120" s="1"/>
      <c r="J1120" s="1"/>
      <c r="K1120" s="1"/>
      <c r="L1120" s="1"/>
      <c r="M1120" s="1"/>
      <c r="N1120" s="1"/>
      <c r="O1120" s="1"/>
    </row>
    <row r="1121" spans="1:15">
      <c r="A1121" s="1">
        <v>161</v>
      </c>
      <c r="B1121" s="1"/>
      <c r="C1121" s="703" t="s">
        <v>1509</v>
      </c>
      <c r="D1121" s="704" t="s">
        <v>10</v>
      </c>
      <c r="E1121" s="8">
        <v>2345</v>
      </c>
      <c r="F1121" s="705">
        <v>1</v>
      </c>
      <c r="G1121" s="1">
        <f t="shared" si="64"/>
        <v>2345</v>
      </c>
      <c r="H1121" s="1"/>
      <c r="I1121" s="1"/>
      <c r="J1121" s="1"/>
      <c r="K1121" s="1"/>
      <c r="L1121" s="1"/>
      <c r="M1121" s="1"/>
      <c r="N1121" s="1"/>
      <c r="O1121" s="1"/>
    </row>
    <row r="1122" spans="1:15" ht="33">
      <c r="A1122" s="1">
        <v>162</v>
      </c>
      <c r="B1122" s="1"/>
      <c r="C1122" s="703" t="s">
        <v>1510</v>
      </c>
      <c r="D1122" s="704" t="s">
        <v>10</v>
      </c>
      <c r="E1122" s="8">
        <v>2432</v>
      </c>
      <c r="F1122" s="705">
        <v>1</v>
      </c>
      <c r="G1122" s="1">
        <f t="shared" si="64"/>
        <v>2432</v>
      </c>
      <c r="H1122" s="1"/>
      <c r="I1122" s="1"/>
      <c r="J1122" s="1"/>
      <c r="K1122" s="1"/>
      <c r="L1122" s="1"/>
      <c r="M1122" s="1"/>
      <c r="N1122" s="1"/>
      <c r="O1122" s="1"/>
    </row>
    <row r="1123" spans="1:15">
      <c r="A1123" s="1">
        <v>163</v>
      </c>
      <c r="B1123" s="1"/>
      <c r="C1123" s="703" t="s">
        <v>1511</v>
      </c>
      <c r="D1123" s="704" t="s">
        <v>10</v>
      </c>
      <c r="E1123" s="8">
        <v>456</v>
      </c>
      <c r="F1123" s="705">
        <v>1</v>
      </c>
      <c r="G1123" s="1">
        <f t="shared" si="64"/>
        <v>456</v>
      </c>
      <c r="H1123" s="1"/>
      <c r="I1123" s="1"/>
      <c r="J1123" s="1"/>
      <c r="K1123" s="1"/>
      <c r="L1123" s="1"/>
      <c r="M1123" s="1"/>
      <c r="N1123" s="1"/>
      <c r="O1123" s="1"/>
    </row>
    <row r="1124" spans="1:15">
      <c r="A1124" s="1">
        <v>164</v>
      </c>
      <c r="B1124" s="1"/>
      <c r="C1124" s="703" t="s">
        <v>1512</v>
      </c>
      <c r="D1124" s="704" t="s">
        <v>9</v>
      </c>
      <c r="E1124" s="8">
        <v>1987</v>
      </c>
      <c r="F1124" s="705">
        <v>1</v>
      </c>
      <c r="G1124" s="1">
        <f t="shared" si="64"/>
        <v>1987</v>
      </c>
      <c r="H1124" s="1"/>
      <c r="I1124" s="1"/>
      <c r="J1124" s="1"/>
      <c r="K1124" s="1"/>
      <c r="L1124" s="1"/>
      <c r="M1124" s="1"/>
      <c r="N1124" s="1"/>
      <c r="O1124" s="1"/>
    </row>
    <row r="1125" spans="1:15" ht="33">
      <c r="A1125" s="1">
        <v>165</v>
      </c>
      <c r="B1125" s="1"/>
      <c r="C1125" s="703" t="s">
        <v>1513</v>
      </c>
      <c r="D1125" s="704" t="s">
        <v>9</v>
      </c>
      <c r="E1125" s="8">
        <v>987</v>
      </c>
      <c r="F1125" s="705">
        <v>6</v>
      </c>
      <c r="G1125" s="1">
        <f t="shared" si="64"/>
        <v>5922</v>
      </c>
      <c r="H1125" s="1"/>
      <c r="I1125" s="1"/>
      <c r="J1125" s="1"/>
      <c r="K1125" s="1"/>
      <c r="L1125" s="1"/>
      <c r="M1125" s="1"/>
      <c r="N1125" s="1"/>
      <c r="O1125" s="1"/>
    </row>
    <row r="1126" spans="1:15" ht="33">
      <c r="A1126" s="1">
        <v>166</v>
      </c>
      <c r="B1126" s="1"/>
      <c r="C1126" s="703" t="s">
        <v>1514</v>
      </c>
      <c r="D1126" s="704" t="s">
        <v>10</v>
      </c>
      <c r="E1126" s="8">
        <v>2087</v>
      </c>
      <c r="F1126" s="705">
        <v>1</v>
      </c>
      <c r="G1126" s="1">
        <f t="shared" si="64"/>
        <v>2087</v>
      </c>
      <c r="H1126" s="1"/>
      <c r="I1126" s="1"/>
      <c r="J1126" s="1"/>
      <c r="K1126" s="1"/>
      <c r="L1126" s="1"/>
      <c r="M1126" s="1"/>
      <c r="N1126" s="1"/>
      <c r="O1126" s="1"/>
    </row>
    <row r="1127" spans="1:15">
      <c r="A1127" s="1">
        <v>167</v>
      </c>
      <c r="B1127" s="1"/>
      <c r="C1127" s="703" t="s">
        <v>1515</v>
      </c>
      <c r="D1127" s="704" t="s">
        <v>10</v>
      </c>
      <c r="E1127" s="8">
        <v>456</v>
      </c>
      <c r="F1127" s="705">
        <v>1</v>
      </c>
      <c r="G1127" s="1">
        <f t="shared" si="64"/>
        <v>456</v>
      </c>
      <c r="H1127" s="1"/>
      <c r="I1127" s="1"/>
      <c r="J1127" s="1"/>
      <c r="K1127" s="1"/>
      <c r="L1127" s="1"/>
      <c r="M1127" s="1"/>
      <c r="N1127" s="1"/>
      <c r="O1127" s="1"/>
    </row>
    <row r="1128" spans="1:15">
      <c r="A1128" s="1">
        <v>168</v>
      </c>
      <c r="B1128" s="1"/>
      <c r="C1128" s="703" t="s">
        <v>1516</v>
      </c>
      <c r="D1128" s="704" t="s">
        <v>9</v>
      </c>
      <c r="E1128" s="8">
        <v>1564</v>
      </c>
      <c r="F1128" s="705">
        <v>1</v>
      </c>
      <c r="G1128" s="1">
        <f t="shared" si="64"/>
        <v>1564</v>
      </c>
      <c r="H1128" s="1"/>
      <c r="I1128" s="1"/>
      <c r="J1128" s="1"/>
      <c r="K1128" s="1"/>
      <c r="L1128" s="1"/>
      <c r="M1128" s="1"/>
      <c r="N1128" s="1"/>
      <c r="O1128" s="1"/>
    </row>
    <row r="1129" spans="1:15" ht="33">
      <c r="A1129" s="1">
        <v>169</v>
      </c>
      <c r="B1129" s="1"/>
      <c r="C1129" s="703" t="s">
        <v>1517</v>
      </c>
      <c r="D1129" s="704" t="s">
        <v>9</v>
      </c>
      <c r="E1129" s="8">
        <v>1699</v>
      </c>
      <c r="F1129" s="705">
        <v>7</v>
      </c>
      <c r="G1129" s="1">
        <f t="shared" si="64"/>
        <v>11893</v>
      </c>
      <c r="H1129" s="1"/>
      <c r="I1129" s="1"/>
      <c r="J1129" s="1"/>
      <c r="K1129" s="1"/>
      <c r="L1129" s="1"/>
      <c r="M1129" s="1"/>
      <c r="N1129" s="1"/>
      <c r="O1129" s="1"/>
    </row>
    <row r="1130" spans="1:15" ht="37.5">
      <c r="A1130" s="1">
        <v>170</v>
      </c>
      <c r="B1130" s="1"/>
      <c r="C1130" s="708" t="s">
        <v>1518</v>
      </c>
      <c r="D1130" s="709" t="s">
        <v>10</v>
      </c>
      <c r="E1130" s="8">
        <v>2878</v>
      </c>
      <c r="F1130" s="710">
        <v>1</v>
      </c>
      <c r="G1130" s="1">
        <f t="shared" si="64"/>
        <v>2878</v>
      </c>
      <c r="H1130" s="1"/>
      <c r="I1130" s="1"/>
      <c r="J1130" s="1"/>
      <c r="K1130" s="1"/>
      <c r="L1130" s="1"/>
      <c r="M1130" s="1"/>
      <c r="N1130" s="1"/>
      <c r="O1130" s="1"/>
    </row>
    <row r="1131" spans="1:15" ht="18.75">
      <c r="A1131" s="1">
        <v>171</v>
      </c>
      <c r="B1131" s="1"/>
      <c r="C1131" s="708" t="s">
        <v>1519</v>
      </c>
      <c r="D1131" s="709" t="s">
        <v>2</v>
      </c>
      <c r="E1131" s="8">
        <v>8456</v>
      </c>
      <c r="F1131" s="710">
        <v>2</v>
      </c>
      <c r="G1131" s="1">
        <f t="shared" si="64"/>
        <v>16912</v>
      </c>
      <c r="H1131" s="1"/>
      <c r="I1131" s="1"/>
      <c r="J1131" s="1"/>
      <c r="K1131" s="1"/>
      <c r="L1131" s="1"/>
      <c r="M1131" s="1"/>
      <c r="N1131" s="1"/>
      <c r="O1131" s="1"/>
    </row>
    <row r="1132" spans="1:15" ht="37.5">
      <c r="A1132" s="1">
        <v>172</v>
      </c>
      <c r="B1132" s="1"/>
      <c r="C1132" s="708" t="s">
        <v>1520</v>
      </c>
      <c r="D1132" s="709" t="s">
        <v>10</v>
      </c>
      <c r="E1132" s="8">
        <v>15326</v>
      </c>
      <c r="F1132" s="710">
        <v>1</v>
      </c>
      <c r="G1132" s="1">
        <f t="shared" si="64"/>
        <v>15326</v>
      </c>
      <c r="H1132" s="1"/>
      <c r="I1132" s="1"/>
      <c r="J1132" s="1"/>
      <c r="K1132" s="1"/>
      <c r="L1132" s="1"/>
      <c r="M1132" s="1"/>
      <c r="N1132" s="1"/>
      <c r="O1132" s="1"/>
    </row>
    <row r="1133" spans="1:15" ht="37.5">
      <c r="A1133" s="1">
        <v>173</v>
      </c>
      <c r="B1133" s="1"/>
      <c r="C1133" s="711" t="s">
        <v>1521</v>
      </c>
      <c r="D1133" s="709" t="s">
        <v>751</v>
      </c>
      <c r="E1133" s="8">
        <v>26553</v>
      </c>
      <c r="F1133" s="710">
        <v>1</v>
      </c>
      <c r="G1133" s="1">
        <f t="shared" si="64"/>
        <v>26553</v>
      </c>
      <c r="H1133" s="1"/>
      <c r="I1133" s="1"/>
      <c r="J1133" s="1"/>
      <c r="K1133" s="1"/>
      <c r="L1133" s="1"/>
      <c r="M1133" s="1"/>
      <c r="N1133" s="1"/>
      <c r="O1133" s="1"/>
    </row>
    <row r="1134" spans="1:15" ht="18.75">
      <c r="A1134" s="1">
        <v>174</v>
      </c>
      <c r="B1134" s="1"/>
      <c r="C1134" s="711" t="s">
        <v>1522</v>
      </c>
      <c r="D1134" s="709" t="s">
        <v>2</v>
      </c>
      <c r="E1134" s="8">
        <v>8859</v>
      </c>
      <c r="F1134" s="710">
        <v>1</v>
      </c>
      <c r="G1134" s="1">
        <f t="shared" si="64"/>
        <v>8859</v>
      </c>
      <c r="H1134" s="1"/>
      <c r="I1134" s="1"/>
      <c r="J1134" s="1"/>
      <c r="K1134" s="1"/>
      <c r="L1134" s="1"/>
      <c r="M1134" s="1"/>
      <c r="N1134" s="1"/>
      <c r="O1134" s="1"/>
    </row>
    <row r="1135" spans="1:15" ht="18.75">
      <c r="A1135" s="1">
        <v>175</v>
      </c>
      <c r="B1135" s="1"/>
      <c r="C1135" s="711" t="s">
        <v>1523</v>
      </c>
      <c r="D1135" s="709" t="s">
        <v>2</v>
      </c>
      <c r="E1135" s="8">
        <v>12886</v>
      </c>
      <c r="F1135" s="710">
        <v>2</v>
      </c>
      <c r="G1135" s="1">
        <f t="shared" si="64"/>
        <v>25772</v>
      </c>
      <c r="H1135" s="1"/>
      <c r="I1135" s="1"/>
      <c r="J1135" s="1"/>
      <c r="K1135" s="1"/>
      <c r="L1135" s="1"/>
      <c r="M1135" s="1"/>
      <c r="N1135" s="1"/>
      <c r="O1135" s="1"/>
    </row>
    <row r="1136" spans="1:15" ht="18.75">
      <c r="A1136" s="1">
        <v>176</v>
      </c>
      <c r="B1136" s="1"/>
      <c r="C1136" s="711" t="s">
        <v>1524</v>
      </c>
      <c r="D1136" s="709" t="s">
        <v>2</v>
      </c>
      <c r="E1136" s="8">
        <v>30256</v>
      </c>
      <c r="F1136" s="710">
        <v>1</v>
      </c>
      <c r="G1136" s="1">
        <f t="shared" si="64"/>
        <v>30256</v>
      </c>
      <c r="H1136" s="1"/>
      <c r="I1136" s="1"/>
      <c r="J1136" s="1"/>
      <c r="K1136" s="1"/>
      <c r="L1136" s="1"/>
      <c r="M1136" s="1"/>
      <c r="N1136" s="1"/>
      <c r="O1136" s="1"/>
    </row>
    <row r="1137" spans="1:15" ht="18.75">
      <c r="A1137" s="1">
        <v>177</v>
      </c>
      <c r="B1137" s="1"/>
      <c r="C1137" s="712" t="s">
        <v>1525</v>
      </c>
      <c r="D1137" s="709" t="s">
        <v>2</v>
      </c>
      <c r="E1137" s="8">
        <v>8992</v>
      </c>
      <c r="F1137" s="710">
        <v>8</v>
      </c>
      <c r="G1137" s="1">
        <f t="shared" si="64"/>
        <v>71936</v>
      </c>
      <c r="H1137" s="1"/>
      <c r="I1137" s="1"/>
      <c r="J1137" s="1"/>
      <c r="K1137" s="1"/>
      <c r="L1137" s="1"/>
      <c r="M1137" s="1"/>
      <c r="N1137" s="1"/>
      <c r="O1137" s="1"/>
    </row>
    <row r="1138" spans="1:15" ht="18.75">
      <c r="A1138" s="1">
        <v>178</v>
      </c>
      <c r="B1138" s="1"/>
      <c r="C1138" s="711" t="s">
        <v>1526</v>
      </c>
      <c r="D1138" s="709" t="s">
        <v>10</v>
      </c>
      <c r="E1138" s="8">
        <v>38000</v>
      </c>
      <c r="F1138" s="710">
        <v>1</v>
      </c>
      <c r="G1138" s="1">
        <f t="shared" si="64"/>
        <v>38000</v>
      </c>
      <c r="H1138" s="1"/>
      <c r="I1138" s="1"/>
      <c r="J1138" s="1"/>
      <c r="K1138" s="1"/>
      <c r="L1138" s="1"/>
      <c r="M1138" s="1"/>
      <c r="N1138" s="1"/>
      <c r="O1138" s="1"/>
    </row>
    <row r="1139" spans="1:15" ht="37.5">
      <c r="A1139" s="1">
        <v>179</v>
      </c>
      <c r="B1139" s="1"/>
      <c r="C1139" s="708" t="s">
        <v>1527</v>
      </c>
      <c r="D1139" s="713" t="s">
        <v>10</v>
      </c>
      <c r="E1139" s="8">
        <v>12456</v>
      </c>
      <c r="F1139" s="714">
        <v>1</v>
      </c>
      <c r="G1139" s="1">
        <f t="shared" si="64"/>
        <v>12456</v>
      </c>
      <c r="H1139" s="1"/>
      <c r="I1139" s="1"/>
      <c r="J1139" s="1"/>
      <c r="K1139" s="1"/>
      <c r="L1139" s="1"/>
      <c r="M1139" s="1"/>
      <c r="N1139" s="1"/>
      <c r="O1139" s="1"/>
    </row>
    <row r="1140" spans="1:15" ht="18.75">
      <c r="A1140" s="1">
        <v>180</v>
      </c>
      <c r="B1140" s="1"/>
      <c r="C1140" s="711" t="s">
        <v>1528</v>
      </c>
      <c r="D1140" s="713" t="s">
        <v>1529</v>
      </c>
      <c r="E1140" s="8">
        <v>5233</v>
      </c>
      <c r="F1140" s="710">
        <v>2</v>
      </c>
      <c r="G1140" s="1">
        <f t="shared" si="64"/>
        <v>10466</v>
      </c>
      <c r="H1140" s="1"/>
      <c r="I1140" s="1"/>
      <c r="J1140" s="1"/>
      <c r="K1140" s="1"/>
      <c r="L1140" s="1"/>
      <c r="M1140" s="1"/>
      <c r="N1140" s="1"/>
      <c r="O1140" s="1"/>
    </row>
    <row r="1141" spans="1:15" ht="18.75">
      <c r="A1141" s="1">
        <v>181</v>
      </c>
      <c r="B1141" s="1"/>
      <c r="C1141" s="708" t="s">
        <v>1530</v>
      </c>
      <c r="D1141" s="713" t="s">
        <v>1529</v>
      </c>
      <c r="E1141" s="8">
        <v>4222</v>
      </c>
      <c r="F1141" s="710">
        <v>6</v>
      </c>
      <c r="G1141" s="1">
        <f t="shared" si="64"/>
        <v>25332</v>
      </c>
      <c r="H1141" s="1"/>
      <c r="I1141" s="1"/>
      <c r="J1141" s="1"/>
      <c r="K1141" s="1"/>
      <c r="L1141" s="1"/>
      <c r="M1141" s="1"/>
      <c r="N1141" s="1"/>
      <c r="O1141" s="1"/>
    </row>
    <row r="1142" spans="1:15" ht="18.75">
      <c r="A1142" s="1">
        <v>182</v>
      </c>
      <c r="B1142" s="1"/>
      <c r="C1142" s="708" t="s">
        <v>1531</v>
      </c>
      <c r="D1142" s="713" t="s">
        <v>1529</v>
      </c>
      <c r="E1142" s="8">
        <v>32236</v>
      </c>
      <c r="F1142" s="710">
        <v>2</v>
      </c>
      <c r="G1142" s="1">
        <f t="shared" si="64"/>
        <v>64472</v>
      </c>
      <c r="H1142" s="1"/>
      <c r="I1142" s="1"/>
      <c r="J1142" s="1"/>
      <c r="K1142" s="1"/>
      <c r="L1142" s="1"/>
      <c r="M1142" s="1"/>
      <c r="N1142" s="1"/>
      <c r="O1142" s="1"/>
    </row>
    <row r="1143" spans="1:15" ht="18.75">
      <c r="A1143" s="1">
        <v>183</v>
      </c>
      <c r="B1143" s="1"/>
      <c r="C1143" s="708" t="s">
        <v>1532</v>
      </c>
      <c r="D1143" s="713" t="s">
        <v>10</v>
      </c>
      <c r="E1143" s="8">
        <v>2900</v>
      </c>
      <c r="F1143" s="710">
        <v>4</v>
      </c>
      <c r="G1143" s="1">
        <f t="shared" si="64"/>
        <v>11600</v>
      </c>
      <c r="H1143" s="1"/>
      <c r="I1143" s="1"/>
      <c r="J1143" s="1"/>
      <c r="K1143" s="1"/>
      <c r="L1143" s="1"/>
      <c r="M1143" s="1"/>
      <c r="N1143" s="1"/>
      <c r="O1143" s="1"/>
    </row>
    <row r="1144" spans="1:15" ht="18.75">
      <c r="A1144" s="1">
        <v>184</v>
      </c>
      <c r="B1144" s="1"/>
      <c r="C1144" s="708" t="s">
        <v>1533</v>
      </c>
      <c r="D1144" s="713" t="s">
        <v>10</v>
      </c>
      <c r="E1144" s="8">
        <v>12856</v>
      </c>
      <c r="F1144" s="710">
        <v>2</v>
      </c>
      <c r="G1144" s="1">
        <f t="shared" si="64"/>
        <v>25712</v>
      </c>
      <c r="H1144" s="1"/>
      <c r="I1144" s="1"/>
      <c r="J1144" s="1"/>
      <c r="K1144" s="1"/>
      <c r="L1144" s="1"/>
      <c r="M1144" s="1"/>
      <c r="N1144" s="1"/>
      <c r="O1144" s="1"/>
    </row>
    <row r="1145" spans="1:15" ht="18.75">
      <c r="A1145" s="1">
        <v>185</v>
      </c>
      <c r="B1145" s="1"/>
      <c r="C1145" s="708" t="s">
        <v>1534</v>
      </c>
      <c r="D1145" s="713" t="s">
        <v>1529</v>
      </c>
      <c r="E1145" s="8">
        <v>4465</v>
      </c>
      <c r="F1145" s="710">
        <v>5</v>
      </c>
      <c r="G1145" s="1">
        <f t="shared" si="64"/>
        <v>22325</v>
      </c>
      <c r="H1145" s="1"/>
      <c r="I1145" s="1"/>
      <c r="J1145" s="1"/>
      <c r="K1145" s="1"/>
      <c r="L1145" s="1"/>
      <c r="M1145" s="1"/>
      <c r="N1145" s="1"/>
      <c r="O1145" s="1"/>
    </row>
    <row r="1146" spans="1:15" ht="37.5">
      <c r="A1146" s="1">
        <v>186</v>
      </c>
      <c r="B1146" s="1"/>
      <c r="C1146" s="708" t="s">
        <v>1535</v>
      </c>
      <c r="D1146" s="715" t="s">
        <v>10</v>
      </c>
      <c r="E1146" s="8">
        <v>2478</v>
      </c>
      <c r="F1146" s="710">
        <v>1</v>
      </c>
      <c r="G1146" s="1">
        <f t="shared" si="64"/>
        <v>2478</v>
      </c>
      <c r="H1146" s="1"/>
      <c r="I1146" s="1"/>
      <c r="J1146" s="1"/>
      <c r="K1146" s="1"/>
      <c r="L1146" s="1"/>
      <c r="M1146" s="1"/>
      <c r="N1146" s="1"/>
      <c r="O1146" s="1"/>
    </row>
    <row r="1147" spans="1:15" ht="18.75">
      <c r="A1147" s="1">
        <v>187</v>
      </c>
      <c r="B1147" s="1"/>
      <c r="C1147" s="708" t="s">
        <v>1536</v>
      </c>
      <c r="D1147" s="715" t="s">
        <v>1529</v>
      </c>
      <c r="E1147" s="8">
        <v>8896</v>
      </c>
      <c r="F1147" s="710">
        <v>4</v>
      </c>
      <c r="G1147" s="1">
        <f t="shared" si="64"/>
        <v>35584</v>
      </c>
      <c r="H1147" s="1"/>
      <c r="I1147" s="1"/>
      <c r="J1147" s="1"/>
      <c r="K1147" s="1"/>
      <c r="L1147" s="1"/>
      <c r="M1147" s="1"/>
      <c r="N1147" s="1"/>
      <c r="O1147" s="1"/>
    </row>
    <row r="1148" spans="1:15" ht="18.75">
      <c r="A1148" s="1">
        <v>188</v>
      </c>
      <c r="B1148" s="1"/>
      <c r="C1148" s="708" t="s">
        <v>1537</v>
      </c>
      <c r="D1148" s="715" t="s">
        <v>1529</v>
      </c>
      <c r="E1148" s="8">
        <v>8698</v>
      </c>
      <c r="F1148" s="710">
        <v>4</v>
      </c>
      <c r="G1148" s="1">
        <f t="shared" si="64"/>
        <v>34792</v>
      </c>
      <c r="H1148" s="1"/>
      <c r="I1148" s="1"/>
      <c r="J1148" s="1"/>
      <c r="K1148" s="1"/>
      <c r="L1148" s="1"/>
      <c r="M1148" s="1"/>
      <c r="N1148" s="1"/>
      <c r="O1148" s="1"/>
    </row>
    <row r="1149" spans="1:15" ht="37.5">
      <c r="A1149" s="1">
        <v>189</v>
      </c>
      <c r="B1149" s="1"/>
      <c r="C1149" s="708" t="s">
        <v>1538</v>
      </c>
      <c r="D1149" s="715" t="s">
        <v>10</v>
      </c>
      <c r="E1149" s="8">
        <v>13458</v>
      </c>
      <c r="F1149" s="710">
        <v>1</v>
      </c>
      <c r="G1149" s="1">
        <f t="shared" si="64"/>
        <v>13458</v>
      </c>
      <c r="H1149" s="1"/>
      <c r="I1149" s="1"/>
      <c r="J1149" s="1"/>
      <c r="K1149" s="1"/>
      <c r="L1149" s="1"/>
      <c r="M1149" s="1"/>
      <c r="N1149" s="1"/>
      <c r="O1149" s="1"/>
    </row>
    <row r="1150" spans="1:15" ht="18.75">
      <c r="A1150" s="1">
        <v>190</v>
      </c>
      <c r="B1150" s="1"/>
      <c r="C1150" s="708" t="s">
        <v>1539</v>
      </c>
      <c r="D1150" s="715" t="s">
        <v>751</v>
      </c>
      <c r="E1150" s="8">
        <v>22648</v>
      </c>
      <c r="F1150" s="710">
        <v>1</v>
      </c>
      <c r="G1150" s="1">
        <f t="shared" si="64"/>
        <v>22648</v>
      </c>
      <c r="H1150" s="1"/>
      <c r="I1150" s="1"/>
      <c r="J1150" s="1"/>
      <c r="K1150" s="1"/>
      <c r="L1150" s="1"/>
      <c r="M1150" s="1"/>
      <c r="N1150" s="1"/>
      <c r="O1150" s="1"/>
    </row>
    <row r="1151" spans="1:15" ht="18.75">
      <c r="A1151" s="1">
        <v>191</v>
      </c>
      <c r="B1151" s="1"/>
      <c r="C1151" s="708" t="s">
        <v>1522</v>
      </c>
      <c r="D1151" s="713" t="s">
        <v>2</v>
      </c>
      <c r="E1151" s="8">
        <v>7884</v>
      </c>
      <c r="F1151" s="710">
        <v>1</v>
      </c>
      <c r="G1151" s="1">
        <f t="shared" si="64"/>
        <v>7884</v>
      </c>
      <c r="H1151" s="1"/>
      <c r="I1151" s="1"/>
      <c r="J1151" s="1"/>
      <c r="K1151" s="1"/>
      <c r="L1151" s="1"/>
      <c r="M1151" s="1"/>
      <c r="N1151" s="1"/>
      <c r="O1151" s="1"/>
    </row>
    <row r="1152" spans="1:15" ht="18.75">
      <c r="A1152" s="1">
        <v>192</v>
      </c>
      <c r="B1152" s="1"/>
      <c r="C1152" s="708" t="s">
        <v>1540</v>
      </c>
      <c r="D1152" s="713" t="s">
        <v>1529</v>
      </c>
      <c r="E1152" s="8">
        <v>11886</v>
      </c>
      <c r="F1152" s="710">
        <v>2</v>
      </c>
      <c r="G1152" s="1">
        <f t="shared" si="64"/>
        <v>23772</v>
      </c>
      <c r="H1152" s="1"/>
      <c r="I1152" s="1"/>
      <c r="J1152" s="1"/>
      <c r="K1152" s="1"/>
      <c r="L1152" s="1"/>
      <c r="M1152" s="1"/>
      <c r="N1152" s="1"/>
      <c r="O1152" s="1"/>
    </row>
    <row r="1153" spans="1:15" ht="18.75">
      <c r="A1153" s="1">
        <v>193</v>
      </c>
      <c r="B1153" s="1"/>
      <c r="C1153" s="708" t="s">
        <v>1524</v>
      </c>
      <c r="D1153" s="713" t="s">
        <v>1529</v>
      </c>
      <c r="E1153" s="8">
        <v>30256</v>
      </c>
      <c r="F1153" s="710">
        <v>1</v>
      </c>
      <c r="G1153" s="1">
        <f t="shared" si="64"/>
        <v>30256</v>
      </c>
      <c r="H1153" s="1"/>
      <c r="I1153" s="1"/>
      <c r="J1153" s="1"/>
      <c r="K1153" s="1"/>
      <c r="L1153" s="1"/>
      <c r="M1153" s="1"/>
      <c r="N1153" s="1"/>
      <c r="O1153" s="1"/>
    </row>
    <row r="1154" spans="1:15" ht="18.75">
      <c r="A1154" s="1">
        <v>194</v>
      </c>
      <c r="B1154" s="1"/>
      <c r="C1154" s="708" t="s">
        <v>1525</v>
      </c>
      <c r="D1154" s="713" t="s">
        <v>2</v>
      </c>
      <c r="E1154" s="8">
        <v>8233</v>
      </c>
      <c r="F1154" s="710">
        <v>8</v>
      </c>
      <c r="G1154" s="1">
        <f t="shared" si="64"/>
        <v>65864</v>
      </c>
      <c r="H1154" s="1"/>
      <c r="I1154" s="1"/>
      <c r="J1154" s="1"/>
      <c r="K1154" s="1"/>
      <c r="L1154" s="1"/>
      <c r="M1154" s="1"/>
      <c r="N1154" s="1"/>
      <c r="O1154" s="1"/>
    </row>
    <row r="1155" spans="1:15" ht="18.75">
      <c r="A1155" s="1">
        <v>195</v>
      </c>
      <c r="B1155" s="1"/>
      <c r="C1155" s="708" t="s">
        <v>1541</v>
      </c>
      <c r="D1155" s="713" t="s">
        <v>2</v>
      </c>
      <c r="E1155" s="8">
        <v>8852</v>
      </c>
      <c r="F1155" s="710">
        <v>1</v>
      </c>
      <c r="G1155" s="1">
        <f t="shared" ref="G1155:G1218" si="65">E1155*F1155</f>
        <v>8852</v>
      </c>
      <c r="H1155" s="1"/>
      <c r="I1155" s="1"/>
      <c r="J1155" s="1"/>
      <c r="K1155" s="1"/>
      <c r="L1155" s="1"/>
      <c r="M1155" s="1"/>
      <c r="N1155" s="1"/>
      <c r="O1155" s="1"/>
    </row>
    <row r="1156" spans="1:15" ht="18.75">
      <c r="A1156" s="1">
        <v>196</v>
      </c>
      <c r="B1156" s="1"/>
      <c r="C1156" s="708" t="s">
        <v>1526</v>
      </c>
      <c r="D1156" s="713" t="s">
        <v>10</v>
      </c>
      <c r="E1156" s="8">
        <v>38000</v>
      </c>
      <c r="F1156" s="710">
        <v>1</v>
      </c>
      <c r="G1156" s="1">
        <f t="shared" si="65"/>
        <v>38000</v>
      </c>
      <c r="H1156" s="1"/>
      <c r="I1156" s="1"/>
      <c r="J1156" s="1"/>
      <c r="K1156" s="1"/>
      <c r="L1156" s="1"/>
      <c r="M1156" s="1"/>
      <c r="N1156" s="1"/>
      <c r="O1156" s="1"/>
    </row>
    <row r="1157" spans="1:15" ht="37.5">
      <c r="A1157" s="1">
        <v>197</v>
      </c>
      <c r="B1157" s="1"/>
      <c r="C1157" s="716" t="s">
        <v>1542</v>
      </c>
      <c r="D1157" s="713" t="s">
        <v>2</v>
      </c>
      <c r="E1157" s="8">
        <v>12232</v>
      </c>
      <c r="F1157" s="710">
        <v>2</v>
      </c>
      <c r="G1157" s="1">
        <f t="shared" si="65"/>
        <v>24464</v>
      </c>
      <c r="H1157" s="1"/>
      <c r="I1157" s="1"/>
      <c r="J1157" s="1"/>
      <c r="K1157" s="1"/>
      <c r="L1157" s="1"/>
      <c r="M1157" s="1"/>
      <c r="N1157" s="1"/>
      <c r="O1157" s="1"/>
    </row>
    <row r="1158" spans="1:15" ht="37.5">
      <c r="A1158" s="1">
        <v>198</v>
      </c>
      <c r="B1158" s="1"/>
      <c r="C1158" s="716" t="s">
        <v>1543</v>
      </c>
      <c r="D1158" s="713" t="s">
        <v>2</v>
      </c>
      <c r="E1158" s="8">
        <v>12232</v>
      </c>
      <c r="F1158" s="710">
        <v>2</v>
      </c>
      <c r="G1158" s="1">
        <f t="shared" si="65"/>
        <v>24464</v>
      </c>
      <c r="H1158" s="1"/>
      <c r="I1158" s="1"/>
      <c r="J1158" s="1"/>
      <c r="K1158" s="1"/>
      <c r="L1158" s="1"/>
      <c r="M1158" s="1"/>
      <c r="N1158" s="1"/>
      <c r="O1158" s="1"/>
    </row>
    <row r="1159" spans="1:15" ht="37.5">
      <c r="A1159" s="1">
        <v>199</v>
      </c>
      <c r="B1159" s="1"/>
      <c r="C1159" s="716" t="s">
        <v>1544</v>
      </c>
      <c r="D1159" s="713" t="s">
        <v>2</v>
      </c>
      <c r="E1159" s="8">
        <v>5234</v>
      </c>
      <c r="F1159" s="710">
        <v>4</v>
      </c>
      <c r="G1159" s="1">
        <f t="shared" si="65"/>
        <v>20936</v>
      </c>
      <c r="H1159" s="1"/>
      <c r="I1159" s="1"/>
      <c r="J1159" s="1"/>
      <c r="K1159" s="1"/>
      <c r="L1159" s="1"/>
      <c r="M1159" s="1"/>
      <c r="N1159" s="1"/>
      <c r="O1159" s="1"/>
    </row>
    <row r="1160" spans="1:15" ht="18.75">
      <c r="A1160" s="1">
        <v>200</v>
      </c>
      <c r="B1160" s="1"/>
      <c r="C1160" s="716" t="s">
        <v>1545</v>
      </c>
      <c r="D1160" s="709" t="s">
        <v>2</v>
      </c>
      <c r="E1160" s="8">
        <v>22645</v>
      </c>
      <c r="F1160" s="710">
        <v>2</v>
      </c>
      <c r="G1160" s="1">
        <f t="shared" si="65"/>
        <v>45290</v>
      </c>
      <c r="H1160" s="1"/>
      <c r="I1160" s="1"/>
      <c r="J1160" s="1"/>
      <c r="K1160" s="1"/>
      <c r="L1160" s="1"/>
      <c r="M1160" s="1"/>
      <c r="N1160" s="1"/>
      <c r="O1160" s="1"/>
    </row>
    <row r="1161" spans="1:15" ht="18.75">
      <c r="A1161" s="1">
        <v>201</v>
      </c>
      <c r="B1161" s="1"/>
      <c r="C1161" s="708" t="s">
        <v>1546</v>
      </c>
      <c r="D1161" s="709" t="s">
        <v>10</v>
      </c>
      <c r="E1161" s="8">
        <v>189786</v>
      </c>
      <c r="F1161" s="710">
        <v>1</v>
      </c>
      <c r="G1161" s="1">
        <f t="shared" si="65"/>
        <v>189786</v>
      </c>
      <c r="H1161" s="1"/>
      <c r="I1161" s="1"/>
      <c r="J1161" s="1"/>
      <c r="K1161" s="1"/>
      <c r="L1161" s="1"/>
      <c r="M1161" s="1"/>
      <c r="N1161" s="1"/>
      <c r="O1161" s="1"/>
    </row>
    <row r="1162" spans="1:15" ht="18.75">
      <c r="A1162" s="1">
        <v>202</v>
      </c>
      <c r="B1162" s="1"/>
      <c r="C1162" s="708" t="s">
        <v>1547</v>
      </c>
      <c r="D1162" s="709" t="s">
        <v>10</v>
      </c>
      <c r="E1162" s="8">
        <v>198067</v>
      </c>
      <c r="F1162" s="710">
        <v>1</v>
      </c>
      <c r="G1162" s="1">
        <f t="shared" si="65"/>
        <v>198067</v>
      </c>
      <c r="H1162" s="1"/>
      <c r="I1162" s="1"/>
      <c r="J1162" s="1"/>
      <c r="K1162" s="1"/>
      <c r="L1162" s="1"/>
      <c r="M1162" s="1"/>
      <c r="N1162" s="1"/>
      <c r="O1162" s="1"/>
    </row>
    <row r="1163" spans="1:15" ht="18.75">
      <c r="A1163" s="1">
        <v>203</v>
      </c>
      <c r="B1163" s="1"/>
      <c r="C1163" s="716" t="s">
        <v>1548</v>
      </c>
      <c r="D1163" s="709" t="s">
        <v>10</v>
      </c>
      <c r="E1163" s="8">
        <v>4223</v>
      </c>
      <c r="F1163" s="710">
        <v>1</v>
      </c>
      <c r="G1163" s="1">
        <f t="shared" si="65"/>
        <v>4223</v>
      </c>
      <c r="H1163" s="1"/>
      <c r="I1163" s="1"/>
      <c r="J1163" s="1"/>
      <c r="K1163" s="1"/>
      <c r="L1163" s="1"/>
      <c r="M1163" s="1"/>
      <c r="N1163" s="1"/>
      <c r="O1163" s="1"/>
    </row>
    <row r="1164" spans="1:15" ht="18.75">
      <c r="A1164" s="1">
        <v>204</v>
      </c>
      <c r="B1164" s="1"/>
      <c r="C1164" s="716" t="s">
        <v>1549</v>
      </c>
      <c r="D1164" s="709" t="s">
        <v>2</v>
      </c>
      <c r="E1164" s="8">
        <v>42400</v>
      </c>
      <c r="F1164" s="710">
        <v>1</v>
      </c>
      <c r="G1164" s="1">
        <f t="shared" si="65"/>
        <v>42400</v>
      </c>
      <c r="H1164" s="1"/>
      <c r="I1164" s="1"/>
      <c r="J1164" s="1"/>
      <c r="K1164" s="1"/>
      <c r="L1164" s="1"/>
      <c r="M1164" s="1"/>
      <c r="N1164" s="1"/>
      <c r="O1164" s="1"/>
    </row>
    <row r="1165" spans="1:15" ht="37.5">
      <c r="A1165" s="1">
        <v>205</v>
      </c>
      <c r="B1165" s="1"/>
      <c r="C1165" s="716" t="s">
        <v>1550</v>
      </c>
      <c r="D1165" s="709" t="s">
        <v>10</v>
      </c>
      <c r="E1165" s="8">
        <v>4223</v>
      </c>
      <c r="F1165" s="710">
        <v>1</v>
      </c>
      <c r="G1165" s="1">
        <f t="shared" si="65"/>
        <v>4223</v>
      </c>
      <c r="H1165" s="1"/>
      <c r="I1165" s="1"/>
      <c r="J1165" s="1"/>
      <c r="K1165" s="1"/>
      <c r="L1165" s="1"/>
      <c r="M1165" s="1"/>
      <c r="N1165" s="1"/>
      <c r="O1165" s="1"/>
    </row>
    <row r="1166" spans="1:15" ht="18.75">
      <c r="A1166" s="1">
        <v>206</v>
      </c>
      <c r="B1166" s="1"/>
      <c r="C1166" s="716" t="s">
        <v>1551</v>
      </c>
      <c r="D1166" s="709" t="s">
        <v>2</v>
      </c>
      <c r="E1166" s="8">
        <v>654</v>
      </c>
      <c r="F1166" s="710">
        <v>5</v>
      </c>
      <c r="G1166" s="1">
        <f t="shared" si="65"/>
        <v>3270</v>
      </c>
      <c r="H1166" s="1"/>
      <c r="I1166" s="1"/>
      <c r="J1166" s="1"/>
      <c r="K1166" s="1"/>
      <c r="L1166" s="1"/>
      <c r="M1166" s="1"/>
      <c r="N1166" s="1"/>
      <c r="O1166" s="1"/>
    </row>
    <row r="1167" spans="1:15" ht="18.75">
      <c r="A1167" s="1">
        <v>207</v>
      </c>
      <c r="B1167" s="1"/>
      <c r="C1167" s="716" t="s">
        <v>1552</v>
      </c>
      <c r="D1167" s="709" t="s">
        <v>2</v>
      </c>
      <c r="E1167" s="8">
        <v>1050</v>
      </c>
      <c r="F1167" s="710">
        <v>2</v>
      </c>
      <c r="G1167" s="1">
        <f t="shared" si="65"/>
        <v>2100</v>
      </c>
      <c r="H1167" s="1"/>
      <c r="I1167" s="1"/>
      <c r="J1167" s="1"/>
      <c r="K1167" s="1"/>
      <c r="L1167" s="1"/>
      <c r="M1167" s="1"/>
      <c r="N1167" s="1"/>
      <c r="O1167" s="1"/>
    </row>
    <row r="1168" spans="1:15" ht="18.75">
      <c r="A1168" s="1">
        <v>208</v>
      </c>
      <c r="B1168" s="1"/>
      <c r="C1168" s="716" t="s">
        <v>1553</v>
      </c>
      <c r="D1168" s="709" t="s">
        <v>10</v>
      </c>
      <c r="E1168" s="8">
        <v>8100</v>
      </c>
      <c r="F1168" s="710">
        <v>1</v>
      </c>
      <c r="G1168" s="1">
        <f t="shared" si="65"/>
        <v>8100</v>
      </c>
      <c r="H1168" s="1"/>
      <c r="I1168" s="1"/>
      <c r="J1168" s="1"/>
      <c r="K1168" s="1"/>
      <c r="L1168" s="1"/>
      <c r="M1168" s="1"/>
      <c r="N1168" s="1"/>
      <c r="O1168" s="1"/>
    </row>
    <row r="1169" spans="1:15" ht="18.75">
      <c r="A1169" s="1">
        <v>209</v>
      </c>
      <c r="B1169" s="1"/>
      <c r="C1169" s="716" t="s">
        <v>1554</v>
      </c>
      <c r="D1169" s="709" t="s">
        <v>10</v>
      </c>
      <c r="E1169" s="8">
        <v>8997</v>
      </c>
      <c r="F1169" s="710">
        <v>1</v>
      </c>
      <c r="G1169" s="1">
        <f t="shared" si="65"/>
        <v>8997</v>
      </c>
      <c r="H1169" s="1"/>
      <c r="I1169" s="1"/>
      <c r="J1169" s="1"/>
      <c r="K1169" s="1"/>
      <c r="L1169" s="1"/>
      <c r="M1169" s="1"/>
      <c r="N1169" s="1"/>
      <c r="O1169" s="1"/>
    </row>
    <row r="1170" spans="1:15" ht="37.5">
      <c r="A1170" s="1">
        <v>210</v>
      </c>
      <c r="B1170" s="1"/>
      <c r="C1170" s="716" t="s">
        <v>1555</v>
      </c>
      <c r="D1170" s="709" t="s">
        <v>10</v>
      </c>
      <c r="E1170" s="8">
        <v>15000</v>
      </c>
      <c r="F1170" s="710">
        <v>1</v>
      </c>
      <c r="G1170" s="1">
        <f t="shared" si="65"/>
        <v>15000</v>
      </c>
      <c r="H1170" s="1"/>
      <c r="I1170" s="1"/>
      <c r="J1170" s="1"/>
      <c r="K1170" s="1"/>
      <c r="L1170" s="1"/>
      <c r="M1170" s="1"/>
      <c r="N1170" s="1"/>
      <c r="O1170" s="1"/>
    </row>
    <row r="1171" spans="1:15" ht="18.75">
      <c r="A1171" s="1">
        <v>211</v>
      </c>
      <c r="B1171" s="1"/>
      <c r="C1171" s="716" t="s">
        <v>1556</v>
      </c>
      <c r="D1171" s="709" t="s">
        <v>2</v>
      </c>
      <c r="E1171" s="8">
        <v>1447</v>
      </c>
      <c r="F1171" s="710">
        <v>1</v>
      </c>
      <c r="G1171" s="1">
        <f t="shared" si="65"/>
        <v>1447</v>
      </c>
      <c r="H1171" s="1"/>
      <c r="I1171" s="1"/>
      <c r="J1171" s="1"/>
      <c r="K1171" s="1"/>
      <c r="L1171" s="1"/>
      <c r="M1171" s="1"/>
      <c r="N1171" s="1"/>
      <c r="O1171" s="1"/>
    </row>
    <row r="1172" spans="1:15" ht="18.75">
      <c r="A1172" s="1">
        <v>212</v>
      </c>
      <c r="B1172" s="1"/>
      <c r="C1172" s="716" t="s">
        <v>1557</v>
      </c>
      <c r="D1172" s="709" t="s">
        <v>2</v>
      </c>
      <c r="E1172" s="8">
        <v>1872</v>
      </c>
      <c r="F1172" s="710">
        <v>1</v>
      </c>
      <c r="G1172" s="1">
        <f t="shared" si="65"/>
        <v>1872</v>
      </c>
      <c r="H1172" s="1"/>
      <c r="I1172" s="1"/>
      <c r="J1172" s="1"/>
      <c r="K1172" s="1"/>
      <c r="L1172" s="1"/>
      <c r="M1172" s="1"/>
      <c r="N1172" s="1"/>
      <c r="O1172" s="1"/>
    </row>
    <row r="1173" spans="1:15" ht="18.75">
      <c r="A1173" s="1">
        <v>213</v>
      </c>
      <c r="B1173" s="1"/>
      <c r="C1173" s="716" t="s">
        <v>1558</v>
      </c>
      <c r="D1173" s="709" t="s">
        <v>2</v>
      </c>
      <c r="E1173" s="8">
        <v>4785</v>
      </c>
      <c r="F1173" s="710">
        <v>1</v>
      </c>
      <c r="G1173" s="1">
        <f t="shared" si="65"/>
        <v>4785</v>
      </c>
      <c r="H1173" s="1"/>
      <c r="I1173" s="1"/>
      <c r="J1173" s="1"/>
      <c r="K1173" s="1"/>
      <c r="L1173" s="1"/>
      <c r="M1173" s="1"/>
      <c r="N1173" s="1"/>
      <c r="O1173" s="1"/>
    </row>
    <row r="1174" spans="1:15" ht="18.75">
      <c r="A1174" s="1">
        <v>214</v>
      </c>
      <c r="B1174" s="1"/>
      <c r="C1174" s="716" t="s">
        <v>1559</v>
      </c>
      <c r="D1174" s="709" t="s">
        <v>2</v>
      </c>
      <c r="E1174" s="8">
        <v>4380</v>
      </c>
      <c r="F1174" s="710">
        <v>1</v>
      </c>
      <c r="G1174" s="1">
        <f t="shared" si="65"/>
        <v>4380</v>
      </c>
      <c r="H1174" s="1"/>
      <c r="I1174" s="1"/>
      <c r="J1174" s="1"/>
      <c r="K1174" s="1"/>
      <c r="L1174" s="1"/>
      <c r="M1174" s="1"/>
      <c r="N1174" s="1"/>
      <c r="O1174" s="1"/>
    </row>
    <row r="1175" spans="1:15" ht="37.5">
      <c r="A1175" s="1">
        <v>215</v>
      </c>
      <c r="B1175" s="1"/>
      <c r="C1175" s="716" t="s">
        <v>1560</v>
      </c>
      <c r="D1175" s="709" t="s">
        <v>2</v>
      </c>
      <c r="E1175" s="8">
        <v>3750</v>
      </c>
      <c r="F1175" s="710">
        <v>1</v>
      </c>
      <c r="G1175" s="1">
        <f t="shared" si="65"/>
        <v>3750</v>
      </c>
      <c r="H1175" s="1"/>
      <c r="I1175" s="1"/>
      <c r="J1175" s="1"/>
      <c r="K1175" s="1"/>
      <c r="L1175" s="1"/>
      <c r="M1175" s="1"/>
      <c r="N1175" s="1"/>
      <c r="O1175" s="1"/>
    </row>
    <row r="1176" spans="1:15" ht="18.75">
      <c r="A1176" s="1">
        <v>216</v>
      </c>
      <c r="B1176" s="1"/>
      <c r="C1176" s="716" t="s">
        <v>1561</v>
      </c>
      <c r="D1176" s="709" t="s">
        <v>2</v>
      </c>
      <c r="E1176" s="8">
        <v>8755</v>
      </c>
      <c r="F1176" s="710">
        <v>1</v>
      </c>
      <c r="G1176" s="1">
        <f t="shared" si="65"/>
        <v>8755</v>
      </c>
      <c r="H1176" s="1"/>
      <c r="I1176" s="1"/>
      <c r="J1176" s="1"/>
      <c r="K1176" s="1"/>
      <c r="L1176" s="1"/>
      <c r="M1176" s="1"/>
      <c r="N1176" s="1"/>
      <c r="O1176" s="1"/>
    </row>
    <row r="1177" spans="1:15" ht="18.75">
      <c r="A1177" s="1">
        <v>217</v>
      </c>
      <c r="B1177" s="1"/>
      <c r="C1177" s="716" t="s">
        <v>1562</v>
      </c>
      <c r="D1177" s="709" t="s">
        <v>2</v>
      </c>
      <c r="E1177" s="8">
        <v>1980</v>
      </c>
      <c r="F1177" s="710">
        <v>1</v>
      </c>
      <c r="G1177" s="1">
        <f t="shared" si="65"/>
        <v>1980</v>
      </c>
      <c r="H1177" s="1"/>
      <c r="I1177" s="1"/>
      <c r="J1177" s="1"/>
      <c r="K1177" s="1"/>
      <c r="L1177" s="1"/>
      <c r="M1177" s="1"/>
      <c r="N1177" s="1"/>
      <c r="O1177" s="1"/>
    </row>
    <row r="1178" spans="1:15" ht="18.75">
      <c r="A1178" s="1">
        <v>218</v>
      </c>
      <c r="B1178" s="1"/>
      <c r="C1178" s="708" t="s">
        <v>1563</v>
      </c>
      <c r="D1178" s="709" t="s">
        <v>2</v>
      </c>
      <c r="E1178" s="8">
        <v>46558</v>
      </c>
      <c r="F1178" s="710">
        <v>1</v>
      </c>
      <c r="G1178" s="1">
        <f t="shared" si="65"/>
        <v>46558</v>
      </c>
      <c r="H1178" s="1"/>
      <c r="I1178" s="1"/>
      <c r="J1178" s="1"/>
      <c r="K1178" s="1"/>
      <c r="L1178" s="1"/>
      <c r="M1178" s="1"/>
      <c r="N1178" s="1"/>
      <c r="O1178" s="1"/>
    </row>
    <row r="1179" spans="1:15" ht="18.75">
      <c r="A1179" s="1">
        <v>219</v>
      </c>
      <c r="B1179" s="1"/>
      <c r="C1179" s="708" t="s">
        <v>1564</v>
      </c>
      <c r="D1179" s="709" t="s">
        <v>2</v>
      </c>
      <c r="E1179" s="8">
        <v>26445</v>
      </c>
      <c r="F1179" s="710">
        <v>1</v>
      </c>
      <c r="G1179" s="1">
        <f t="shared" si="65"/>
        <v>26445</v>
      </c>
      <c r="H1179" s="1"/>
      <c r="I1179" s="1"/>
      <c r="J1179" s="1"/>
      <c r="K1179" s="1"/>
      <c r="L1179" s="1"/>
      <c r="M1179" s="1"/>
      <c r="N1179" s="1"/>
      <c r="O1179" s="1"/>
    </row>
    <row r="1180" spans="1:15" ht="18.75">
      <c r="A1180" s="1">
        <v>220</v>
      </c>
      <c r="B1180" s="1"/>
      <c r="C1180" s="708" t="s">
        <v>1565</v>
      </c>
      <c r="D1180" s="709" t="s">
        <v>10</v>
      </c>
      <c r="E1180" s="8">
        <v>9098</v>
      </c>
      <c r="F1180" s="710">
        <v>1</v>
      </c>
      <c r="G1180" s="1">
        <f t="shared" si="65"/>
        <v>9098</v>
      </c>
      <c r="H1180" s="1"/>
      <c r="I1180" s="1"/>
      <c r="J1180" s="1"/>
      <c r="K1180" s="1"/>
      <c r="L1180" s="1"/>
      <c r="M1180" s="1"/>
      <c r="N1180" s="1"/>
      <c r="O1180" s="1"/>
    </row>
    <row r="1181" spans="1:15" ht="18.75">
      <c r="A1181" s="1">
        <v>221</v>
      </c>
      <c r="B1181" s="1"/>
      <c r="C1181" s="708" t="s">
        <v>1566</v>
      </c>
      <c r="D1181" s="709" t="s">
        <v>10</v>
      </c>
      <c r="E1181" s="8">
        <v>22557</v>
      </c>
      <c r="F1181" s="710">
        <v>1</v>
      </c>
      <c r="G1181" s="1">
        <f t="shared" si="65"/>
        <v>22557</v>
      </c>
      <c r="H1181" s="1"/>
      <c r="I1181" s="1"/>
      <c r="J1181" s="1"/>
      <c r="K1181" s="1"/>
      <c r="L1181" s="1"/>
      <c r="M1181" s="1"/>
      <c r="N1181" s="1"/>
      <c r="O1181" s="1"/>
    </row>
    <row r="1182" spans="1:15" ht="56.25">
      <c r="A1182" s="1">
        <v>222</v>
      </c>
      <c r="B1182" s="1"/>
      <c r="C1182" s="708" t="s">
        <v>1567</v>
      </c>
      <c r="D1182" s="709" t="s">
        <v>2</v>
      </c>
      <c r="E1182" s="8">
        <v>25664</v>
      </c>
      <c r="F1182" s="710">
        <v>1</v>
      </c>
      <c r="G1182" s="1">
        <f t="shared" si="65"/>
        <v>25664</v>
      </c>
      <c r="H1182" s="1"/>
      <c r="I1182" s="1"/>
      <c r="J1182" s="1"/>
      <c r="K1182" s="1"/>
      <c r="L1182" s="1"/>
      <c r="M1182" s="1"/>
      <c r="N1182" s="1"/>
      <c r="O1182" s="1"/>
    </row>
    <row r="1183" spans="1:15" ht="18.75">
      <c r="A1183" s="1">
        <v>223</v>
      </c>
      <c r="B1183" s="1"/>
      <c r="C1183" s="708" t="s">
        <v>1568</v>
      </c>
      <c r="D1183" s="709" t="s">
        <v>2</v>
      </c>
      <c r="E1183" s="8">
        <v>2022</v>
      </c>
      <c r="F1183" s="710">
        <v>1</v>
      </c>
      <c r="G1183" s="1">
        <f t="shared" si="65"/>
        <v>2022</v>
      </c>
      <c r="H1183" s="1"/>
      <c r="I1183" s="1"/>
      <c r="J1183" s="1"/>
      <c r="K1183" s="1"/>
      <c r="L1183" s="1"/>
      <c r="M1183" s="1"/>
      <c r="N1183" s="1"/>
      <c r="O1183" s="1"/>
    </row>
    <row r="1184" spans="1:15" ht="18.75">
      <c r="A1184" s="1">
        <v>224</v>
      </c>
      <c r="B1184" s="1"/>
      <c r="C1184" s="708" t="s">
        <v>1569</v>
      </c>
      <c r="D1184" s="709" t="s">
        <v>2</v>
      </c>
      <c r="E1184" s="8">
        <v>28776</v>
      </c>
      <c r="F1184" s="710">
        <v>1</v>
      </c>
      <c r="G1184" s="1">
        <f t="shared" si="65"/>
        <v>28776</v>
      </c>
      <c r="H1184" s="1"/>
      <c r="I1184" s="1"/>
      <c r="J1184" s="1"/>
      <c r="K1184" s="1"/>
      <c r="L1184" s="1"/>
      <c r="M1184" s="1"/>
      <c r="N1184" s="1"/>
      <c r="O1184" s="1"/>
    </row>
    <row r="1185" spans="1:15" ht="37.5">
      <c r="A1185" s="1">
        <v>225</v>
      </c>
      <c r="B1185" s="1"/>
      <c r="C1185" s="708" t="s">
        <v>1570</v>
      </c>
      <c r="D1185" s="709" t="s">
        <v>2</v>
      </c>
      <c r="E1185" s="8">
        <v>1899</v>
      </c>
      <c r="F1185" s="710">
        <v>10</v>
      </c>
      <c r="G1185" s="1">
        <f t="shared" si="65"/>
        <v>18990</v>
      </c>
      <c r="H1185" s="1"/>
      <c r="I1185" s="1"/>
      <c r="J1185" s="1"/>
      <c r="K1185" s="1"/>
      <c r="L1185" s="1"/>
      <c r="M1185" s="1"/>
      <c r="N1185" s="1"/>
      <c r="O1185" s="1"/>
    </row>
    <row r="1186" spans="1:15" ht="18.75">
      <c r="A1186" s="1">
        <v>226</v>
      </c>
      <c r="B1186" s="1"/>
      <c r="C1186" s="708" t="s">
        <v>1571</v>
      </c>
      <c r="D1186" s="709" t="s">
        <v>2</v>
      </c>
      <c r="E1186" s="8">
        <v>1123</v>
      </c>
      <c r="F1186" s="710">
        <v>6</v>
      </c>
      <c r="G1186" s="1">
        <f t="shared" si="65"/>
        <v>6738</v>
      </c>
      <c r="H1186" s="1"/>
      <c r="I1186" s="1"/>
      <c r="J1186" s="1"/>
      <c r="K1186" s="1"/>
      <c r="L1186" s="1"/>
      <c r="M1186" s="1"/>
      <c r="N1186" s="1"/>
      <c r="O1186" s="1"/>
    </row>
    <row r="1187" spans="1:15" ht="37.5">
      <c r="A1187" s="1">
        <v>227</v>
      </c>
      <c r="B1187" s="1"/>
      <c r="C1187" s="708" t="s">
        <v>1572</v>
      </c>
      <c r="D1187" s="717" t="s">
        <v>1529</v>
      </c>
      <c r="E1187" s="8">
        <v>22323</v>
      </c>
      <c r="F1187" s="710">
        <v>1</v>
      </c>
      <c r="G1187" s="1">
        <f t="shared" si="65"/>
        <v>22323</v>
      </c>
      <c r="H1187" s="1"/>
      <c r="I1187" s="1"/>
      <c r="J1187" s="1"/>
      <c r="K1187" s="1"/>
      <c r="L1187" s="1"/>
      <c r="M1187" s="1"/>
      <c r="N1187" s="1"/>
      <c r="O1187" s="1"/>
    </row>
    <row r="1188" spans="1:15" ht="18.75">
      <c r="A1188" s="1">
        <v>228</v>
      </c>
      <c r="B1188" s="1"/>
      <c r="C1188" s="708" t="s">
        <v>1573</v>
      </c>
      <c r="D1188" s="709" t="s">
        <v>2</v>
      </c>
      <c r="E1188" s="8">
        <v>34600</v>
      </c>
      <c r="F1188" s="710">
        <v>2</v>
      </c>
      <c r="G1188" s="1">
        <f t="shared" si="65"/>
        <v>69200</v>
      </c>
      <c r="H1188" s="1"/>
      <c r="I1188" s="1"/>
      <c r="J1188" s="1"/>
      <c r="K1188" s="1"/>
      <c r="L1188" s="1"/>
      <c r="M1188" s="1"/>
      <c r="N1188" s="1"/>
      <c r="O1188" s="1"/>
    </row>
    <row r="1189" spans="1:15" ht="37.5">
      <c r="A1189" s="1">
        <v>229</v>
      </c>
      <c r="B1189" s="1"/>
      <c r="C1189" s="711" t="s">
        <v>1574</v>
      </c>
      <c r="D1189" s="717" t="s">
        <v>2</v>
      </c>
      <c r="E1189" s="8">
        <v>32996</v>
      </c>
      <c r="F1189" s="710">
        <v>2</v>
      </c>
      <c r="G1189" s="1">
        <f t="shared" si="65"/>
        <v>65992</v>
      </c>
      <c r="H1189" s="1"/>
      <c r="I1189" s="1"/>
      <c r="J1189" s="1"/>
      <c r="K1189" s="1"/>
      <c r="L1189" s="1"/>
      <c r="M1189" s="1"/>
      <c r="N1189" s="1"/>
      <c r="O1189" s="1"/>
    </row>
    <row r="1190" spans="1:15" ht="18.75">
      <c r="A1190" s="1">
        <v>230</v>
      </c>
      <c r="B1190" s="1"/>
      <c r="C1190" s="711" t="s">
        <v>1575</v>
      </c>
      <c r="D1190" s="717" t="s">
        <v>1529</v>
      </c>
      <c r="E1190" s="8">
        <v>28996</v>
      </c>
      <c r="F1190" s="710">
        <v>2</v>
      </c>
      <c r="G1190" s="1">
        <f t="shared" si="65"/>
        <v>57992</v>
      </c>
      <c r="H1190" s="1"/>
      <c r="I1190" s="1"/>
      <c r="J1190" s="1"/>
      <c r="K1190" s="1"/>
      <c r="L1190" s="1"/>
      <c r="M1190" s="1"/>
      <c r="N1190" s="1"/>
      <c r="O1190" s="1"/>
    </row>
    <row r="1191" spans="1:15" ht="37.5">
      <c r="A1191" s="1">
        <v>231</v>
      </c>
      <c r="B1191" s="1"/>
      <c r="C1191" s="708" t="s">
        <v>1576</v>
      </c>
      <c r="D1191" s="717" t="s">
        <v>1529</v>
      </c>
      <c r="E1191" s="8">
        <v>26556</v>
      </c>
      <c r="F1191" s="710">
        <v>1</v>
      </c>
      <c r="G1191" s="1">
        <f t="shared" si="65"/>
        <v>26556</v>
      </c>
      <c r="H1191" s="1"/>
      <c r="I1191" s="1"/>
      <c r="J1191" s="1"/>
      <c r="K1191" s="1"/>
      <c r="L1191" s="1"/>
      <c r="M1191" s="1"/>
      <c r="N1191" s="1"/>
      <c r="O1191" s="1"/>
    </row>
    <row r="1192" spans="1:15" ht="37.5">
      <c r="A1192" s="1">
        <v>232</v>
      </c>
      <c r="B1192" s="1"/>
      <c r="C1192" s="708" t="s">
        <v>1577</v>
      </c>
      <c r="D1192" s="717" t="s">
        <v>1529</v>
      </c>
      <c r="E1192" s="8">
        <v>26223</v>
      </c>
      <c r="F1192" s="710">
        <v>1</v>
      </c>
      <c r="G1192" s="1">
        <f t="shared" si="65"/>
        <v>26223</v>
      </c>
      <c r="H1192" s="1"/>
      <c r="I1192" s="1"/>
      <c r="J1192" s="1"/>
      <c r="K1192" s="1"/>
      <c r="L1192" s="1"/>
      <c r="M1192" s="1"/>
      <c r="N1192" s="1"/>
      <c r="O1192" s="1"/>
    </row>
    <row r="1193" spans="1:15" ht="37.5">
      <c r="A1193" s="1">
        <v>233</v>
      </c>
      <c r="B1193" s="1"/>
      <c r="C1193" s="708" t="s">
        <v>1578</v>
      </c>
      <c r="D1193" s="718" t="s">
        <v>2</v>
      </c>
      <c r="E1193" s="8">
        <v>810</v>
      </c>
      <c r="F1193" s="710">
        <v>1</v>
      </c>
      <c r="G1193" s="1">
        <f t="shared" si="65"/>
        <v>810</v>
      </c>
      <c r="H1193" s="1"/>
      <c r="I1193" s="1"/>
      <c r="J1193" s="1"/>
      <c r="K1193" s="1"/>
      <c r="L1193" s="1"/>
      <c r="M1193" s="1"/>
      <c r="N1193" s="1"/>
      <c r="O1193" s="1"/>
    </row>
    <row r="1194" spans="1:15" ht="37.5">
      <c r="A1194" s="1">
        <v>234</v>
      </c>
      <c r="B1194" s="1"/>
      <c r="C1194" s="708" t="s">
        <v>1579</v>
      </c>
      <c r="D1194" s="718" t="s">
        <v>2</v>
      </c>
      <c r="E1194" s="8">
        <v>810</v>
      </c>
      <c r="F1194" s="714">
        <v>1</v>
      </c>
      <c r="G1194" s="1">
        <f t="shared" si="65"/>
        <v>810</v>
      </c>
      <c r="H1194" s="1"/>
      <c r="I1194" s="1"/>
      <c r="J1194" s="1"/>
      <c r="K1194" s="1"/>
      <c r="L1194" s="1"/>
      <c r="M1194" s="1"/>
      <c r="N1194" s="1"/>
      <c r="O1194" s="1"/>
    </row>
    <row r="1195" spans="1:15" ht="37.5">
      <c r="A1195" s="1">
        <v>235</v>
      </c>
      <c r="B1195" s="1"/>
      <c r="C1195" s="711" t="s">
        <v>1580</v>
      </c>
      <c r="D1195" s="718" t="s">
        <v>2</v>
      </c>
      <c r="E1195" s="8">
        <v>810</v>
      </c>
      <c r="F1195" s="710">
        <v>1</v>
      </c>
      <c r="G1195" s="1">
        <f t="shared" si="65"/>
        <v>810</v>
      </c>
      <c r="H1195" s="1"/>
      <c r="I1195" s="1"/>
      <c r="J1195" s="1"/>
      <c r="K1195" s="1"/>
      <c r="L1195" s="1"/>
      <c r="M1195" s="1"/>
      <c r="N1195" s="1"/>
      <c r="O1195" s="1"/>
    </row>
    <row r="1196" spans="1:15" ht="37.5">
      <c r="A1196" s="1">
        <v>236</v>
      </c>
      <c r="B1196" s="1"/>
      <c r="C1196" s="711" t="s">
        <v>1581</v>
      </c>
      <c r="D1196" s="718" t="s">
        <v>2</v>
      </c>
      <c r="E1196" s="8">
        <v>5220</v>
      </c>
      <c r="F1196" s="710">
        <v>1</v>
      </c>
      <c r="G1196" s="1">
        <f t="shared" si="65"/>
        <v>5220</v>
      </c>
      <c r="H1196" s="695"/>
      <c r="I1196" s="1"/>
      <c r="J1196" s="1"/>
      <c r="K1196" s="1"/>
      <c r="L1196" s="1"/>
      <c r="M1196" s="1"/>
      <c r="N1196" s="1"/>
      <c r="O1196" s="1"/>
    </row>
    <row r="1197" spans="1:15" ht="56.25">
      <c r="A1197" s="1">
        <v>237</v>
      </c>
      <c r="B1197" s="1"/>
      <c r="C1197" s="711" t="s">
        <v>1582</v>
      </c>
      <c r="D1197" s="718" t="s">
        <v>2</v>
      </c>
      <c r="E1197" s="8">
        <v>5220</v>
      </c>
      <c r="F1197" s="719">
        <v>1</v>
      </c>
      <c r="G1197" s="1">
        <f t="shared" si="65"/>
        <v>5220</v>
      </c>
      <c r="H1197" s="1"/>
      <c r="I1197" s="1"/>
      <c r="J1197" s="1"/>
      <c r="K1197" s="1"/>
      <c r="L1197" s="1"/>
      <c r="M1197" s="1"/>
      <c r="N1197" s="1"/>
      <c r="O1197" s="1"/>
    </row>
    <row r="1198" spans="1:15" ht="56.25">
      <c r="A1198" s="1">
        <v>238</v>
      </c>
      <c r="B1198" s="1"/>
      <c r="C1198" s="711" t="s">
        <v>1583</v>
      </c>
      <c r="D1198" s="718" t="s">
        <v>2</v>
      </c>
      <c r="E1198" s="8">
        <v>2430</v>
      </c>
      <c r="F1198" s="710">
        <v>1</v>
      </c>
      <c r="G1198" s="1">
        <f t="shared" si="65"/>
        <v>2430</v>
      </c>
      <c r="H1198" s="1"/>
      <c r="I1198" s="1"/>
      <c r="J1198" s="1"/>
      <c r="K1198" s="1"/>
      <c r="L1198" s="1"/>
      <c r="M1198" s="1"/>
      <c r="N1198" s="1"/>
      <c r="O1198" s="1"/>
    </row>
    <row r="1199" spans="1:15" ht="37.5">
      <c r="A1199" s="1">
        <v>239</v>
      </c>
      <c r="B1199" s="1"/>
      <c r="C1199" s="711" t="s">
        <v>1584</v>
      </c>
      <c r="D1199" s="718" t="s">
        <v>2</v>
      </c>
      <c r="E1199" s="8">
        <v>5220</v>
      </c>
      <c r="F1199" s="710">
        <v>2</v>
      </c>
      <c r="G1199" s="1">
        <f t="shared" si="65"/>
        <v>10440</v>
      </c>
      <c r="H1199" s="695"/>
      <c r="I1199" s="1"/>
      <c r="J1199" s="1"/>
      <c r="K1199" s="1"/>
      <c r="L1199" s="1"/>
      <c r="M1199" s="1"/>
      <c r="N1199" s="1"/>
      <c r="O1199" s="1"/>
    </row>
    <row r="1200" spans="1:15" ht="56.25">
      <c r="A1200" s="1">
        <v>240</v>
      </c>
      <c r="B1200" s="1"/>
      <c r="C1200" s="711" t="s">
        <v>1585</v>
      </c>
      <c r="D1200" s="718" t="s">
        <v>2</v>
      </c>
      <c r="E1200" s="8">
        <v>810</v>
      </c>
      <c r="F1200" s="710">
        <v>3</v>
      </c>
      <c r="G1200" s="1">
        <f t="shared" si="65"/>
        <v>2430</v>
      </c>
      <c r="H1200" s="1"/>
      <c r="I1200" s="1"/>
      <c r="J1200" s="1"/>
      <c r="K1200" s="1"/>
      <c r="L1200" s="1"/>
      <c r="M1200" s="1"/>
      <c r="N1200" s="1"/>
      <c r="O1200" s="1"/>
    </row>
    <row r="1201" spans="1:15" ht="37.5">
      <c r="A1201" s="1">
        <v>241</v>
      </c>
      <c r="B1201" s="1"/>
      <c r="C1201" s="711" t="s">
        <v>1586</v>
      </c>
      <c r="D1201" s="718" t="s">
        <v>2</v>
      </c>
      <c r="E1201" s="8">
        <v>1620</v>
      </c>
      <c r="F1201" s="710">
        <v>3</v>
      </c>
      <c r="G1201" s="1">
        <f t="shared" si="65"/>
        <v>4860</v>
      </c>
      <c r="H1201" s="1"/>
      <c r="I1201" s="1"/>
      <c r="J1201" s="1"/>
      <c r="K1201" s="1"/>
      <c r="L1201" s="1"/>
      <c r="M1201" s="1"/>
      <c r="N1201" s="1"/>
      <c r="O1201" s="1"/>
    </row>
    <row r="1202" spans="1:15" ht="37.5">
      <c r="A1202" s="1">
        <v>242</v>
      </c>
      <c r="B1202" s="1"/>
      <c r="C1202" s="711" t="s">
        <v>1587</v>
      </c>
      <c r="D1202" s="718" t="s">
        <v>2</v>
      </c>
      <c r="E1202" s="8">
        <v>6480</v>
      </c>
      <c r="F1202" s="710">
        <v>1</v>
      </c>
      <c r="G1202" s="1">
        <f t="shared" si="65"/>
        <v>6480</v>
      </c>
      <c r="H1202" s="1"/>
      <c r="I1202" s="1"/>
      <c r="J1202" s="1"/>
      <c r="K1202" s="1"/>
      <c r="L1202" s="1"/>
      <c r="M1202" s="1"/>
      <c r="N1202" s="1"/>
      <c r="O1202" s="1"/>
    </row>
    <row r="1203" spans="1:15" ht="37.5">
      <c r="A1203" s="1">
        <v>243</v>
      </c>
      <c r="B1203" s="1"/>
      <c r="C1203" s="711" t="s">
        <v>1588</v>
      </c>
      <c r="D1203" s="718" t="s">
        <v>2</v>
      </c>
      <c r="E1203" s="8">
        <v>1080</v>
      </c>
      <c r="F1203" s="714">
        <v>0</v>
      </c>
      <c r="G1203" s="1">
        <f t="shared" si="65"/>
        <v>0</v>
      </c>
      <c r="H1203" s="695"/>
      <c r="I1203" s="1"/>
      <c r="J1203" s="1"/>
      <c r="K1203" s="1"/>
      <c r="L1203" s="1"/>
      <c r="M1203" s="1"/>
      <c r="N1203" s="1"/>
      <c r="O1203" s="1"/>
    </row>
    <row r="1204" spans="1:15" ht="18.75">
      <c r="A1204" s="1">
        <v>244</v>
      </c>
      <c r="B1204" s="1"/>
      <c r="C1204" s="711" t="s">
        <v>1589</v>
      </c>
      <c r="D1204" s="718" t="s">
        <v>2</v>
      </c>
      <c r="E1204" s="8">
        <v>1530</v>
      </c>
      <c r="F1204" s="710">
        <v>3</v>
      </c>
      <c r="G1204" s="1">
        <f t="shared" si="65"/>
        <v>4590</v>
      </c>
      <c r="H1204" s="1"/>
      <c r="I1204" s="1"/>
      <c r="J1204" s="1"/>
      <c r="K1204" s="1"/>
      <c r="L1204" s="1"/>
      <c r="M1204" s="1"/>
      <c r="N1204" s="1"/>
      <c r="O1204" s="1"/>
    </row>
    <row r="1205" spans="1:15" ht="18.75">
      <c r="A1205" s="1">
        <v>245</v>
      </c>
      <c r="B1205" s="1"/>
      <c r="C1205" s="711" t="s">
        <v>1590</v>
      </c>
      <c r="D1205" s="718" t="s">
        <v>2</v>
      </c>
      <c r="E1205" s="8">
        <v>1935</v>
      </c>
      <c r="F1205" s="714">
        <v>3</v>
      </c>
      <c r="G1205" s="1">
        <f t="shared" si="65"/>
        <v>5805</v>
      </c>
      <c r="H1205" s="1"/>
      <c r="I1205" s="1"/>
      <c r="J1205" s="1"/>
      <c r="K1205" s="1"/>
      <c r="L1205" s="1"/>
      <c r="M1205" s="1"/>
      <c r="N1205" s="1"/>
      <c r="O1205" s="1"/>
    </row>
    <row r="1206" spans="1:15" ht="37.5">
      <c r="A1206" s="1">
        <v>246</v>
      </c>
      <c r="B1206" s="1"/>
      <c r="C1206" s="711" t="s">
        <v>1591</v>
      </c>
      <c r="D1206" s="718" t="s">
        <v>2</v>
      </c>
      <c r="E1206" s="8">
        <v>16020</v>
      </c>
      <c r="F1206" s="710">
        <v>3</v>
      </c>
      <c r="G1206" s="1">
        <f t="shared" si="65"/>
        <v>48060</v>
      </c>
      <c r="H1206" s="1"/>
      <c r="I1206" s="1"/>
      <c r="J1206" s="1"/>
      <c r="K1206" s="1"/>
      <c r="L1206" s="1"/>
      <c r="M1206" s="1"/>
      <c r="N1206" s="1"/>
      <c r="O1206" s="1"/>
    </row>
    <row r="1207" spans="1:15" ht="18.75">
      <c r="A1207" s="1">
        <v>247</v>
      </c>
      <c r="B1207" s="1"/>
      <c r="C1207" s="711" t="s">
        <v>1592</v>
      </c>
      <c r="D1207" s="718" t="s">
        <v>2</v>
      </c>
      <c r="E1207" s="8">
        <v>14220</v>
      </c>
      <c r="F1207" s="710">
        <v>3</v>
      </c>
      <c r="G1207" s="1">
        <f t="shared" si="65"/>
        <v>42660</v>
      </c>
      <c r="H1207" s="1"/>
      <c r="I1207" s="1"/>
      <c r="J1207" s="1"/>
      <c r="K1207" s="1"/>
      <c r="L1207" s="1"/>
      <c r="M1207" s="1"/>
      <c r="N1207" s="1"/>
      <c r="O1207" s="1"/>
    </row>
    <row r="1208" spans="1:15" ht="18.75">
      <c r="A1208" s="1">
        <v>248</v>
      </c>
      <c r="B1208" s="1"/>
      <c r="C1208" s="711" t="s">
        <v>1593</v>
      </c>
      <c r="D1208" s="718" t="s">
        <v>2</v>
      </c>
      <c r="E1208" s="8">
        <v>6300</v>
      </c>
      <c r="F1208" s="710">
        <v>1</v>
      </c>
      <c r="G1208" s="1">
        <f t="shared" si="65"/>
        <v>6300</v>
      </c>
      <c r="H1208" s="1"/>
      <c r="I1208" s="1"/>
      <c r="J1208" s="1"/>
      <c r="K1208" s="1"/>
      <c r="L1208" s="1"/>
      <c r="M1208" s="1"/>
      <c r="N1208" s="1"/>
      <c r="O1208" s="1"/>
    </row>
    <row r="1209" spans="1:15" ht="18.75">
      <c r="A1209" s="1">
        <v>249</v>
      </c>
      <c r="B1209" s="1"/>
      <c r="C1209" s="711" t="s">
        <v>1594</v>
      </c>
      <c r="D1209" s="718" t="s">
        <v>2</v>
      </c>
      <c r="E1209" s="8">
        <v>5940</v>
      </c>
      <c r="F1209" s="710">
        <v>3</v>
      </c>
      <c r="G1209" s="1">
        <f t="shared" si="65"/>
        <v>17820</v>
      </c>
      <c r="H1209" s="1"/>
      <c r="I1209" s="1"/>
      <c r="J1209" s="1"/>
      <c r="K1209" s="1"/>
      <c r="L1209" s="1"/>
      <c r="M1209" s="1"/>
      <c r="N1209" s="1"/>
      <c r="O1209" s="1"/>
    </row>
    <row r="1210" spans="1:15" ht="18.75">
      <c r="A1210" s="1">
        <v>250</v>
      </c>
      <c r="B1210" s="1"/>
      <c r="C1210" s="708" t="s">
        <v>1595</v>
      </c>
      <c r="D1210" s="718" t="s">
        <v>2</v>
      </c>
      <c r="E1210" s="8">
        <v>5940</v>
      </c>
      <c r="F1210" s="714">
        <v>1</v>
      </c>
      <c r="G1210" s="1">
        <f t="shared" si="65"/>
        <v>5940</v>
      </c>
      <c r="H1210" s="1"/>
      <c r="I1210" s="1"/>
      <c r="J1210" s="1"/>
      <c r="K1210" s="1"/>
      <c r="L1210" s="1"/>
      <c r="M1210" s="1"/>
      <c r="N1210" s="1"/>
      <c r="O1210" s="1"/>
    </row>
    <row r="1211" spans="1:15" ht="37.5">
      <c r="A1211" s="1">
        <v>251</v>
      </c>
      <c r="B1211" s="1"/>
      <c r="C1211" s="711" t="s">
        <v>1596</v>
      </c>
      <c r="D1211" s="718" t="s">
        <v>2</v>
      </c>
      <c r="E1211" s="8">
        <v>1380.6</v>
      </c>
      <c r="F1211" s="714">
        <v>2</v>
      </c>
      <c r="G1211" s="1">
        <f t="shared" si="65"/>
        <v>2761.2</v>
      </c>
      <c r="H1211" s="1"/>
      <c r="I1211" s="1"/>
      <c r="J1211" s="1"/>
      <c r="K1211" s="1"/>
      <c r="L1211" s="1"/>
      <c r="M1211" s="1"/>
      <c r="N1211" s="1"/>
      <c r="O1211" s="1"/>
    </row>
    <row r="1212" spans="1:15" ht="37.5">
      <c r="A1212" s="1">
        <v>252</v>
      </c>
      <c r="B1212" s="1"/>
      <c r="C1212" s="708" t="s">
        <v>1597</v>
      </c>
      <c r="D1212" s="718" t="s">
        <v>2</v>
      </c>
      <c r="E1212" s="8">
        <v>2678.6</v>
      </c>
      <c r="F1212" s="710">
        <v>4</v>
      </c>
      <c r="G1212" s="1">
        <f t="shared" si="65"/>
        <v>10714.4</v>
      </c>
      <c r="H1212" s="1"/>
      <c r="I1212" s="1"/>
      <c r="J1212" s="1"/>
      <c r="K1212" s="1"/>
      <c r="L1212" s="1"/>
      <c r="M1212" s="1"/>
      <c r="N1212" s="1"/>
      <c r="O1212" s="1"/>
    </row>
    <row r="1213" spans="1:15" ht="18.75">
      <c r="A1213" s="1">
        <v>253</v>
      </c>
      <c r="B1213" s="1"/>
      <c r="C1213" s="711" t="s">
        <v>1598</v>
      </c>
      <c r="D1213" s="718" t="s">
        <v>2</v>
      </c>
      <c r="E1213" s="8">
        <v>5940</v>
      </c>
      <c r="F1213" s="710">
        <v>1</v>
      </c>
      <c r="G1213" s="1">
        <f t="shared" si="65"/>
        <v>5940</v>
      </c>
      <c r="H1213" s="1"/>
      <c r="I1213" s="1"/>
      <c r="J1213" s="1"/>
      <c r="K1213" s="1"/>
      <c r="L1213" s="1"/>
      <c r="M1213" s="1"/>
      <c r="N1213" s="1"/>
      <c r="O1213" s="1"/>
    </row>
    <row r="1214" spans="1:15" ht="37.5">
      <c r="A1214" s="1">
        <v>254</v>
      </c>
      <c r="B1214" s="1"/>
      <c r="C1214" s="708" t="s">
        <v>1599</v>
      </c>
      <c r="D1214" s="718" t="s">
        <v>2</v>
      </c>
      <c r="E1214" s="8">
        <v>4680</v>
      </c>
      <c r="F1214" s="710">
        <v>2</v>
      </c>
      <c r="G1214" s="1">
        <f t="shared" si="65"/>
        <v>9360</v>
      </c>
      <c r="H1214" s="1"/>
      <c r="I1214" s="1"/>
      <c r="J1214" s="1"/>
      <c r="K1214" s="1"/>
      <c r="L1214" s="1"/>
      <c r="M1214" s="1"/>
      <c r="N1214" s="1"/>
      <c r="O1214" s="1"/>
    </row>
    <row r="1215" spans="1:15" ht="37.5">
      <c r="A1215" s="1">
        <v>255</v>
      </c>
      <c r="B1215" s="1"/>
      <c r="C1215" s="711" t="s">
        <v>1600</v>
      </c>
      <c r="D1215" s="718" t="s">
        <v>2</v>
      </c>
      <c r="E1215" s="8">
        <v>1764</v>
      </c>
      <c r="F1215" s="714">
        <v>4</v>
      </c>
      <c r="G1215" s="1">
        <f t="shared" si="65"/>
        <v>7056</v>
      </c>
      <c r="H1215" s="1"/>
      <c r="I1215" s="1"/>
      <c r="J1215" s="1"/>
      <c r="K1215" s="1"/>
      <c r="L1215" s="1"/>
      <c r="M1215" s="1"/>
      <c r="N1215" s="1"/>
      <c r="O1215" s="1"/>
    </row>
    <row r="1216" spans="1:15" ht="18.75">
      <c r="A1216" s="1">
        <v>256</v>
      </c>
      <c r="B1216" s="1"/>
      <c r="C1216" s="708" t="s">
        <v>1601</v>
      </c>
      <c r="D1216" s="718" t="s">
        <v>2</v>
      </c>
      <c r="E1216" s="8">
        <v>1044</v>
      </c>
      <c r="F1216" s="710">
        <v>3</v>
      </c>
      <c r="G1216" s="1">
        <f t="shared" si="65"/>
        <v>3132</v>
      </c>
      <c r="H1216" s="1"/>
      <c r="I1216" s="1"/>
      <c r="J1216" s="1"/>
      <c r="K1216" s="1"/>
      <c r="L1216" s="1"/>
      <c r="M1216" s="1"/>
      <c r="N1216" s="1"/>
      <c r="O1216" s="1"/>
    </row>
    <row r="1217" spans="1:15" ht="37.5">
      <c r="A1217" s="1">
        <v>257</v>
      </c>
      <c r="B1217" s="1"/>
      <c r="C1217" s="708" t="s">
        <v>1602</v>
      </c>
      <c r="D1217" s="718" t="s">
        <v>2</v>
      </c>
      <c r="E1217" s="8">
        <v>2070</v>
      </c>
      <c r="F1217" s="710">
        <v>2</v>
      </c>
      <c r="G1217" s="1">
        <f t="shared" si="65"/>
        <v>4140</v>
      </c>
      <c r="H1217" s="1"/>
      <c r="I1217" s="1"/>
      <c r="J1217" s="1"/>
      <c r="K1217" s="1"/>
      <c r="L1217" s="1"/>
      <c r="M1217" s="1"/>
      <c r="N1217" s="1"/>
      <c r="O1217" s="1"/>
    </row>
    <row r="1218" spans="1:15" ht="37.5">
      <c r="A1218" s="1">
        <v>258</v>
      </c>
      <c r="B1218" s="1"/>
      <c r="C1218" s="708" t="s">
        <v>1603</v>
      </c>
      <c r="D1218" s="718" t="s">
        <v>2</v>
      </c>
      <c r="E1218" s="8">
        <v>4680</v>
      </c>
      <c r="F1218" s="710">
        <v>2</v>
      </c>
      <c r="G1218" s="1">
        <f t="shared" si="65"/>
        <v>9360</v>
      </c>
      <c r="H1218" s="1"/>
      <c r="I1218" s="1"/>
      <c r="J1218" s="1"/>
      <c r="K1218" s="1"/>
      <c r="L1218" s="1"/>
      <c r="M1218" s="1"/>
      <c r="N1218" s="1"/>
      <c r="O1218" s="1"/>
    </row>
    <row r="1219" spans="1:15" ht="56.25">
      <c r="A1219" s="1">
        <v>259</v>
      </c>
      <c r="B1219" s="1"/>
      <c r="C1219" s="708" t="s">
        <v>1604</v>
      </c>
      <c r="D1219" s="718" t="s">
        <v>2</v>
      </c>
      <c r="E1219" s="8">
        <v>1980</v>
      </c>
      <c r="F1219" s="710">
        <v>1</v>
      </c>
      <c r="G1219" s="1">
        <f t="shared" ref="G1219:G1282" si="66">E1219*F1219</f>
        <v>1980</v>
      </c>
      <c r="H1219" s="1"/>
      <c r="I1219" s="1"/>
      <c r="J1219" s="1"/>
      <c r="K1219" s="1"/>
      <c r="L1219" s="1"/>
      <c r="M1219" s="1"/>
      <c r="N1219" s="1"/>
      <c r="O1219" s="1"/>
    </row>
    <row r="1220" spans="1:15" ht="37.5">
      <c r="A1220" s="1">
        <v>260</v>
      </c>
      <c r="B1220" s="1"/>
      <c r="C1220" s="711" t="s">
        <v>1605</v>
      </c>
      <c r="D1220" s="718" t="s">
        <v>2</v>
      </c>
      <c r="E1220" s="8">
        <v>810</v>
      </c>
      <c r="F1220" s="710">
        <v>3</v>
      </c>
      <c r="G1220" s="1">
        <f t="shared" si="66"/>
        <v>2430</v>
      </c>
      <c r="H1220" s="1"/>
      <c r="I1220" s="1"/>
      <c r="J1220" s="1"/>
      <c r="K1220" s="1"/>
      <c r="L1220" s="1"/>
      <c r="M1220" s="1"/>
      <c r="N1220" s="1"/>
      <c r="O1220" s="1"/>
    </row>
    <row r="1221" spans="1:15" ht="37.5">
      <c r="A1221" s="1">
        <v>261</v>
      </c>
      <c r="B1221" s="1"/>
      <c r="C1221" s="711" t="s">
        <v>1606</v>
      </c>
      <c r="D1221" s="718" t="s">
        <v>2</v>
      </c>
      <c r="E1221" s="8">
        <v>1404</v>
      </c>
      <c r="F1221" s="710">
        <v>3</v>
      </c>
      <c r="G1221" s="1">
        <f t="shared" si="66"/>
        <v>4212</v>
      </c>
      <c r="H1221" s="1"/>
      <c r="I1221" s="1"/>
      <c r="J1221" s="1"/>
      <c r="K1221" s="1"/>
      <c r="L1221" s="1"/>
      <c r="M1221" s="1"/>
      <c r="N1221" s="1"/>
      <c r="O1221" s="1"/>
    </row>
    <row r="1222" spans="1:15" ht="37.5">
      <c r="A1222" s="1">
        <v>262</v>
      </c>
      <c r="B1222" s="1"/>
      <c r="C1222" s="708" t="s">
        <v>1607</v>
      </c>
      <c r="D1222" s="718" t="s">
        <v>2</v>
      </c>
      <c r="E1222" s="8">
        <v>1080</v>
      </c>
      <c r="F1222" s="710">
        <v>3</v>
      </c>
      <c r="G1222" s="1">
        <f t="shared" si="66"/>
        <v>3240</v>
      </c>
      <c r="H1222" s="695"/>
      <c r="I1222" s="1"/>
      <c r="J1222" s="1"/>
      <c r="K1222" s="1"/>
      <c r="L1222" s="1"/>
      <c r="M1222" s="1"/>
      <c r="N1222" s="1"/>
      <c r="O1222" s="1"/>
    </row>
    <row r="1223" spans="1:15" ht="18.75">
      <c r="A1223" s="1">
        <v>263</v>
      </c>
      <c r="B1223" s="1"/>
      <c r="C1223" s="708" t="s">
        <v>1608</v>
      </c>
      <c r="D1223" s="718" t="s">
        <v>2</v>
      </c>
      <c r="E1223" s="8">
        <v>1485</v>
      </c>
      <c r="F1223" s="714">
        <v>1</v>
      </c>
      <c r="G1223" s="1">
        <f t="shared" si="66"/>
        <v>1485</v>
      </c>
      <c r="H1223" s="1"/>
      <c r="I1223" s="1"/>
      <c r="J1223" s="1"/>
      <c r="K1223" s="1"/>
      <c r="L1223" s="1"/>
      <c r="M1223" s="1"/>
      <c r="N1223" s="1"/>
      <c r="O1223" s="1"/>
    </row>
    <row r="1224" spans="1:15" ht="18.75">
      <c r="A1224" s="1">
        <v>264</v>
      </c>
      <c r="B1224" s="1"/>
      <c r="C1224" s="708" t="s">
        <v>1609</v>
      </c>
      <c r="D1224" s="718" t="s">
        <v>2</v>
      </c>
      <c r="E1224" s="8">
        <v>4141</v>
      </c>
      <c r="F1224" s="710">
        <v>1</v>
      </c>
      <c r="G1224" s="1">
        <f t="shared" si="66"/>
        <v>4141</v>
      </c>
      <c r="H1224" s="1"/>
      <c r="I1224" s="1"/>
      <c r="J1224" s="1"/>
      <c r="K1224" s="1"/>
      <c r="L1224" s="1"/>
      <c r="M1224" s="1"/>
      <c r="N1224" s="1"/>
      <c r="O1224" s="1"/>
    </row>
    <row r="1225" spans="1:15" ht="37.5">
      <c r="A1225" s="1">
        <v>265</v>
      </c>
      <c r="B1225" s="1"/>
      <c r="C1225" s="708" t="s">
        <v>1610</v>
      </c>
      <c r="D1225" s="718" t="s">
        <v>2</v>
      </c>
      <c r="E1225" s="8">
        <v>4140</v>
      </c>
      <c r="F1225" s="710">
        <v>3</v>
      </c>
      <c r="G1225" s="1">
        <f t="shared" si="66"/>
        <v>12420</v>
      </c>
      <c r="H1225" s="1"/>
      <c r="I1225" s="1"/>
      <c r="J1225" s="1"/>
      <c r="K1225" s="1"/>
      <c r="L1225" s="1"/>
      <c r="M1225" s="1"/>
      <c r="N1225" s="1"/>
      <c r="O1225" s="1"/>
    </row>
    <row r="1226" spans="1:15" ht="37.5">
      <c r="A1226" s="1">
        <v>266</v>
      </c>
      <c r="B1226" s="1"/>
      <c r="C1226" s="708" t="s">
        <v>1611</v>
      </c>
      <c r="D1226" s="709" t="s">
        <v>9</v>
      </c>
      <c r="E1226" s="8">
        <v>1288.22</v>
      </c>
      <c r="F1226" s="714">
        <v>3</v>
      </c>
      <c r="G1226" s="1">
        <f t="shared" si="66"/>
        <v>3864.66</v>
      </c>
      <c r="H1226" s="695"/>
      <c r="I1226" s="1"/>
      <c r="J1226" s="1"/>
      <c r="K1226" s="1"/>
      <c r="L1226" s="1"/>
      <c r="M1226" s="1"/>
      <c r="N1226" s="1"/>
      <c r="O1226" s="1"/>
    </row>
    <row r="1227" spans="1:15" ht="18.75">
      <c r="A1227" s="1">
        <v>267</v>
      </c>
      <c r="B1227" s="1"/>
      <c r="C1227" s="708" t="s">
        <v>1612</v>
      </c>
      <c r="D1227" s="709" t="s">
        <v>9</v>
      </c>
      <c r="E1227" s="8">
        <v>2077.0500000000002</v>
      </c>
      <c r="F1227" s="714">
        <v>0</v>
      </c>
      <c r="G1227" s="1">
        <f t="shared" si="66"/>
        <v>0</v>
      </c>
      <c r="H1227" s="695"/>
      <c r="I1227" s="1"/>
      <c r="J1227" s="1"/>
      <c r="K1227" s="1"/>
      <c r="L1227" s="1"/>
      <c r="M1227" s="1"/>
      <c r="N1227" s="1"/>
      <c r="O1227" s="1"/>
    </row>
    <row r="1228" spans="1:15" ht="37.5">
      <c r="A1228" s="1">
        <v>268</v>
      </c>
      <c r="B1228" s="1"/>
      <c r="C1228" s="708" t="s">
        <v>1613</v>
      </c>
      <c r="D1228" s="718" t="s">
        <v>2</v>
      </c>
      <c r="E1228" s="8">
        <v>2340</v>
      </c>
      <c r="F1228" s="710">
        <v>1</v>
      </c>
      <c r="G1228" s="1">
        <f t="shared" si="66"/>
        <v>2340</v>
      </c>
      <c r="H1228" s="1"/>
      <c r="I1228" s="1"/>
      <c r="J1228" s="1"/>
      <c r="K1228" s="1"/>
      <c r="L1228" s="1"/>
      <c r="M1228" s="1"/>
      <c r="N1228" s="1"/>
      <c r="O1228" s="1"/>
    </row>
    <row r="1229" spans="1:15" ht="37.5">
      <c r="A1229" s="1">
        <v>269</v>
      </c>
      <c r="B1229" s="1"/>
      <c r="C1229" s="708" t="s">
        <v>1614</v>
      </c>
      <c r="D1229" s="718" t="s">
        <v>2</v>
      </c>
      <c r="E1229" s="8">
        <v>2340</v>
      </c>
      <c r="F1229" s="710">
        <v>1</v>
      </c>
      <c r="G1229" s="1">
        <f t="shared" si="66"/>
        <v>2340</v>
      </c>
      <c r="H1229" s="1"/>
      <c r="I1229" s="1"/>
      <c r="J1229" s="1"/>
      <c r="K1229" s="1"/>
      <c r="L1229" s="1"/>
      <c r="M1229" s="1"/>
      <c r="N1229" s="1"/>
      <c r="O1229" s="1"/>
    </row>
    <row r="1230" spans="1:15" ht="56.25">
      <c r="A1230" s="1">
        <v>270</v>
      </c>
      <c r="B1230" s="1"/>
      <c r="C1230" s="708" t="s">
        <v>1615</v>
      </c>
      <c r="D1230" s="718" t="s">
        <v>2</v>
      </c>
      <c r="E1230" s="8">
        <v>2340</v>
      </c>
      <c r="F1230" s="710">
        <v>1</v>
      </c>
      <c r="G1230" s="1">
        <f t="shared" si="66"/>
        <v>2340</v>
      </c>
      <c r="H1230" s="1"/>
      <c r="I1230" s="1"/>
      <c r="J1230" s="1"/>
      <c r="K1230" s="1"/>
      <c r="L1230" s="1"/>
      <c r="M1230" s="1"/>
      <c r="N1230" s="1"/>
      <c r="O1230" s="1"/>
    </row>
    <row r="1231" spans="1:15" ht="56.25">
      <c r="A1231" s="1">
        <v>271</v>
      </c>
      <c r="B1231" s="1"/>
      <c r="C1231" s="711" t="s">
        <v>1616</v>
      </c>
      <c r="D1231" s="718" t="s">
        <v>2</v>
      </c>
      <c r="E1231" s="8">
        <v>4500</v>
      </c>
      <c r="F1231" s="710">
        <v>8</v>
      </c>
      <c r="G1231" s="1">
        <f t="shared" si="66"/>
        <v>36000</v>
      </c>
      <c r="H1231" s="1"/>
      <c r="I1231" s="1"/>
      <c r="J1231" s="1"/>
      <c r="K1231" s="1"/>
      <c r="L1231" s="1"/>
      <c r="M1231" s="1"/>
      <c r="N1231" s="1"/>
      <c r="O1231" s="1"/>
    </row>
    <row r="1232" spans="1:15" ht="56.25">
      <c r="A1232" s="1">
        <v>272</v>
      </c>
      <c r="B1232" s="1"/>
      <c r="C1232" s="708" t="s">
        <v>1617</v>
      </c>
      <c r="D1232" s="718" t="s">
        <v>2</v>
      </c>
      <c r="E1232" s="8">
        <v>2700</v>
      </c>
      <c r="F1232" s="710">
        <v>1</v>
      </c>
      <c r="G1232" s="1">
        <f t="shared" si="66"/>
        <v>2700</v>
      </c>
      <c r="H1232" s="1"/>
      <c r="I1232" s="1"/>
      <c r="J1232" s="1"/>
      <c r="K1232" s="1"/>
      <c r="L1232" s="1"/>
      <c r="M1232" s="1"/>
      <c r="N1232" s="1"/>
      <c r="O1232" s="1"/>
    </row>
    <row r="1233" spans="1:15" ht="18.75">
      <c r="A1233" s="1">
        <v>273</v>
      </c>
      <c r="B1233" s="1"/>
      <c r="C1233" s="711" t="s">
        <v>1618</v>
      </c>
      <c r="D1233" s="718" t="s">
        <v>2</v>
      </c>
      <c r="E1233" s="8">
        <v>5940</v>
      </c>
      <c r="F1233" s="710">
        <v>6</v>
      </c>
      <c r="G1233" s="1">
        <f t="shared" si="66"/>
        <v>35640</v>
      </c>
      <c r="H1233" s="1"/>
      <c r="I1233" s="1"/>
      <c r="J1233" s="1"/>
      <c r="K1233" s="1"/>
      <c r="L1233" s="1"/>
      <c r="M1233" s="1"/>
      <c r="N1233" s="1"/>
      <c r="O1233" s="1"/>
    </row>
    <row r="1234" spans="1:15" ht="18.75">
      <c r="A1234" s="1">
        <v>274</v>
      </c>
      <c r="B1234" s="1"/>
      <c r="C1234" s="708" t="s">
        <v>1619</v>
      </c>
      <c r="D1234" s="718" t="s">
        <v>2</v>
      </c>
      <c r="E1234" s="8">
        <v>5940</v>
      </c>
      <c r="F1234" s="710">
        <v>6</v>
      </c>
      <c r="G1234" s="1">
        <f t="shared" si="66"/>
        <v>35640</v>
      </c>
      <c r="H1234" s="1"/>
      <c r="I1234" s="1"/>
      <c r="J1234" s="1"/>
      <c r="K1234" s="1"/>
      <c r="L1234" s="1"/>
      <c r="M1234" s="1"/>
      <c r="N1234" s="1"/>
      <c r="O1234" s="1"/>
    </row>
    <row r="1235" spans="1:15" ht="18.75">
      <c r="A1235" s="1">
        <v>275</v>
      </c>
      <c r="B1235" s="1"/>
      <c r="C1235" s="711" t="s">
        <v>1620</v>
      </c>
      <c r="D1235" s="718" t="s">
        <v>2</v>
      </c>
      <c r="E1235" s="8">
        <v>6300</v>
      </c>
      <c r="F1235" s="710">
        <v>3</v>
      </c>
      <c r="G1235" s="1">
        <f t="shared" si="66"/>
        <v>18900</v>
      </c>
      <c r="H1235" s="1"/>
      <c r="I1235" s="1"/>
      <c r="J1235" s="1"/>
      <c r="K1235" s="1"/>
      <c r="L1235" s="1"/>
      <c r="M1235" s="1"/>
      <c r="N1235" s="1"/>
      <c r="O1235" s="1"/>
    </row>
    <row r="1236" spans="1:15" ht="37.5">
      <c r="A1236" s="1">
        <v>276</v>
      </c>
      <c r="B1236" s="1"/>
      <c r="C1236" s="711" t="s">
        <v>1621</v>
      </c>
      <c r="D1236" s="718" t="s">
        <v>2</v>
      </c>
      <c r="E1236" s="8">
        <v>17640</v>
      </c>
      <c r="F1236" s="710">
        <v>3</v>
      </c>
      <c r="G1236" s="1">
        <f t="shared" si="66"/>
        <v>52920</v>
      </c>
      <c r="H1236" s="1"/>
      <c r="I1236" s="1"/>
      <c r="J1236" s="1"/>
      <c r="K1236" s="1"/>
      <c r="L1236" s="1"/>
      <c r="M1236" s="1"/>
      <c r="N1236" s="1"/>
      <c r="O1236" s="1"/>
    </row>
    <row r="1237" spans="1:15" ht="37.5">
      <c r="A1237" s="1">
        <v>277</v>
      </c>
      <c r="B1237" s="1"/>
      <c r="C1237" s="708" t="s">
        <v>1622</v>
      </c>
      <c r="D1237" s="718" t="s">
        <v>2</v>
      </c>
      <c r="E1237" s="8">
        <v>17640</v>
      </c>
      <c r="F1237" s="710">
        <v>3</v>
      </c>
      <c r="G1237" s="1">
        <f t="shared" si="66"/>
        <v>52920</v>
      </c>
      <c r="H1237" s="1"/>
      <c r="I1237" s="1"/>
      <c r="J1237" s="1"/>
      <c r="K1237" s="1"/>
      <c r="L1237" s="1"/>
      <c r="M1237" s="1"/>
      <c r="N1237" s="1"/>
      <c r="O1237" s="1"/>
    </row>
    <row r="1238" spans="1:15" ht="18.75">
      <c r="A1238" s="1">
        <v>278</v>
      </c>
      <c r="B1238" s="1"/>
      <c r="C1238" s="708" t="s">
        <v>1623</v>
      </c>
      <c r="D1238" s="717" t="s">
        <v>2</v>
      </c>
      <c r="E1238" s="8">
        <v>1561</v>
      </c>
      <c r="F1238" s="710">
        <v>6</v>
      </c>
      <c r="G1238" s="1">
        <f t="shared" si="66"/>
        <v>9366</v>
      </c>
      <c r="H1238" s="1"/>
      <c r="I1238" s="1"/>
      <c r="J1238" s="1"/>
      <c r="K1238" s="1"/>
      <c r="L1238" s="1"/>
      <c r="M1238" s="1"/>
      <c r="N1238" s="1"/>
      <c r="O1238" s="1"/>
    </row>
    <row r="1239" spans="1:15" ht="37.5">
      <c r="A1239" s="1">
        <v>279</v>
      </c>
      <c r="B1239" s="1"/>
      <c r="C1239" s="708" t="s">
        <v>1624</v>
      </c>
      <c r="D1239" s="717" t="s">
        <v>2</v>
      </c>
      <c r="E1239" s="8">
        <v>4676</v>
      </c>
      <c r="F1239" s="710">
        <v>5</v>
      </c>
      <c r="G1239" s="1">
        <f t="shared" si="66"/>
        <v>23380</v>
      </c>
      <c r="H1239" s="1"/>
      <c r="I1239" s="1"/>
      <c r="J1239" s="1"/>
      <c r="K1239" s="1"/>
      <c r="L1239" s="1"/>
      <c r="M1239" s="1"/>
      <c r="N1239" s="1"/>
      <c r="O1239" s="1"/>
    </row>
    <row r="1240" spans="1:15" ht="18.75">
      <c r="A1240" s="1">
        <v>280</v>
      </c>
      <c r="B1240" s="1"/>
      <c r="C1240" s="708" t="s">
        <v>1625</v>
      </c>
      <c r="D1240" s="717" t="s">
        <v>2</v>
      </c>
      <c r="E1240" s="8">
        <v>15000</v>
      </c>
      <c r="F1240" s="710">
        <v>3</v>
      </c>
      <c r="G1240" s="1">
        <f t="shared" si="66"/>
        <v>45000</v>
      </c>
      <c r="H1240" s="1"/>
      <c r="I1240" s="1"/>
      <c r="J1240" s="1"/>
      <c r="K1240" s="1"/>
      <c r="L1240" s="1"/>
      <c r="M1240" s="1"/>
      <c r="N1240" s="1"/>
      <c r="O1240" s="1"/>
    </row>
    <row r="1241" spans="1:15" ht="37.5">
      <c r="A1241" s="1">
        <v>281</v>
      </c>
      <c r="B1241" s="1"/>
      <c r="C1241" s="708" t="s">
        <v>1626</v>
      </c>
      <c r="D1241" s="717" t="s">
        <v>2</v>
      </c>
      <c r="E1241" s="8">
        <v>2820.4</v>
      </c>
      <c r="F1241" s="710">
        <v>3</v>
      </c>
      <c r="G1241" s="1">
        <f t="shared" si="66"/>
        <v>8461.2000000000007</v>
      </c>
      <c r="H1241" s="1"/>
      <c r="I1241" s="1"/>
      <c r="J1241" s="1"/>
      <c r="K1241" s="1"/>
      <c r="L1241" s="1"/>
      <c r="M1241" s="1"/>
      <c r="N1241" s="1"/>
      <c r="O1241" s="1"/>
    </row>
    <row r="1242" spans="1:15" ht="37.5">
      <c r="A1242" s="1">
        <v>282</v>
      </c>
      <c r="B1242" s="1"/>
      <c r="C1242" s="716" t="s">
        <v>1627</v>
      </c>
      <c r="D1242" s="720" t="s">
        <v>1628</v>
      </c>
      <c r="E1242" s="8">
        <v>111911</v>
      </c>
      <c r="F1242" s="710">
        <v>1</v>
      </c>
      <c r="G1242" s="1">
        <f t="shared" si="66"/>
        <v>111911</v>
      </c>
      <c r="H1242" s="1"/>
      <c r="I1242" s="1"/>
      <c r="J1242" s="1"/>
      <c r="K1242" s="1"/>
      <c r="L1242" s="1"/>
      <c r="M1242" s="1"/>
      <c r="N1242" s="1"/>
      <c r="O1242" s="1"/>
    </row>
    <row r="1243" spans="1:15" ht="31.5">
      <c r="A1243" s="1">
        <v>283</v>
      </c>
      <c r="B1243" s="1"/>
      <c r="C1243" s="626" t="s">
        <v>1629</v>
      </c>
      <c r="D1243" s="721" t="s">
        <v>2</v>
      </c>
      <c r="E1243" s="8">
        <v>2454.4</v>
      </c>
      <c r="F1243" s="710">
        <v>4</v>
      </c>
      <c r="G1243" s="1">
        <f t="shared" si="66"/>
        <v>9817.6</v>
      </c>
      <c r="H1243" s="1"/>
      <c r="I1243" s="1"/>
      <c r="J1243" s="1"/>
      <c r="K1243" s="1"/>
      <c r="L1243" s="1"/>
      <c r="M1243" s="1"/>
      <c r="N1243" s="1"/>
      <c r="O1243" s="1"/>
    </row>
    <row r="1244" spans="1:15" ht="18.75">
      <c r="A1244" s="1">
        <v>284</v>
      </c>
      <c r="B1244" s="1"/>
      <c r="C1244" s="716" t="s">
        <v>1630</v>
      </c>
      <c r="D1244" s="722" t="s">
        <v>9</v>
      </c>
      <c r="E1244" s="8">
        <v>1310</v>
      </c>
      <c r="F1244" s="710">
        <v>5</v>
      </c>
      <c r="G1244" s="1">
        <f t="shared" si="66"/>
        <v>6550</v>
      </c>
      <c r="H1244" s="1"/>
      <c r="I1244" s="1"/>
      <c r="J1244" s="1"/>
      <c r="K1244" s="1"/>
      <c r="L1244" s="1"/>
      <c r="M1244" s="1"/>
      <c r="N1244" s="1"/>
      <c r="O1244" s="1"/>
    </row>
    <row r="1245" spans="1:15" ht="18.75">
      <c r="A1245" s="1">
        <v>285</v>
      </c>
      <c r="B1245" s="1"/>
      <c r="C1245" s="716" t="s">
        <v>1631</v>
      </c>
      <c r="D1245" s="722" t="s">
        <v>10</v>
      </c>
      <c r="E1245" s="8">
        <v>1713</v>
      </c>
      <c r="F1245" s="710">
        <v>16</v>
      </c>
      <c r="G1245" s="1">
        <f t="shared" si="66"/>
        <v>27408</v>
      </c>
      <c r="H1245" s="1"/>
      <c r="I1245" s="1"/>
      <c r="J1245" s="1"/>
      <c r="K1245" s="1"/>
      <c r="L1245" s="1"/>
      <c r="M1245" s="1"/>
      <c r="N1245" s="1"/>
      <c r="O1245" s="1"/>
    </row>
    <row r="1246" spans="1:15" ht="18.75">
      <c r="A1246" s="1">
        <v>286</v>
      </c>
      <c r="B1246" s="1"/>
      <c r="C1246" s="716" t="s">
        <v>1632</v>
      </c>
      <c r="D1246" s="722" t="s">
        <v>2</v>
      </c>
      <c r="E1246" s="8">
        <v>9110</v>
      </c>
      <c r="F1246" s="710">
        <v>1</v>
      </c>
      <c r="G1246" s="1">
        <f t="shared" si="66"/>
        <v>9110</v>
      </c>
      <c r="H1246" s="1"/>
      <c r="I1246" s="1"/>
      <c r="J1246" s="1"/>
      <c r="K1246" s="1"/>
      <c r="L1246" s="1"/>
      <c r="M1246" s="1"/>
      <c r="N1246" s="1"/>
      <c r="O1246" s="1"/>
    </row>
    <row r="1247" spans="1:15" ht="56.25">
      <c r="A1247" s="1">
        <v>287</v>
      </c>
      <c r="B1247" s="1"/>
      <c r="C1247" s="716" t="s">
        <v>1633</v>
      </c>
      <c r="D1247" s="720" t="s">
        <v>2</v>
      </c>
      <c r="E1247" s="407">
        <v>13563.3</v>
      </c>
      <c r="F1247" s="710">
        <v>4</v>
      </c>
      <c r="G1247" s="1">
        <f t="shared" si="66"/>
        <v>54253.2</v>
      </c>
      <c r="H1247" s="1"/>
      <c r="I1247" s="1"/>
      <c r="J1247" s="1"/>
      <c r="K1247" s="1"/>
      <c r="L1247" s="1"/>
      <c r="M1247" s="1"/>
      <c r="N1247" s="1"/>
      <c r="O1247" s="1"/>
    </row>
    <row r="1248" spans="1:15" ht="37.5">
      <c r="A1248" s="1">
        <v>288</v>
      </c>
      <c r="B1248" s="1"/>
      <c r="C1248" s="716" t="s">
        <v>1634</v>
      </c>
      <c r="D1248" s="720" t="s">
        <v>2</v>
      </c>
      <c r="E1248" s="8">
        <v>14528</v>
      </c>
      <c r="F1248" s="710">
        <v>4</v>
      </c>
      <c r="G1248" s="1">
        <f t="shared" si="66"/>
        <v>58112</v>
      </c>
      <c r="H1248" s="1"/>
      <c r="I1248" s="1"/>
      <c r="J1248" s="1"/>
      <c r="K1248" s="1"/>
      <c r="L1248" s="1"/>
      <c r="M1248" s="1"/>
      <c r="N1248" s="1"/>
      <c r="O1248" s="1"/>
    </row>
    <row r="1249" spans="1:15" ht="18.75">
      <c r="A1249" s="1">
        <v>290</v>
      </c>
      <c r="B1249" s="1"/>
      <c r="C1249" s="716" t="s">
        <v>1635</v>
      </c>
      <c r="D1249" s="720" t="s">
        <v>1069</v>
      </c>
      <c r="E1249" s="8">
        <v>1472.75</v>
      </c>
      <c r="F1249" s="714">
        <v>2</v>
      </c>
      <c r="G1249" s="1">
        <f t="shared" si="66"/>
        <v>2945.5</v>
      </c>
      <c r="H1249" s="1"/>
      <c r="I1249" s="1"/>
      <c r="J1249" s="1"/>
      <c r="K1249" s="1"/>
      <c r="L1249" s="1"/>
      <c r="M1249" s="1"/>
      <c r="N1249" s="1"/>
      <c r="O1249" s="1"/>
    </row>
    <row r="1250" spans="1:15" ht="18.75">
      <c r="A1250" s="1">
        <v>291</v>
      </c>
      <c r="B1250" s="1"/>
      <c r="C1250" s="716" t="s">
        <v>1636</v>
      </c>
      <c r="D1250" s="720" t="s">
        <v>845</v>
      </c>
      <c r="E1250" s="8">
        <v>13196.81</v>
      </c>
      <c r="F1250" s="714">
        <v>6</v>
      </c>
      <c r="G1250" s="1">
        <f t="shared" si="66"/>
        <v>79180.86</v>
      </c>
      <c r="H1250" s="1"/>
      <c r="I1250" s="1"/>
      <c r="J1250" s="1"/>
      <c r="K1250" s="1"/>
      <c r="L1250" s="1"/>
      <c r="M1250" s="1"/>
      <c r="N1250" s="1"/>
      <c r="O1250" s="1"/>
    </row>
    <row r="1251" spans="1:15" ht="18.75">
      <c r="A1251" s="1">
        <v>292</v>
      </c>
      <c r="B1251" s="1"/>
      <c r="C1251" s="716" t="s">
        <v>1637</v>
      </c>
      <c r="D1251" s="720" t="s">
        <v>845</v>
      </c>
      <c r="E1251" s="8">
        <v>1473.64</v>
      </c>
      <c r="F1251" s="714">
        <v>2</v>
      </c>
      <c r="G1251" s="1">
        <f t="shared" si="66"/>
        <v>2947.28</v>
      </c>
      <c r="H1251" s="1"/>
      <c r="I1251" s="1"/>
      <c r="J1251" s="1"/>
      <c r="K1251" s="1"/>
      <c r="L1251" s="1"/>
      <c r="M1251" s="1"/>
      <c r="N1251" s="1"/>
      <c r="O1251" s="1"/>
    </row>
    <row r="1252" spans="1:15">
      <c r="A1252" s="1">
        <v>293</v>
      </c>
      <c r="B1252" s="1"/>
      <c r="C1252" s="626" t="s">
        <v>1638</v>
      </c>
      <c r="D1252" s="46" t="s">
        <v>2</v>
      </c>
      <c r="E1252" s="8">
        <v>1961</v>
      </c>
      <c r="F1252" s="723">
        <v>0</v>
      </c>
      <c r="G1252" s="1">
        <f t="shared" si="66"/>
        <v>0</v>
      </c>
      <c r="H1252" s="695"/>
      <c r="I1252" s="1"/>
      <c r="J1252" s="1"/>
      <c r="K1252" s="1"/>
      <c r="L1252" s="1"/>
      <c r="M1252" s="1"/>
      <c r="N1252" s="1"/>
      <c r="O1252" s="1"/>
    </row>
    <row r="1253" spans="1:15">
      <c r="A1253" s="1">
        <v>294</v>
      </c>
      <c r="B1253" s="1"/>
      <c r="C1253" s="724" t="s">
        <v>1639</v>
      </c>
      <c r="D1253" s="46" t="s">
        <v>2</v>
      </c>
      <c r="E1253" s="8">
        <v>4066.25</v>
      </c>
      <c r="F1253" s="723">
        <v>4</v>
      </c>
      <c r="G1253" s="1">
        <f t="shared" si="66"/>
        <v>16265</v>
      </c>
      <c r="H1253" s="1"/>
      <c r="I1253" s="1"/>
      <c r="J1253" s="1"/>
      <c r="K1253" s="1"/>
      <c r="L1253" s="1"/>
      <c r="M1253" s="1"/>
      <c r="N1253" s="1"/>
      <c r="O1253" s="1"/>
    </row>
    <row r="1254" spans="1:15" ht="30">
      <c r="A1254" s="1">
        <v>296</v>
      </c>
      <c r="B1254" s="1"/>
      <c r="C1254" s="725" t="s">
        <v>1640</v>
      </c>
      <c r="D1254" s="46" t="s">
        <v>2</v>
      </c>
      <c r="E1254" s="8">
        <v>3877.48</v>
      </c>
      <c r="F1254" s="723">
        <v>2</v>
      </c>
      <c r="G1254" s="695">
        <f t="shared" si="66"/>
        <v>7754.96</v>
      </c>
      <c r="H1254" s="695"/>
      <c r="I1254" s="1"/>
      <c r="J1254" s="1"/>
      <c r="K1254" s="1"/>
      <c r="L1254" s="1"/>
      <c r="M1254" s="1"/>
      <c r="N1254" s="1"/>
      <c r="O1254" s="1"/>
    </row>
    <row r="1255" spans="1:15" ht="30">
      <c r="A1255" s="1">
        <v>297</v>
      </c>
      <c r="B1255" s="1"/>
      <c r="C1255" s="211" t="s">
        <v>1641</v>
      </c>
      <c r="D1255" s="46" t="s">
        <v>2</v>
      </c>
      <c r="E1255" s="8">
        <v>1958.7</v>
      </c>
      <c r="F1255" s="723">
        <v>1</v>
      </c>
      <c r="G1255" s="1">
        <f t="shared" si="66"/>
        <v>1958.7</v>
      </c>
      <c r="H1255" s="695"/>
      <c r="I1255" s="1"/>
      <c r="J1255" s="1"/>
      <c r="K1255" s="1"/>
      <c r="L1255" s="1"/>
      <c r="M1255" s="1"/>
      <c r="N1255" s="1"/>
      <c r="O1255" s="1"/>
    </row>
    <row r="1256" spans="1:15" ht="30">
      <c r="A1256" s="1">
        <v>298</v>
      </c>
      <c r="B1256" s="1"/>
      <c r="C1256" s="211" t="s">
        <v>1642</v>
      </c>
      <c r="D1256" s="46" t="s">
        <v>2</v>
      </c>
      <c r="E1256" s="8">
        <v>15937.2</v>
      </c>
      <c r="F1256" s="723">
        <v>2</v>
      </c>
      <c r="G1256" s="1">
        <f t="shared" si="66"/>
        <v>31874.400000000001</v>
      </c>
      <c r="H1256" s="695"/>
      <c r="I1256" s="1"/>
      <c r="J1256" s="1"/>
      <c r="K1256" s="1"/>
      <c r="L1256" s="1"/>
      <c r="M1256" s="1"/>
      <c r="N1256" s="1"/>
      <c r="O1256" s="1"/>
    </row>
    <row r="1257" spans="1:15" ht="30">
      <c r="A1257" s="1">
        <v>299</v>
      </c>
      <c r="B1257" s="1"/>
      <c r="C1257" s="211" t="s">
        <v>1643</v>
      </c>
      <c r="D1257" s="46" t="s">
        <v>2</v>
      </c>
      <c r="E1257" s="8">
        <v>3086</v>
      </c>
      <c r="F1257" s="723">
        <v>3</v>
      </c>
      <c r="G1257" s="1">
        <f t="shared" si="66"/>
        <v>9258</v>
      </c>
      <c r="H1257" s="695"/>
      <c r="I1257" s="1"/>
      <c r="J1257" s="1"/>
      <c r="K1257" s="1"/>
      <c r="L1257" s="1"/>
      <c r="M1257" s="1"/>
      <c r="N1257" s="1"/>
      <c r="O1257" s="1"/>
    </row>
    <row r="1258" spans="1:15" ht="30">
      <c r="A1258" s="1">
        <v>300</v>
      </c>
      <c r="B1258" s="1"/>
      <c r="C1258" s="211" t="s">
        <v>1644</v>
      </c>
      <c r="D1258" s="46" t="s">
        <v>2</v>
      </c>
      <c r="E1258" s="8">
        <v>14726.4</v>
      </c>
      <c r="F1258" s="723">
        <v>2</v>
      </c>
      <c r="G1258" s="1">
        <f t="shared" si="66"/>
        <v>29452.799999999999</v>
      </c>
      <c r="H1258" s="695"/>
      <c r="I1258" s="1"/>
      <c r="J1258" s="1"/>
      <c r="K1258" s="1"/>
      <c r="L1258" s="1"/>
      <c r="M1258" s="1"/>
      <c r="N1258" s="1"/>
      <c r="O1258" s="1"/>
    </row>
    <row r="1259" spans="1:15">
      <c r="A1259" s="1">
        <v>301</v>
      </c>
      <c r="B1259" s="1"/>
      <c r="C1259" s="1" t="s">
        <v>1645</v>
      </c>
      <c r="D1259" s="46" t="s">
        <v>2</v>
      </c>
      <c r="E1259" s="8">
        <v>1961.2</v>
      </c>
      <c r="F1259" s="723">
        <v>1</v>
      </c>
      <c r="G1259" s="1">
        <f t="shared" si="66"/>
        <v>1961.2</v>
      </c>
      <c r="H1259" s="695"/>
      <c r="I1259" s="1"/>
      <c r="J1259" s="1"/>
      <c r="K1259" s="1"/>
      <c r="L1259" s="1"/>
      <c r="M1259" s="1"/>
      <c r="N1259" s="1"/>
      <c r="O1259" s="1"/>
    </row>
    <row r="1260" spans="1:15" ht="31.5">
      <c r="A1260" s="1">
        <v>302</v>
      </c>
      <c r="B1260" s="1"/>
      <c r="C1260" s="726" t="s">
        <v>1646</v>
      </c>
      <c r="D1260" s="727" t="s">
        <v>2</v>
      </c>
      <c r="E1260" s="728">
        <v>3646.05</v>
      </c>
      <c r="F1260" s="729">
        <v>5</v>
      </c>
      <c r="G1260" s="1">
        <f t="shared" si="66"/>
        <v>18230.25</v>
      </c>
      <c r="H1260" s="695"/>
      <c r="I1260" s="1"/>
      <c r="J1260" s="1"/>
      <c r="K1260" s="1"/>
      <c r="L1260" s="1"/>
      <c r="M1260" s="1"/>
      <c r="N1260" s="1"/>
      <c r="O1260" s="1"/>
    </row>
    <row r="1261" spans="1:15" ht="31.5">
      <c r="A1261" s="1">
        <v>303</v>
      </c>
      <c r="B1261" s="1"/>
      <c r="C1261" s="726" t="s">
        <v>1647</v>
      </c>
      <c r="D1261" s="727" t="s">
        <v>2</v>
      </c>
      <c r="E1261" s="728">
        <v>1569.6</v>
      </c>
      <c r="F1261" s="729">
        <v>4</v>
      </c>
      <c r="G1261" s="695">
        <f t="shared" si="66"/>
        <v>6278.4</v>
      </c>
      <c r="H1261" s="695"/>
      <c r="I1261" s="1"/>
      <c r="J1261" s="1"/>
      <c r="K1261" s="1"/>
      <c r="L1261" s="1"/>
      <c r="M1261" s="1"/>
      <c r="N1261" s="1"/>
      <c r="O1261" s="1"/>
    </row>
    <row r="1262" spans="1:15" ht="31.5">
      <c r="A1262" s="1">
        <v>304</v>
      </c>
      <c r="B1262" s="1"/>
      <c r="C1262" s="726" t="s">
        <v>1648</v>
      </c>
      <c r="D1262" s="727" t="s">
        <v>2</v>
      </c>
      <c r="E1262" s="728">
        <v>3646.05</v>
      </c>
      <c r="F1262" s="729">
        <v>5</v>
      </c>
      <c r="G1262" s="1">
        <f t="shared" si="66"/>
        <v>18230.25</v>
      </c>
      <c r="H1262" s="695"/>
      <c r="I1262" s="1"/>
      <c r="J1262" s="1"/>
      <c r="K1262" s="1"/>
      <c r="L1262" s="1"/>
      <c r="M1262" s="1"/>
      <c r="N1262" s="1"/>
      <c r="O1262" s="1"/>
    </row>
    <row r="1263" spans="1:15" ht="31.5">
      <c r="A1263" s="1">
        <v>305</v>
      </c>
      <c r="B1263" s="1"/>
      <c r="C1263" s="730" t="s">
        <v>1649</v>
      </c>
      <c r="D1263" s="727" t="s">
        <v>2</v>
      </c>
      <c r="E1263" s="728">
        <v>3646.05</v>
      </c>
      <c r="F1263" s="731">
        <v>5</v>
      </c>
      <c r="G1263" s="1">
        <f t="shared" si="66"/>
        <v>18230.25</v>
      </c>
      <c r="H1263" s="695"/>
      <c r="I1263" s="1"/>
      <c r="J1263" s="1"/>
      <c r="K1263" s="1"/>
      <c r="L1263" s="1"/>
      <c r="M1263" s="1"/>
      <c r="N1263" s="1"/>
      <c r="O1263" s="1"/>
    </row>
    <row r="1264" spans="1:15" ht="47.25">
      <c r="A1264" s="1">
        <v>306</v>
      </c>
      <c r="B1264" s="1"/>
      <c r="C1264" s="726" t="s">
        <v>1650</v>
      </c>
      <c r="D1264" s="727" t="s">
        <v>2</v>
      </c>
      <c r="E1264" s="728">
        <v>1569.6</v>
      </c>
      <c r="F1264" s="731">
        <v>5</v>
      </c>
      <c r="G1264" s="1">
        <f t="shared" si="66"/>
        <v>7848</v>
      </c>
      <c r="H1264" s="695"/>
      <c r="I1264" s="1"/>
      <c r="J1264" s="1"/>
      <c r="K1264" s="1"/>
      <c r="L1264" s="1"/>
      <c r="M1264" s="1"/>
      <c r="N1264" s="1"/>
      <c r="O1264" s="1"/>
    </row>
    <row r="1265" spans="1:15" ht="47.25">
      <c r="A1265" s="1">
        <v>307</v>
      </c>
      <c r="B1265" s="1"/>
      <c r="C1265" s="726" t="s">
        <v>1651</v>
      </c>
      <c r="D1265" s="727" t="s">
        <v>2</v>
      </c>
      <c r="E1265" s="728">
        <v>3646.05</v>
      </c>
      <c r="F1265" s="729">
        <v>4</v>
      </c>
      <c r="G1265" s="1">
        <f t="shared" si="66"/>
        <v>14584.2</v>
      </c>
      <c r="H1265" s="695"/>
      <c r="I1265" s="1"/>
      <c r="J1265" s="1"/>
      <c r="K1265" s="1"/>
      <c r="L1265" s="1"/>
      <c r="M1265" s="1"/>
      <c r="N1265" s="1"/>
      <c r="O1265" s="1"/>
    </row>
    <row r="1266" spans="1:15" ht="31.5">
      <c r="A1266" s="1">
        <v>308</v>
      </c>
      <c r="B1266" s="1"/>
      <c r="C1266" s="726" t="s">
        <v>1652</v>
      </c>
      <c r="D1266" s="727" t="s">
        <v>2</v>
      </c>
      <c r="E1266" s="728">
        <v>20000</v>
      </c>
      <c r="F1266" s="729">
        <v>1</v>
      </c>
      <c r="G1266" s="1">
        <f t="shared" si="66"/>
        <v>20000</v>
      </c>
      <c r="H1266" s="695"/>
      <c r="I1266" s="1"/>
      <c r="J1266" s="1"/>
      <c r="K1266" s="1"/>
      <c r="L1266" s="1"/>
      <c r="M1266" s="1"/>
      <c r="N1266" s="1"/>
      <c r="O1266" s="1"/>
    </row>
    <row r="1267" spans="1:15">
      <c r="A1267" s="1">
        <v>309</v>
      </c>
      <c r="B1267" s="1"/>
      <c r="C1267" s="732" t="s">
        <v>1653</v>
      </c>
      <c r="D1267" s="727" t="s">
        <v>2</v>
      </c>
      <c r="E1267" s="8">
        <v>587.64</v>
      </c>
      <c r="F1267" s="731">
        <v>0</v>
      </c>
      <c r="G1267" s="1">
        <f t="shared" si="66"/>
        <v>0</v>
      </c>
      <c r="H1267" s="695"/>
      <c r="I1267" s="1"/>
      <c r="J1267" s="1"/>
      <c r="K1267" s="1"/>
      <c r="L1267" s="1"/>
      <c r="M1267" s="1"/>
      <c r="N1267" s="1"/>
      <c r="O1267" s="1"/>
    </row>
    <row r="1268" spans="1:15" ht="30">
      <c r="A1268" s="1">
        <v>310</v>
      </c>
      <c r="B1268" s="1"/>
      <c r="C1268" s="211" t="s">
        <v>1654</v>
      </c>
      <c r="D1268" s="727" t="s">
        <v>2</v>
      </c>
      <c r="E1268" s="8">
        <v>406392</v>
      </c>
      <c r="F1268" s="407">
        <v>1</v>
      </c>
      <c r="G1268" s="1">
        <f t="shared" si="66"/>
        <v>406392</v>
      </c>
      <c r="H1268" s="695"/>
      <c r="I1268" s="1"/>
      <c r="J1268" s="1"/>
      <c r="K1268" s="1"/>
      <c r="L1268" s="1"/>
      <c r="M1268" s="1"/>
      <c r="N1268" s="1"/>
      <c r="O1268" s="1"/>
    </row>
    <row r="1269" spans="1:15">
      <c r="A1269" s="1">
        <v>311</v>
      </c>
      <c r="B1269" s="1"/>
      <c r="C1269" s="211" t="s">
        <v>1655</v>
      </c>
      <c r="D1269" s="727" t="s">
        <v>2</v>
      </c>
      <c r="E1269" s="8">
        <v>57997</v>
      </c>
      <c r="F1269" s="407">
        <v>1</v>
      </c>
      <c r="G1269" s="695">
        <f t="shared" si="66"/>
        <v>57997</v>
      </c>
      <c r="H1269" s="695"/>
      <c r="I1269" s="1"/>
      <c r="J1269" s="1"/>
      <c r="K1269" s="1"/>
      <c r="L1269" s="1"/>
      <c r="M1269" s="1"/>
      <c r="N1269" s="1"/>
      <c r="O1269" s="1"/>
    </row>
    <row r="1270" spans="1:15">
      <c r="A1270" s="1">
        <v>312</v>
      </c>
      <c r="B1270" s="1"/>
      <c r="C1270" s="211" t="s">
        <v>1656</v>
      </c>
      <c r="D1270" s="727" t="s">
        <v>2</v>
      </c>
      <c r="E1270" s="8">
        <v>2944.1</v>
      </c>
      <c r="F1270" s="407">
        <v>1</v>
      </c>
      <c r="G1270" s="1">
        <f t="shared" si="66"/>
        <v>2944.1</v>
      </c>
      <c r="H1270" s="695"/>
      <c r="I1270" s="1"/>
      <c r="J1270" s="1"/>
      <c r="K1270" s="1"/>
      <c r="L1270" s="1"/>
      <c r="M1270" s="1"/>
      <c r="N1270" s="1"/>
      <c r="O1270" s="1"/>
    </row>
    <row r="1271" spans="1:15">
      <c r="A1271" s="1">
        <v>313</v>
      </c>
      <c r="B1271" s="1"/>
      <c r="C1271" s="211" t="s">
        <v>1657</v>
      </c>
      <c r="D1271" s="727" t="s">
        <v>2</v>
      </c>
      <c r="E1271" s="8">
        <v>25000</v>
      </c>
      <c r="F1271" s="407">
        <v>2</v>
      </c>
      <c r="G1271" s="1">
        <f t="shared" si="66"/>
        <v>50000</v>
      </c>
      <c r="H1271" s="695"/>
      <c r="I1271" s="1"/>
      <c r="J1271" s="1"/>
      <c r="K1271" s="1"/>
      <c r="L1271" s="1"/>
      <c r="M1271" s="1"/>
      <c r="N1271" s="1"/>
      <c r="O1271" s="1"/>
    </row>
    <row r="1272" spans="1:15">
      <c r="A1272" s="1">
        <v>314</v>
      </c>
      <c r="B1272" s="1"/>
      <c r="C1272" s="211" t="s">
        <v>1658</v>
      </c>
      <c r="D1272" s="727" t="s">
        <v>2</v>
      </c>
      <c r="E1272" s="8">
        <v>1958.8</v>
      </c>
      <c r="F1272" s="407">
        <v>1</v>
      </c>
      <c r="G1272" s="695">
        <f t="shared" si="66"/>
        <v>1958.8</v>
      </c>
      <c r="H1272" s="695"/>
      <c r="I1272" s="1"/>
      <c r="J1272" s="1"/>
      <c r="K1272" s="1"/>
      <c r="L1272" s="1"/>
      <c r="M1272" s="1"/>
      <c r="N1272" s="1"/>
      <c r="O1272" s="1"/>
    </row>
    <row r="1273" spans="1:15">
      <c r="A1273" s="1">
        <v>316</v>
      </c>
      <c r="B1273" s="1"/>
      <c r="C1273" s="211" t="s">
        <v>1659</v>
      </c>
      <c r="D1273" s="733" t="s">
        <v>9</v>
      </c>
      <c r="E1273" s="8">
        <v>5894.1</v>
      </c>
      <c r="F1273" s="8">
        <v>4</v>
      </c>
      <c r="G1273" s="1">
        <f t="shared" si="66"/>
        <v>23576.400000000001</v>
      </c>
      <c r="H1273" s="695"/>
      <c r="I1273" s="1"/>
      <c r="J1273" s="1"/>
      <c r="K1273" s="1"/>
      <c r="L1273" s="1"/>
      <c r="M1273" s="1"/>
      <c r="N1273" s="1"/>
      <c r="O1273" s="1"/>
    </row>
    <row r="1274" spans="1:15">
      <c r="A1274" s="1">
        <v>317</v>
      </c>
      <c r="B1274" s="1"/>
      <c r="C1274" s="211" t="s">
        <v>1660</v>
      </c>
      <c r="D1274" s="733" t="s">
        <v>462</v>
      </c>
      <c r="E1274" s="47">
        <v>8.26</v>
      </c>
      <c r="F1274" s="47">
        <v>0</v>
      </c>
      <c r="G1274" s="1">
        <f t="shared" si="66"/>
        <v>0</v>
      </c>
      <c r="H1274" s="68"/>
      <c r="I1274" s="1"/>
      <c r="J1274" s="1"/>
      <c r="K1274" s="1"/>
      <c r="L1274" s="1"/>
      <c r="M1274" s="1"/>
      <c r="N1274" s="1"/>
      <c r="O1274" s="1"/>
    </row>
    <row r="1275" spans="1:15">
      <c r="A1275" s="1">
        <v>318</v>
      </c>
      <c r="B1275" s="1"/>
      <c r="C1275" s="211" t="s">
        <v>1661</v>
      </c>
      <c r="D1275" s="733" t="s">
        <v>9</v>
      </c>
      <c r="E1275" s="47">
        <v>66</v>
      </c>
      <c r="F1275" s="47">
        <v>54</v>
      </c>
      <c r="G1275" s="1">
        <f t="shared" si="66"/>
        <v>3564</v>
      </c>
      <c r="H1275" s="695"/>
      <c r="I1275" s="1"/>
      <c r="J1275" s="1"/>
      <c r="K1275" s="1"/>
      <c r="L1275" s="1"/>
      <c r="M1275" s="1"/>
      <c r="N1275" s="1"/>
      <c r="O1275" s="1"/>
    </row>
    <row r="1276" spans="1:15">
      <c r="A1276" s="1">
        <v>319</v>
      </c>
      <c r="B1276" s="1"/>
      <c r="C1276" s="211" t="s">
        <v>1662</v>
      </c>
      <c r="D1276" s="733" t="s">
        <v>1663</v>
      </c>
      <c r="E1276" s="47">
        <v>19.559999999999999</v>
      </c>
      <c r="F1276" s="47">
        <v>0</v>
      </c>
      <c r="G1276" s="1">
        <f t="shared" si="66"/>
        <v>0</v>
      </c>
      <c r="H1276" s="695"/>
      <c r="I1276" s="1"/>
      <c r="J1276" s="1"/>
      <c r="K1276" s="1"/>
      <c r="L1276" s="1"/>
      <c r="M1276" s="1"/>
      <c r="N1276" s="1"/>
      <c r="O1276" s="1"/>
    </row>
    <row r="1277" spans="1:15">
      <c r="A1277" s="1">
        <v>320</v>
      </c>
      <c r="B1277" s="1"/>
      <c r="C1277" s="211" t="s">
        <v>1664</v>
      </c>
      <c r="D1277" s="733" t="s">
        <v>961</v>
      </c>
      <c r="E1277" s="47">
        <v>363</v>
      </c>
      <c r="F1277" s="47">
        <v>6</v>
      </c>
      <c r="G1277" s="1">
        <f t="shared" si="66"/>
        <v>2178</v>
      </c>
      <c r="H1277" s="695"/>
      <c r="I1277" s="1"/>
      <c r="J1277" s="1"/>
      <c r="K1277" s="1"/>
      <c r="L1277" s="1"/>
      <c r="M1277" s="1"/>
      <c r="N1277" s="1"/>
      <c r="O1277" s="1"/>
    </row>
    <row r="1278" spans="1:15">
      <c r="A1278" s="1">
        <v>321</v>
      </c>
      <c r="B1278" s="1"/>
      <c r="C1278" s="211" t="s">
        <v>1665</v>
      </c>
      <c r="D1278" s="733" t="s">
        <v>462</v>
      </c>
      <c r="E1278" s="47">
        <v>8.26</v>
      </c>
      <c r="F1278" s="47">
        <v>0</v>
      </c>
      <c r="G1278" s="1">
        <f t="shared" si="66"/>
        <v>0</v>
      </c>
      <c r="H1278" s="68"/>
      <c r="I1278" s="1"/>
      <c r="J1278" s="1"/>
      <c r="K1278" s="1"/>
      <c r="L1278" s="1"/>
      <c r="M1278" s="1"/>
      <c r="N1278" s="1"/>
      <c r="O1278" s="1"/>
    </row>
    <row r="1279" spans="1:15">
      <c r="A1279" s="1">
        <v>322</v>
      </c>
      <c r="B1279" s="1"/>
      <c r="C1279" s="211" t="s">
        <v>1666</v>
      </c>
      <c r="D1279" s="733" t="s">
        <v>9</v>
      </c>
      <c r="E1279" s="47">
        <v>45</v>
      </c>
      <c r="F1279" s="47">
        <v>84</v>
      </c>
      <c r="G1279" s="1">
        <f t="shared" si="66"/>
        <v>3780</v>
      </c>
      <c r="H1279" s="695"/>
      <c r="I1279" s="1"/>
      <c r="J1279" s="1"/>
      <c r="K1279" s="1"/>
      <c r="L1279" s="1"/>
      <c r="M1279" s="1"/>
      <c r="N1279" s="1"/>
      <c r="O1279" s="1"/>
    </row>
    <row r="1280" spans="1:15">
      <c r="A1280" s="1">
        <v>323</v>
      </c>
      <c r="B1280" s="1"/>
      <c r="C1280" s="211" t="s">
        <v>1667</v>
      </c>
      <c r="D1280" s="733" t="s">
        <v>1663</v>
      </c>
      <c r="E1280" s="47">
        <v>34.700000000000003</v>
      </c>
      <c r="F1280" s="47">
        <v>0</v>
      </c>
      <c r="G1280" s="1">
        <f t="shared" si="66"/>
        <v>0</v>
      </c>
      <c r="H1280" s="695"/>
      <c r="I1280" s="1"/>
      <c r="J1280" s="1"/>
      <c r="K1280" s="1"/>
      <c r="L1280" s="1"/>
      <c r="M1280" s="1"/>
      <c r="N1280" s="1"/>
      <c r="O1280" s="1"/>
    </row>
    <row r="1281" spans="1:15">
      <c r="A1281" s="1">
        <v>324</v>
      </c>
      <c r="B1281" s="1"/>
      <c r="C1281" s="211" t="s">
        <v>1668</v>
      </c>
      <c r="D1281" s="733" t="s">
        <v>961</v>
      </c>
      <c r="E1281" s="47">
        <v>596</v>
      </c>
      <c r="F1281" s="47">
        <v>6</v>
      </c>
      <c r="G1281" s="1">
        <f t="shared" si="66"/>
        <v>3576</v>
      </c>
      <c r="H1281" s="695"/>
      <c r="I1281" s="1"/>
      <c r="J1281" s="1"/>
      <c r="K1281" s="1"/>
      <c r="L1281" s="1"/>
      <c r="M1281" s="1"/>
      <c r="N1281" s="1"/>
      <c r="O1281" s="1"/>
    </row>
    <row r="1282" spans="1:15">
      <c r="A1282" s="1">
        <v>325</v>
      </c>
      <c r="B1282" s="1"/>
      <c r="C1282" s="211" t="s">
        <v>1669</v>
      </c>
      <c r="D1282" s="733" t="s">
        <v>9</v>
      </c>
      <c r="E1282" s="8">
        <v>7077.64</v>
      </c>
      <c r="F1282" s="407">
        <v>3</v>
      </c>
      <c r="G1282" s="1">
        <f t="shared" si="66"/>
        <v>21232.920000000002</v>
      </c>
      <c r="H1282" s="695"/>
      <c r="I1282" s="1"/>
      <c r="J1282" s="1"/>
      <c r="K1282" s="1"/>
      <c r="L1282" s="1"/>
      <c r="M1282" s="1"/>
      <c r="N1282" s="1"/>
      <c r="O1282" s="1"/>
    </row>
    <row r="1283" spans="1:15">
      <c r="A1283" s="1">
        <v>326</v>
      </c>
      <c r="B1283" s="1"/>
      <c r="C1283" s="211" t="s">
        <v>1670</v>
      </c>
      <c r="D1283" s="733" t="s">
        <v>9</v>
      </c>
      <c r="E1283" s="8">
        <v>376.42</v>
      </c>
      <c r="F1283" s="407">
        <v>10</v>
      </c>
      <c r="G1283" s="695">
        <f t="shared" ref="G1283:G1346" si="67">E1283*F1283</f>
        <v>3764.2000000000003</v>
      </c>
      <c r="H1283" s="695"/>
      <c r="I1283" s="1"/>
      <c r="J1283" s="1"/>
      <c r="K1283" s="1"/>
      <c r="L1283" s="1"/>
      <c r="M1283" s="1"/>
      <c r="N1283" s="1"/>
      <c r="O1283" s="1"/>
    </row>
    <row r="1284" spans="1:15">
      <c r="A1284" s="1">
        <v>328</v>
      </c>
      <c r="B1284" s="1"/>
      <c r="C1284" s="211" t="s">
        <v>1671</v>
      </c>
      <c r="D1284" s="733" t="s">
        <v>193</v>
      </c>
      <c r="E1284" s="8">
        <v>34.700000000000003</v>
      </c>
      <c r="F1284" s="407">
        <v>29397</v>
      </c>
      <c r="G1284" s="1">
        <f t="shared" si="67"/>
        <v>1020075.9000000001</v>
      </c>
      <c r="H1284" s="68">
        <v>14930</v>
      </c>
      <c r="I1284" s="1"/>
      <c r="J1284" s="1"/>
      <c r="K1284" s="1"/>
      <c r="L1284" s="1"/>
      <c r="M1284" s="1"/>
      <c r="N1284" s="1"/>
      <c r="O1284" s="1"/>
    </row>
    <row r="1285" spans="1:15">
      <c r="A1285" s="1">
        <v>329</v>
      </c>
      <c r="B1285" s="1"/>
      <c r="C1285" s="734" t="s">
        <v>1672</v>
      </c>
      <c r="D1285" s="735" t="s">
        <v>9</v>
      </c>
      <c r="E1285" s="8">
        <v>40</v>
      </c>
      <c r="F1285" s="407">
        <v>4140</v>
      </c>
      <c r="G1285" s="1">
        <f t="shared" si="67"/>
        <v>165600</v>
      </c>
      <c r="H1285" s="695"/>
      <c r="I1285" s="1"/>
      <c r="J1285" s="1"/>
      <c r="K1285" s="1"/>
      <c r="L1285" s="1"/>
      <c r="M1285" s="1"/>
      <c r="N1285" s="1"/>
      <c r="O1285" s="1"/>
    </row>
    <row r="1286" spans="1:15">
      <c r="A1286" s="1">
        <v>330</v>
      </c>
      <c r="B1286" s="1"/>
      <c r="C1286" s="211" t="s">
        <v>1673</v>
      </c>
      <c r="D1286" s="735" t="s">
        <v>9</v>
      </c>
      <c r="E1286" s="8">
        <v>20</v>
      </c>
      <c r="F1286" s="407">
        <v>310</v>
      </c>
      <c r="G1286" s="1">
        <f t="shared" si="67"/>
        <v>6200</v>
      </c>
      <c r="H1286" s="695"/>
      <c r="I1286" s="1"/>
      <c r="J1286" s="1"/>
      <c r="K1286" s="1"/>
      <c r="L1286" s="1"/>
      <c r="M1286" s="1"/>
      <c r="N1286" s="1"/>
      <c r="O1286" s="1"/>
    </row>
    <row r="1287" spans="1:15">
      <c r="A1287" s="1">
        <v>331</v>
      </c>
      <c r="B1287" s="1"/>
      <c r="C1287" s="211" t="s">
        <v>1674</v>
      </c>
      <c r="D1287" s="735" t="s">
        <v>9</v>
      </c>
      <c r="E1287" s="8">
        <v>50</v>
      </c>
      <c r="F1287" s="407">
        <v>110</v>
      </c>
      <c r="G1287" s="1">
        <f t="shared" si="67"/>
        <v>5500</v>
      </c>
      <c r="H1287" s="695"/>
      <c r="I1287" s="1"/>
      <c r="J1287" s="1"/>
      <c r="K1287" s="1"/>
      <c r="L1287" s="1"/>
      <c r="M1287" s="1"/>
      <c r="N1287" s="1"/>
      <c r="O1287" s="1"/>
    </row>
    <row r="1288" spans="1:15">
      <c r="A1288" s="1">
        <v>332</v>
      </c>
      <c r="B1288" s="1"/>
      <c r="C1288" s="211" t="s">
        <v>1675</v>
      </c>
      <c r="D1288" s="735" t="s">
        <v>9</v>
      </c>
      <c r="E1288" s="8">
        <v>55</v>
      </c>
      <c r="F1288" s="407">
        <v>63</v>
      </c>
      <c r="G1288" s="1">
        <f t="shared" si="67"/>
        <v>3465</v>
      </c>
      <c r="H1288" s="695"/>
      <c r="I1288" s="1"/>
      <c r="J1288" s="1"/>
      <c r="K1288" s="1"/>
      <c r="L1288" s="1"/>
      <c r="M1288" s="1"/>
      <c r="N1288" s="1"/>
      <c r="O1288" s="1"/>
    </row>
    <row r="1289" spans="1:15">
      <c r="A1289" s="1">
        <v>333</v>
      </c>
      <c r="B1289" s="1"/>
      <c r="C1289" s="211" t="s">
        <v>1676</v>
      </c>
      <c r="D1289" s="735" t="s">
        <v>9</v>
      </c>
      <c r="E1289" s="8">
        <v>100</v>
      </c>
      <c r="F1289" s="407">
        <v>48</v>
      </c>
      <c r="G1289" s="1">
        <f t="shared" si="67"/>
        <v>4800</v>
      </c>
      <c r="H1289" s="695"/>
      <c r="I1289" s="1"/>
      <c r="J1289" s="1"/>
      <c r="K1289" s="1"/>
      <c r="L1289" s="1"/>
      <c r="M1289" s="1"/>
      <c r="N1289" s="1"/>
      <c r="O1289" s="1"/>
    </row>
    <row r="1290" spans="1:15">
      <c r="A1290" s="1">
        <v>334</v>
      </c>
      <c r="B1290" s="1"/>
      <c r="C1290" s="211" t="s">
        <v>1677</v>
      </c>
      <c r="D1290" s="735" t="s">
        <v>9</v>
      </c>
      <c r="E1290" s="8">
        <v>100</v>
      </c>
      <c r="F1290" s="407">
        <v>10</v>
      </c>
      <c r="G1290" s="1">
        <f t="shared" si="67"/>
        <v>1000</v>
      </c>
      <c r="H1290" s="695"/>
      <c r="I1290" s="1"/>
      <c r="J1290" s="1"/>
      <c r="K1290" s="1"/>
      <c r="L1290" s="1"/>
      <c r="M1290" s="1"/>
      <c r="N1290" s="1"/>
      <c r="O1290" s="1"/>
    </row>
    <row r="1291" spans="1:15">
      <c r="A1291" s="1">
        <v>335</v>
      </c>
      <c r="B1291" s="1"/>
      <c r="C1291" s="211" t="s">
        <v>1678</v>
      </c>
      <c r="D1291" s="735" t="s">
        <v>9</v>
      </c>
      <c r="E1291" s="8">
        <v>45</v>
      </c>
      <c r="F1291" s="407">
        <v>882</v>
      </c>
      <c r="G1291" s="1">
        <f t="shared" si="67"/>
        <v>39690</v>
      </c>
      <c r="H1291" s="695"/>
      <c r="I1291" s="1"/>
      <c r="J1291" s="1"/>
      <c r="K1291" s="1"/>
      <c r="L1291" s="1"/>
      <c r="M1291" s="1"/>
      <c r="N1291" s="1"/>
      <c r="O1291" s="1"/>
    </row>
    <row r="1292" spans="1:15">
      <c r="A1292" s="1">
        <v>336</v>
      </c>
      <c r="B1292" s="1"/>
      <c r="C1292" s="211" t="s">
        <v>1679</v>
      </c>
      <c r="D1292" s="733" t="s">
        <v>2</v>
      </c>
      <c r="E1292" s="8">
        <v>1116.6400000000001</v>
      </c>
      <c r="F1292" s="407">
        <v>0</v>
      </c>
      <c r="G1292" s="1">
        <f t="shared" si="67"/>
        <v>0</v>
      </c>
      <c r="H1292" s="695"/>
      <c r="I1292" s="1"/>
      <c r="J1292" s="1"/>
      <c r="K1292" s="1"/>
      <c r="L1292" s="1"/>
      <c r="M1292" s="1"/>
      <c r="N1292" s="1"/>
      <c r="O1292" s="1"/>
    </row>
    <row r="1293" spans="1:15">
      <c r="A1293" s="1">
        <v>337</v>
      </c>
      <c r="B1293" s="1"/>
      <c r="C1293" s="211" t="s">
        <v>1680</v>
      </c>
      <c r="D1293" s="733" t="s">
        <v>1681</v>
      </c>
      <c r="E1293" s="8">
        <v>113.52</v>
      </c>
      <c r="F1293" s="407">
        <v>230</v>
      </c>
      <c r="G1293" s="1">
        <f t="shared" si="67"/>
        <v>26109.599999999999</v>
      </c>
      <c r="H1293" s="695"/>
      <c r="I1293" s="1"/>
      <c r="J1293" s="1"/>
      <c r="K1293" s="1"/>
      <c r="L1293" s="1"/>
      <c r="M1293" s="1"/>
      <c r="N1293" s="1"/>
      <c r="O1293" s="1"/>
    </row>
    <row r="1294" spans="1:15">
      <c r="A1294" s="1">
        <v>339</v>
      </c>
      <c r="B1294" s="1"/>
      <c r="C1294" s="211" t="s">
        <v>1682</v>
      </c>
      <c r="D1294" s="735" t="s">
        <v>5</v>
      </c>
      <c r="E1294" s="8">
        <v>34.700000000000003</v>
      </c>
      <c r="F1294" s="407">
        <v>0</v>
      </c>
      <c r="G1294" s="1">
        <f t="shared" si="67"/>
        <v>0</v>
      </c>
      <c r="H1294" s="695"/>
      <c r="I1294" s="1"/>
      <c r="J1294" s="1"/>
      <c r="K1294" s="1"/>
      <c r="L1294" s="1"/>
      <c r="M1294" s="1"/>
      <c r="N1294" s="1"/>
      <c r="O1294" s="1"/>
    </row>
    <row r="1295" spans="1:15">
      <c r="A1295" s="1">
        <v>340</v>
      </c>
      <c r="B1295" s="1"/>
      <c r="C1295" s="211" t="s">
        <v>1672</v>
      </c>
      <c r="D1295" s="735" t="s">
        <v>2</v>
      </c>
      <c r="E1295" s="8">
        <v>40</v>
      </c>
      <c r="F1295" s="407">
        <v>360</v>
      </c>
      <c r="G1295" s="1">
        <f t="shared" si="67"/>
        <v>14400</v>
      </c>
      <c r="H1295" s="695"/>
      <c r="I1295" s="1"/>
      <c r="J1295" s="1"/>
      <c r="K1295" s="1"/>
      <c r="L1295" s="1"/>
      <c r="M1295" s="1"/>
      <c r="N1295" s="1"/>
      <c r="O1295" s="1"/>
    </row>
    <row r="1296" spans="1:15">
      <c r="A1296" s="1">
        <v>341</v>
      </c>
      <c r="B1296" s="1"/>
      <c r="C1296" s="211" t="s">
        <v>1676</v>
      </c>
      <c r="D1296" s="735" t="s">
        <v>2</v>
      </c>
      <c r="E1296" s="8">
        <v>50</v>
      </c>
      <c r="F1296" s="407">
        <v>24</v>
      </c>
      <c r="G1296" s="1">
        <f t="shared" si="67"/>
        <v>1200</v>
      </c>
      <c r="H1296" s="695"/>
      <c r="I1296" s="1"/>
      <c r="J1296" s="1"/>
      <c r="K1296" s="1"/>
      <c r="L1296" s="1"/>
      <c r="M1296" s="1"/>
      <c r="N1296" s="1"/>
      <c r="O1296" s="1"/>
    </row>
    <row r="1297" spans="1:15">
      <c r="A1297" s="1">
        <v>342</v>
      </c>
      <c r="B1297" s="1"/>
      <c r="C1297" s="211" t="s">
        <v>1683</v>
      </c>
      <c r="D1297" s="735" t="s">
        <v>2</v>
      </c>
      <c r="E1297" s="8">
        <v>20</v>
      </c>
      <c r="F1297" s="407">
        <v>24</v>
      </c>
      <c r="G1297" s="1">
        <f t="shared" si="67"/>
        <v>480</v>
      </c>
      <c r="H1297" s="695"/>
      <c r="I1297" s="1"/>
      <c r="J1297" s="1"/>
      <c r="K1297" s="1"/>
      <c r="L1297" s="1"/>
      <c r="M1297" s="1"/>
      <c r="N1297" s="1"/>
      <c r="O1297" s="1"/>
    </row>
    <row r="1298" spans="1:15">
      <c r="A1298" s="1">
        <v>343</v>
      </c>
      <c r="B1298" s="1"/>
      <c r="C1298" s="211" t="s">
        <v>1684</v>
      </c>
      <c r="D1298" s="733" t="s">
        <v>2</v>
      </c>
      <c r="E1298" s="736">
        <v>9178</v>
      </c>
      <c r="F1298" s="407">
        <v>3</v>
      </c>
      <c r="G1298" s="1">
        <f t="shared" si="67"/>
        <v>27534</v>
      </c>
      <c r="H1298" s="695"/>
      <c r="I1298" s="1"/>
      <c r="J1298" s="1"/>
      <c r="K1298" s="1"/>
      <c r="L1298" s="1"/>
      <c r="M1298" s="1"/>
      <c r="N1298" s="1"/>
      <c r="O1298" s="1"/>
    </row>
    <row r="1299" spans="1:15">
      <c r="A1299" s="1">
        <v>344</v>
      </c>
      <c r="B1299" s="1"/>
      <c r="C1299" s="211" t="s">
        <v>1685</v>
      </c>
      <c r="D1299" s="733" t="s">
        <v>2</v>
      </c>
      <c r="E1299" s="737">
        <v>10001.67</v>
      </c>
      <c r="F1299" s="407">
        <v>2</v>
      </c>
      <c r="G1299" s="1">
        <f t="shared" si="67"/>
        <v>20003.34</v>
      </c>
      <c r="H1299" s="695"/>
      <c r="I1299" s="1"/>
      <c r="J1299" s="1"/>
      <c r="K1299" s="1"/>
      <c r="L1299" s="1"/>
      <c r="M1299" s="1"/>
      <c r="N1299" s="1"/>
      <c r="O1299" s="1"/>
    </row>
    <row r="1300" spans="1:15">
      <c r="A1300" s="1">
        <v>345</v>
      </c>
      <c r="B1300" s="1"/>
      <c r="C1300" s="211" t="s">
        <v>1686</v>
      </c>
      <c r="D1300" s="733" t="s">
        <v>2</v>
      </c>
      <c r="E1300" s="738">
        <v>3234.38</v>
      </c>
      <c r="F1300" s="407">
        <v>2</v>
      </c>
      <c r="G1300" s="1">
        <f t="shared" si="67"/>
        <v>6468.76</v>
      </c>
      <c r="H1300" s="695"/>
      <c r="I1300" s="1"/>
      <c r="J1300" s="1"/>
      <c r="K1300" s="1"/>
      <c r="L1300" s="1"/>
      <c r="M1300" s="1"/>
      <c r="N1300" s="1"/>
      <c r="O1300" s="1"/>
    </row>
    <row r="1301" spans="1:15">
      <c r="A1301" s="1">
        <v>346</v>
      </c>
      <c r="B1301" s="1"/>
      <c r="C1301" s="211" t="s">
        <v>1687</v>
      </c>
      <c r="D1301" s="733" t="s">
        <v>2</v>
      </c>
      <c r="E1301" s="737">
        <v>2478</v>
      </c>
      <c r="F1301" s="407">
        <v>4</v>
      </c>
      <c r="G1301" s="1">
        <f t="shared" si="67"/>
        <v>9912</v>
      </c>
      <c r="H1301" s="695"/>
      <c r="I1301" s="1"/>
      <c r="J1301" s="1"/>
      <c r="K1301" s="1"/>
      <c r="L1301" s="1"/>
      <c r="M1301" s="1"/>
      <c r="N1301" s="1"/>
      <c r="O1301" s="1"/>
    </row>
    <row r="1302" spans="1:15" ht="30">
      <c r="A1302" s="1">
        <v>347</v>
      </c>
      <c r="B1302" s="1"/>
      <c r="C1302" s="211" t="s">
        <v>1688</v>
      </c>
      <c r="D1302" s="733" t="s">
        <v>2</v>
      </c>
      <c r="E1302" s="1">
        <v>7310.1</v>
      </c>
      <c r="F1302" s="407">
        <v>4</v>
      </c>
      <c r="G1302" s="1">
        <f t="shared" si="67"/>
        <v>29240.400000000001</v>
      </c>
      <c r="H1302" s="695"/>
      <c r="I1302" s="1"/>
      <c r="J1302" s="1"/>
      <c r="K1302" s="1"/>
      <c r="L1302" s="1"/>
      <c r="M1302" s="1"/>
      <c r="N1302" s="1"/>
      <c r="O1302" s="1"/>
    </row>
    <row r="1303" spans="1:15" ht="30">
      <c r="A1303" s="1">
        <v>348</v>
      </c>
      <c r="B1303" s="1"/>
      <c r="C1303" s="211" t="s">
        <v>1689</v>
      </c>
      <c r="D1303" s="733" t="s">
        <v>2</v>
      </c>
      <c r="E1303" s="1">
        <v>7310.1</v>
      </c>
      <c r="F1303" s="407">
        <v>4</v>
      </c>
      <c r="G1303" s="1">
        <f t="shared" si="67"/>
        <v>29240.400000000001</v>
      </c>
      <c r="H1303" s="695"/>
      <c r="I1303" s="1"/>
      <c r="J1303" s="1"/>
      <c r="K1303" s="1"/>
      <c r="L1303" s="1"/>
      <c r="M1303" s="1"/>
      <c r="N1303" s="1"/>
      <c r="O1303" s="1"/>
    </row>
    <row r="1304" spans="1:15" ht="30">
      <c r="A1304" s="1">
        <v>349</v>
      </c>
      <c r="B1304" s="1"/>
      <c r="C1304" s="211" t="s">
        <v>1690</v>
      </c>
      <c r="D1304" s="733" t="s">
        <v>2</v>
      </c>
      <c r="E1304" s="1">
        <v>5881.1</v>
      </c>
      <c r="F1304" s="407">
        <v>2</v>
      </c>
      <c r="G1304" s="1">
        <f t="shared" si="67"/>
        <v>11762.2</v>
      </c>
      <c r="H1304" s="695"/>
      <c r="I1304" s="1"/>
      <c r="J1304" s="1"/>
      <c r="K1304" s="1"/>
      <c r="L1304" s="1"/>
      <c r="M1304" s="1"/>
      <c r="N1304" s="1"/>
      <c r="O1304" s="1"/>
    </row>
    <row r="1305" spans="1:15" ht="30">
      <c r="A1305" s="1">
        <v>350</v>
      </c>
      <c r="B1305" s="1"/>
      <c r="C1305" s="211" t="s">
        <v>1691</v>
      </c>
      <c r="D1305" s="733" t="s">
        <v>2</v>
      </c>
      <c r="E1305" s="1">
        <v>5882.3</v>
      </c>
      <c r="F1305" s="407">
        <v>3</v>
      </c>
      <c r="G1305" s="1">
        <f t="shared" si="67"/>
        <v>17646.900000000001</v>
      </c>
      <c r="H1305" s="695"/>
      <c r="I1305" s="1"/>
      <c r="J1305" s="1"/>
      <c r="K1305" s="1"/>
      <c r="L1305" s="1"/>
      <c r="M1305" s="1"/>
      <c r="N1305" s="1"/>
      <c r="O1305" s="1"/>
    </row>
    <row r="1306" spans="1:15">
      <c r="A1306" s="1">
        <v>352</v>
      </c>
      <c r="B1306" s="1"/>
      <c r="C1306" s="211" t="s">
        <v>1692</v>
      </c>
      <c r="D1306" s="733" t="s">
        <v>1693</v>
      </c>
      <c r="E1306" s="1">
        <v>300000</v>
      </c>
      <c r="F1306" s="407">
        <v>1</v>
      </c>
      <c r="G1306" s="695">
        <f t="shared" si="67"/>
        <v>300000</v>
      </c>
      <c r="H1306" s="695"/>
      <c r="I1306" s="1"/>
      <c r="J1306" s="1"/>
      <c r="K1306" s="1"/>
      <c r="L1306" s="1"/>
      <c r="M1306" s="1"/>
      <c r="N1306" s="1"/>
      <c r="O1306" s="1"/>
    </row>
    <row r="1307" spans="1:15">
      <c r="A1307" s="1">
        <v>353</v>
      </c>
      <c r="B1307" s="1"/>
      <c r="C1307" s="211" t="s">
        <v>1694</v>
      </c>
      <c r="D1307" s="733" t="s">
        <v>2</v>
      </c>
      <c r="E1307" s="1">
        <v>14245.8</v>
      </c>
      <c r="F1307" s="407">
        <v>8</v>
      </c>
      <c r="G1307" s="739">
        <f t="shared" si="67"/>
        <v>113966.39999999999</v>
      </c>
      <c r="H1307" s="695"/>
      <c r="I1307" s="1"/>
      <c r="J1307" s="1"/>
      <c r="K1307" s="1"/>
      <c r="L1307" s="1"/>
      <c r="M1307" s="1"/>
      <c r="N1307" s="1"/>
      <c r="O1307" s="1"/>
    </row>
    <row r="1308" spans="1:15">
      <c r="A1308" s="1">
        <v>354</v>
      </c>
      <c r="B1308" s="1"/>
      <c r="C1308" s="211" t="s">
        <v>1695</v>
      </c>
      <c r="D1308" s="733" t="s">
        <v>2</v>
      </c>
      <c r="E1308" s="1">
        <v>962.77</v>
      </c>
      <c r="F1308" s="407">
        <v>8</v>
      </c>
      <c r="G1308" s="739">
        <f t="shared" si="67"/>
        <v>7702.16</v>
      </c>
      <c r="H1308" s="695"/>
      <c r="I1308" s="1"/>
      <c r="J1308" s="1"/>
      <c r="K1308" s="1"/>
      <c r="L1308" s="1"/>
      <c r="M1308" s="1"/>
      <c r="N1308" s="1"/>
      <c r="O1308" s="1"/>
    </row>
    <row r="1309" spans="1:15" ht="45">
      <c r="A1309" s="1">
        <v>356</v>
      </c>
      <c r="B1309" s="1"/>
      <c r="C1309" s="740" t="s">
        <v>1696</v>
      </c>
      <c r="D1309" s="733" t="s">
        <v>2</v>
      </c>
      <c r="E1309" s="8">
        <v>6185.56</v>
      </c>
      <c r="F1309" s="407">
        <v>3</v>
      </c>
      <c r="G1309" s="741">
        <f t="shared" si="67"/>
        <v>18556.68</v>
      </c>
      <c r="H1309" s="695"/>
      <c r="I1309" s="1"/>
      <c r="J1309" s="1"/>
      <c r="K1309" s="1"/>
      <c r="L1309" s="1"/>
      <c r="M1309" s="1"/>
      <c r="N1309" s="1"/>
      <c r="O1309" s="1"/>
    </row>
    <row r="1310" spans="1:15" ht="45">
      <c r="A1310" s="1">
        <v>357</v>
      </c>
      <c r="B1310" s="1"/>
      <c r="C1310" s="740" t="s">
        <v>1697</v>
      </c>
      <c r="D1310" s="733" t="s">
        <v>2</v>
      </c>
      <c r="E1310" s="8">
        <v>3348.84</v>
      </c>
      <c r="F1310" s="407">
        <v>3</v>
      </c>
      <c r="G1310" s="741">
        <f t="shared" si="67"/>
        <v>10046.52</v>
      </c>
      <c r="H1310" s="695"/>
      <c r="I1310" s="1"/>
      <c r="J1310" s="1"/>
      <c r="K1310" s="1"/>
      <c r="L1310" s="1"/>
      <c r="M1310" s="1"/>
      <c r="N1310" s="1"/>
      <c r="O1310" s="1"/>
    </row>
    <row r="1311" spans="1:15" ht="45">
      <c r="A1311" s="1">
        <v>358</v>
      </c>
      <c r="B1311" s="1"/>
      <c r="C1311" s="740" t="s">
        <v>1698</v>
      </c>
      <c r="D1311" s="733" t="s">
        <v>2</v>
      </c>
      <c r="E1311" s="8">
        <v>4707.0200000000004</v>
      </c>
      <c r="F1311" s="407">
        <v>2</v>
      </c>
      <c r="G1311" s="741">
        <f t="shared" si="67"/>
        <v>9414.0400000000009</v>
      </c>
      <c r="H1311" s="695"/>
      <c r="I1311" s="1"/>
      <c r="J1311" s="1"/>
      <c r="K1311" s="1"/>
      <c r="L1311" s="1"/>
      <c r="M1311" s="1"/>
      <c r="N1311" s="1"/>
      <c r="O1311" s="1"/>
    </row>
    <row r="1312" spans="1:15" ht="45">
      <c r="A1312" s="1">
        <v>359</v>
      </c>
      <c r="B1312" s="1"/>
      <c r="C1312" s="740" t="s">
        <v>1699</v>
      </c>
      <c r="D1312" s="733" t="s">
        <v>2</v>
      </c>
      <c r="E1312" s="8">
        <v>2704.56</v>
      </c>
      <c r="F1312" s="407">
        <v>4</v>
      </c>
      <c r="G1312" s="741">
        <f t="shared" si="67"/>
        <v>10818.24</v>
      </c>
      <c r="H1312" s="695"/>
      <c r="I1312" s="1"/>
      <c r="J1312" s="1"/>
      <c r="K1312" s="1"/>
      <c r="L1312" s="1"/>
      <c r="M1312" s="1"/>
      <c r="N1312" s="1"/>
      <c r="O1312" s="1"/>
    </row>
    <row r="1313" spans="1:15" ht="30">
      <c r="A1313" s="1">
        <v>360</v>
      </c>
      <c r="B1313" s="1"/>
      <c r="C1313" s="740" t="s">
        <v>1700</v>
      </c>
      <c r="D1313" s="733" t="s">
        <v>2</v>
      </c>
      <c r="E1313" s="8">
        <v>3530.56</v>
      </c>
      <c r="F1313" s="407">
        <v>4</v>
      </c>
      <c r="G1313" s="741">
        <f t="shared" si="67"/>
        <v>14122.24</v>
      </c>
      <c r="H1313" s="695"/>
      <c r="I1313" s="1"/>
      <c r="J1313" s="1"/>
      <c r="K1313" s="1"/>
      <c r="L1313" s="1"/>
      <c r="M1313" s="1"/>
      <c r="N1313" s="1"/>
      <c r="O1313" s="1"/>
    </row>
    <row r="1314" spans="1:15">
      <c r="A1314" s="1">
        <v>361</v>
      </c>
      <c r="B1314" s="1"/>
      <c r="C1314" s="441" t="s">
        <v>1671</v>
      </c>
      <c r="D1314" s="733" t="s">
        <v>193</v>
      </c>
      <c r="E1314" s="8">
        <v>34.700000000000003</v>
      </c>
      <c r="F1314" s="407">
        <v>77730</v>
      </c>
      <c r="G1314" s="742">
        <f t="shared" si="67"/>
        <v>2697231</v>
      </c>
      <c r="H1314" s="695"/>
      <c r="I1314" s="1"/>
      <c r="J1314" s="1"/>
      <c r="K1314" s="1"/>
      <c r="L1314" s="1"/>
      <c r="M1314" s="1"/>
      <c r="N1314" s="1"/>
      <c r="O1314" s="1"/>
    </row>
    <row r="1315" spans="1:15">
      <c r="A1315" s="1">
        <v>362</v>
      </c>
      <c r="B1315" s="1"/>
      <c r="C1315" s="743" t="s">
        <v>1672</v>
      </c>
      <c r="D1315" s="735" t="s">
        <v>9</v>
      </c>
      <c r="E1315" s="8">
        <v>40</v>
      </c>
      <c r="F1315" s="407">
        <v>4384</v>
      </c>
      <c r="G1315" s="742">
        <f t="shared" si="67"/>
        <v>175360</v>
      </c>
      <c r="H1315" s="695"/>
      <c r="I1315" s="1"/>
      <c r="J1315" s="1"/>
      <c r="K1315" s="1"/>
      <c r="L1315" s="1"/>
      <c r="M1315" s="1"/>
      <c r="N1315" s="1"/>
      <c r="O1315" s="1"/>
    </row>
    <row r="1316" spans="1:15">
      <c r="A1316" s="1">
        <v>363</v>
      </c>
      <c r="B1316" s="1"/>
      <c r="C1316" s="441" t="s">
        <v>1678</v>
      </c>
      <c r="D1316" s="735" t="s">
        <v>9</v>
      </c>
      <c r="E1316" s="8">
        <v>45</v>
      </c>
      <c r="F1316" s="407">
        <v>860</v>
      </c>
      <c r="G1316" s="742">
        <f t="shared" si="67"/>
        <v>38700</v>
      </c>
      <c r="H1316" s="695"/>
      <c r="I1316" s="1"/>
      <c r="J1316" s="1"/>
      <c r="K1316" s="1"/>
      <c r="L1316" s="1"/>
      <c r="M1316" s="1"/>
      <c r="N1316" s="1"/>
      <c r="O1316" s="1"/>
    </row>
    <row r="1317" spans="1:15">
      <c r="A1317" s="1">
        <v>364</v>
      </c>
      <c r="B1317" s="1"/>
      <c r="C1317" s="441" t="s">
        <v>1675</v>
      </c>
      <c r="D1317" s="735" t="s">
        <v>9</v>
      </c>
      <c r="E1317" s="8">
        <v>55</v>
      </c>
      <c r="F1317" s="407">
        <v>63</v>
      </c>
      <c r="G1317" s="742">
        <f t="shared" si="67"/>
        <v>3465</v>
      </c>
      <c r="H1317" s="695"/>
      <c r="I1317" s="1"/>
      <c r="J1317" s="1"/>
      <c r="K1317" s="1"/>
      <c r="L1317" s="1"/>
      <c r="M1317" s="1"/>
      <c r="N1317" s="1"/>
      <c r="O1317" s="1"/>
    </row>
    <row r="1318" spans="1:15">
      <c r="A1318" s="1">
        <v>365</v>
      </c>
      <c r="B1318" s="1"/>
      <c r="C1318" s="744" t="s">
        <v>1674</v>
      </c>
      <c r="D1318" s="735" t="s">
        <v>9</v>
      </c>
      <c r="E1318" s="8">
        <v>50</v>
      </c>
      <c r="F1318" s="407">
        <v>204</v>
      </c>
      <c r="G1318" s="742">
        <f t="shared" si="67"/>
        <v>10200</v>
      </c>
      <c r="H1318" s="695"/>
      <c r="I1318" s="1"/>
      <c r="J1318" s="1"/>
      <c r="K1318" s="1"/>
      <c r="L1318" s="1"/>
      <c r="M1318" s="1"/>
      <c r="N1318" s="1"/>
      <c r="O1318" s="1"/>
    </row>
    <row r="1319" spans="1:15">
      <c r="A1319" s="1">
        <v>366</v>
      </c>
      <c r="B1319" s="1"/>
      <c r="C1319" s="441" t="s">
        <v>1676</v>
      </c>
      <c r="D1319" s="735" t="s">
        <v>9</v>
      </c>
      <c r="E1319" s="8">
        <v>100</v>
      </c>
      <c r="F1319" s="407">
        <v>48</v>
      </c>
      <c r="G1319" s="742">
        <f t="shared" si="67"/>
        <v>4800</v>
      </c>
      <c r="H1319" s="695"/>
      <c r="I1319" s="1"/>
      <c r="J1319" s="1"/>
      <c r="K1319" s="1"/>
      <c r="L1319" s="1"/>
      <c r="M1319" s="1"/>
      <c r="N1319" s="1"/>
      <c r="O1319" s="1"/>
    </row>
    <row r="1320" spans="1:15">
      <c r="A1320" s="1">
        <v>367</v>
      </c>
      <c r="B1320" s="1"/>
      <c r="C1320" s="441" t="s">
        <v>1677</v>
      </c>
      <c r="D1320" s="735" t="s">
        <v>9</v>
      </c>
      <c r="E1320" s="8">
        <v>100</v>
      </c>
      <c r="F1320" s="407">
        <v>12</v>
      </c>
      <c r="G1320" s="742">
        <f t="shared" si="67"/>
        <v>1200</v>
      </c>
      <c r="H1320" s="695"/>
      <c r="I1320" s="1"/>
      <c r="J1320" s="1"/>
      <c r="K1320" s="1"/>
      <c r="L1320" s="1"/>
      <c r="M1320" s="1"/>
      <c r="N1320" s="1"/>
      <c r="O1320" s="1"/>
    </row>
    <row r="1321" spans="1:15">
      <c r="A1321" s="1">
        <v>368</v>
      </c>
      <c r="B1321" s="1"/>
      <c r="C1321" s="441" t="s">
        <v>1673</v>
      </c>
      <c r="D1321" s="735" t="s">
        <v>9</v>
      </c>
      <c r="E1321" s="8">
        <v>20</v>
      </c>
      <c r="F1321" s="407">
        <v>345</v>
      </c>
      <c r="G1321" s="742">
        <f t="shared" si="67"/>
        <v>6900</v>
      </c>
      <c r="H1321" s="695"/>
      <c r="I1321" s="1"/>
      <c r="J1321" s="1"/>
      <c r="K1321" s="1"/>
      <c r="L1321" s="1"/>
      <c r="M1321" s="1"/>
      <c r="N1321" s="1"/>
      <c r="O1321" s="1"/>
    </row>
    <row r="1322" spans="1:15" ht="45">
      <c r="A1322" s="1">
        <v>370</v>
      </c>
      <c r="B1322" s="1"/>
      <c r="C1322" s="740" t="s">
        <v>1701</v>
      </c>
      <c r="D1322" s="745" t="s">
        <v>591</v>
      </c>
      <c r="E1322" s="746">
        <v>1</v>
      </c>
      <c r="F1322" s="8">
        <v>2.4</v>
      </c>
      <c r="G1322" s="742">
        <f t="shared" si="67"/>
        <v>2.4</v>
      </c>
      <c r="H1322" s="695"/>
      <c r="I1322" s="1"/>
      <c r="J1322" s="1"/>
      <c r="K1322" s="1"/>
      <c r="L1322" s="1"/>
      <c r="M1322" s="1"/>
      <c r="N1322" s="1"/>
      <c r="O1322" s="1"/>
    </row>
    <row r="1323" spans="1:15">
      <c r="A1323" s="1">
        <v>371</v>
      </c>
      <c r="B1323" s="1"/>
      <c r="C1323" s="747" t="s">
        <v>1702</v>
      </c>
      <c r="D1323" s="745" t="s">
        <v>2</v>
      </c>
      <c r="E1323" s="748">
        <v>1</v>
      </c>
      <c r="F1323" s="8">
        <v>6</v>
      </c>
      <c r="G1323" s="742">
        <f t="shared" si="67"/>
        <v>6</v>
      </c>
      <c r="H1323" s="695"/>
      <c r="I1323" s="1"/>
      <c r="J1323" s="1"/>
      <c r="K1323" s="1"/>
      <c r="L1323" s="1"/>
      <c r="M1323" s="1"/>
      <c r="N1323" s="1"/>
      <c r="O1323" s="1"/>
    </row>
    <row r="1324" spans="1:15">
      <c r="A1324" s="1">
        <v>372</v>
      </c>
      <c r="B1324" s="1"/>
      <c r="C1324" s="747" t="s">
        <v>1703</v>
      </c>
      <c r="D1324" s="745" t="s">
        <v>2</v>
      </c>
      <c r="E1324" s="748">
        <v>1</v>
      </c>
      <c r="F1324" s="8">
        <v>3</v>
      </c>
      <c r="G1324" s="742">
        <f t="shared" si="67"/>
        <v>3</v>
      </c>
      <c r="H1324" s="695"/>
      <c r="I1324" s="1"/>
      <c r="J1324" s="1"/>
      <c r="K1324" s="1"/>
      <c r="L1324" s="1"/>
      <c r="M1324" s="1"/>
      <c r="N1324" s="1"/>
      <c r="O1324" s="1"/>
    </row>
    <row r="1325" spans="1:15">
      <c r="A1325" s="1">
        <v>373</v>
      </c>
      <c r="B1325" s="1"/>
      <c r="C1325" s="747" t="s">
        <v>1704</v>
      </c>
      <c r="D1325" s="745" t="s">
        <v>2</v>
      </c>
      <c r="E1325" s="749">
        <v>1</v>
      </c>
      <c r="F1325" s="8">
        <v>24</v>
      </c>
      <c r="G1325" s="742">
        <f t="shared" si="67"/>
        <v>24</v>
      </c>
      <c r="H1325" s="695"/>
      <c r="I1325" s="1"/>
      <c r="J1325" s="1"/>
      <c r="K1325" s="1"/>
      <c r="L1325" s="1"/>
      <c r="M1325" s="1"/>
      <c r="N1325" s="1"/>
      <c r="O1325" s="1"/>
    </row>
    <row r="1326" spans="1:15">
      <c r="A1326" s="1">
        <v>374</v>
      </c>
      <c r="B1326" s="1"/>
      <c r="C1326" s="747" t="s">
        <v>1705</v>
      </c>
      <c r="D1326" s="745" t="s">
        <v>2</v>
      </c>
      <c r="E1326" s="749">
        <v>1</v>
      </c>
      <c r="F1326" s="8">
        <v>6</v>
      </c>
      <c r="G1326" s="742">
        <f t="shared" si="67"/>
        <v>6</v>
      </c>
      <c r="H1326" s="695"/>
      <c r="I1326" s="1"/>
      <c r="J1326" s="1"/>
      <c r="K1326" s="1"/>
      <c r="L1326" s="1"/>
      <c r="M1326" s="1"/>
      <c r="N1326" s="1"/>
      <c r="O1326" s="1"/>
    </row>
    <row r="1327" spans="1:15">
      <c r="A1327" s="1">
        <v>375</v>
      </c>
      <c r="B1327" s="1"/>
      <c r="C1327" s="747" t="s">
        <v>1706</v>
      </c>
      <c r="D1327" s="745" t="s">
        <v>2</v>
      </c>
      <c r="E1327" s="750">
        <v>1</v>
      </c>
      <c r="F1327" s="8">
        <v>6</v>
      </c>
      <c r="G1327" s="742">
        <f t="shared" si="67"/>
        <v>6</v>
      </c>
      <c r="H1327" s="695"/>
      <c r="I1327" s="1"/>
      <c r="J1327" s="1"/>
      <c r="K1327" s="1"/>
      <c r="L1327" s="1"/>
      <c r="M1327" s="1"/>
      <c r="N1327" s="1"/>
      <c r="O1327" s="1"/>
    </row>
    <row r="1328" spans="1:15">
      <c r="A1328" s="1">
        <v>376</v>
      </c>
      <c r="B1328" s="1"/>
      <c r="C1328" s="747" t="s">
        <v>1707</v>
      </c>
      <c r="D1328" s="745" t="s">
        <v>2</v>
      </c>
      <c r="E1328" s="736">
        <v>1</v>
      </c>
      <c r="F1328" s="8">
        <v>16</v>
      </c>
      <c r="G1328" s="742">
        <f t="shared" si="67"/>
        <v>16</v>
      </c>
      <c r="H1328" s="695"/>
      <c r="I1328" s="1"/>
      <c r="J1328" s="1"/>
      <c r="K1328" s="1"/>
      <c r="L1328" s="1"/>
      <c r="M1328" s="1"/>
      <c r="N1328" s="1"/>
      <c r="O1328" s="1"/>
    </row>
    <row r="1329" spans="1:15">
      <c r="A1329" s="1">
        <v>377</v>
      </c>
      <c r="B1329" s="1"/>
      <c r="C1329" s="751" t="s">
        <v>1708</v>
      </c>
      <c r="D1329" s="745" t="s">
        <v>2</v>
      </c>
      <c r="E1329" s="736">
        <v>1</v>
      </c>
      <c r="F1329" s="8">
        <v>4</v>
      </c>
      <c r="G1329" s="742">
        <f t="shared" si="67"/>
        <v>4</v>
      </c>
      <c r="H1329" s="695"/>
      <c r="I1329" s="1"/>
      <c r="J1329" s="1"/>
      <c r="K1329" s="1"/>
      <c r="L1329" s="1"/>
      <c r="M1329" s="1"/>
      <c r="N1329" s="1"/>
      <c r="O1329" s="1"/>
    </row>
    <row r="1330" spans="1:15">
      <c r="A1330" s="1">
        <v>378</v>
      </c>
      <c r="B1330" s="1"/>
      <c r="C1330" s="751" t="s">
        <v>1709</v>
      </c>
      <c r="D1330" s="745" t="s">
        <v>2</v>
      </c>
      <c r="E1330" s="737">
        <v>1</v>
      </c>
      <c r="F1330" s="8">
        <v>3</v>
      </c>
      <c r="G1330" s="742">
        <f t="shared" si="67"/>
        <v>3</v>
      </c>
      <c r="H1330" s="695"/>
      <c r="I1330" s="1"/>
      <c r="J1330" s="1"/>
      <c r="K1330" s="1"/>
      <c r="L1330" s="1"/>
      <c r="M1330" s="1"/>
      <c r="N1330" s="1"/>
      <c r="O1330" s="1"/>
    </row>
    <row r="1331" spans="1:15">
      <c r="A1331" s="1">
        <v>379</v>
      </c>
      <c r="B1331" s="1"/>
      <c r="C1331" s="752" t="s">
        <v>1710</v>
      </c>
      <c r="D1331" s="745" t="s">
        <v>2</v>
      </c>
      <c r="E1331" s="737">
        <v>1</v>
      </c>
      <c r="F1331" s="8">
        <v>6</v>
      </c>
      <c r="G1331" s="742">
        <f t="shared" si="67"/>
        <v>6</v>
      </c>
      <c r="H1331" s="695"/>
      <c r="I1331" s="1"/>
      <c r="J1331" s="1"/>
      <c r="K1331" s="1"/>
      <c r="L1331" s="1"/>
      <c r="M1331" s="1"/>
      <c r="N1331" s="1"/>
      <c r="O1331" s="1"/>
    </row>
    <row r="1332" spans="1:15">
      <c r="A1332" s="1">
        <v>380</v>
      </c>
      <c r="B1332" s="1"/>
      <c r="C1332" s="753" t="s">
        <v>1711</v>
      </c>
      <c r="D1332" s="745" t="s">
        <v>2</v>
      </c>
      <c r="E1332" s="738">
        <v>1</v>
      </c>
      <c r="F1332" s="8">
        <v>6</v>
      </c>
      <c r="G1332" s="742">
        <f t="shared" si="67"/>
        <v>6</v>
      </c>
      <c r="H1332" s="695"/>
      <c r="I1332" s="1"/>
      <c r="J1332" s="1"/>
      <c r="K1332" s="1"/>
      <c r="L1332" s="1"/>
      <c r="M1332" s="1"/>
      <c r="N1332" s="1"/>
      <c r="O1332" s="1"/>
    </row>
    <row r="1333" spans="1:15">
      <c r="A1333" s="1">
        <v>381</v>
      </c>
      <c r="B1333" s="1"/>
      <c r="C1333" s="753" t="s">
        <v>1712</v>
      </c>
      <c r="D1333" s="745" t="s">
        <v>2</v>
      </c>
      <c r="E1333" s="754">
        <v>1</v>
      </c>
      <c r="F1333" s="8">
        <v>6</v>
      </c>
      <c r="G1333" s="742">
        <f t="shared" si="67"/>
        <v>6</v>
      </c>
      <c r="H1333" s="695"/>
      <c r="I1333" s="1"/>
      <c r="J1333" s="1"/>
      <c r="K1333" s="1"/>
      <c r="L1333" s="1"/>
      <c r="M1333" s="1"/>
      <c r="N1333" s="1"/>
      <c r="O1333" s="1"/>
    </row>
    <row r="1334" spans="1:15">
      <c r="A1334" s="1">
        <v>382</v>
      </c>
      <c r="B1334" s="1"/>
      <c r="C1334" s="753" t="s">
        <v>1713</v>
      </c>
      <c r="D1334" s="745" t="s">
        <v>2</v>
      </c>
      <c r="E1334" s="755">
        <v>1</v>
      </c>
      <c r="F1334" s="8">
        <v>36</v>
      </c>
      <c r="G1334" s="742">
        <f t="shared" si="67"/>
        <v>36</v>
      </c>
      <c r="H1334" s="695"/>
      <c r="I1334" s="1"/>
      <c r="J1334" s="1"/>
      <c r="K1334" s="1"/>
      <c r="L1334" s="1"/>
      <c r="M1334" s="1"/>
      <c r="N1334" s="1"/>
      <c r="O1334" s="1"/>
    </row>
    <row r="1335" spans="1:15">
      <c r="A1335" s="1">
        <v>383</v>
      </c>
      <c r="B1335" s="1"/>
      <c r="C1335" s="753" t="s">
        <v>1714</v>
      </c>
      <c r="D1335" s="745" t="s">
        <v>2</v>
      </c>
      <c r="E1335" s="738">
        <v>1</v>
      </c>
      <c r="F1335" s="756">
        <v>17</v>
      </c>
      <c r="G1335" s="742">
        <f t="shared" si="67"/>
        <v>17</v>
      </c>
      <c r="H1335" s="695"/>
      <c r="I1335" s="1"/>
      <c r="J1335" s="1"/>
      <c r="K1335" s="1"/>
      <c r="L1335" s="1"/>
      <c r="M1335" s="1"/>
      <c r="N1335" s="1"/>
      <c r="O1335" s="1"/>
    </row>
    <row r="1336" spans="1:15" ht="45">
      <c r="A1336" s="1"/>
      <c r="B1336" s="1"/>
      <c r="C1336" s="753" t="s">
        <v>1715</v>
      </c>
      <c r="D1336" s="745" t="s">
        <v>2</v>
      </c>
      <c r="E1336" s="8">
        <v>159300</v>
      </c>
      <c r="F1336" s="407">
        <v>1</v>
      </c>
      <c r="G1336" s="742">
        <f t="shared" si="67"/>
        <v>159300</v>
      </c>
      <c r="H1336" s="695"/>
      <c r="I1336" s="1"/>
      <c r="J1336" s="1"/>
      <c r="K1336" s="1"/>
      <c r="L1336" s="1"/>
      <c r="M1336" s="1"/>
      <c r="N1336" s="1"/>
      <c r="O1336" s="1"/>
    </row>
    <row r="1337" spans="1:15">
      <c r="A1337" s="1"/>
      <c r="B1337" s="1"/>
      <c r="C1337" s="757" t="s">
        <v>664</v>
      </c>
      <c r="D1337" s="733" t="s">
        <v>462</v>
      </c>
      <c r="E1337" s="738">
        <v>5894.1</v>
      </c>
      <c r="F1337" s="737">
        <v>40</v>
      </c>
      <c r="G1337" s="741">
        <f t="shared" si="67"/>
        <v>235764</v>
      </c>
      <c r="H1337" s="758"/>
      <c r="I1337" s="759"/>
      <c r="J1337" s="759"/>
      <c r="K1337" s="759"/>
      <c r="L1337" s="759"/>
      <c r="M1337" s="759"/>
      <c r="N1337" s="759"/>
      <c r="O1337" s="759"/>
    </row>
    <row r="1338" spans="1:15">
      <c r="A1338" s="1"/>
      <c r="B1338" s="1"/>
      <c r="C1338" s="757" t="s">
        <v>1716</v>
      </c>
      <c r="D1338" s="733" t="s">
        <v>462</v>
      </c>
      <c r="E1338" s="738">
        <v>295</v>
      </c>
      <c r="F1338" s="737">
        <v>0</v>
      </c>
      <c r="G1338" s="741">
        <f t="shared" si="67"/>
        <v>0</v>
      </c>
      <c r="H1338" s="758"/>
      <c r="I1338" s="758"/>
      <c r="J1338" s="759"/>
      <c r="K1338" s="759"/>
      <c r="L1338" s="759"/>
      <c r="M1338" s="759"/>
      <c r="N1338" s="759"/>
      <c r="O1338" s="759"/>
    </row>
    <row r="1339" spans="1:15" ht="60">
      <c r="A1339" s="1"/>
      <c r="B1339" s="1"/>
      <c r="C1339" s="757" t="s">
        <v>1717</v>
      </c>
      <c r="D1339" s="733" t="s">
        <v>2</v>
      </c>
      <c r="E1339" s="738">
        <v>6841.54</v>
      </c>
      <c r="F1339" s="737">
        <v>0</v>
      </c>
      <c r="G1339" s="741">
        <f t="shared" si="67"/>
        <v>0</v>
      </c>
      <c r="H1339" s="758"/>
      <c r="I1339" s="758"/>
      <c r="J1339" s="759"/>
      <c r="K1339" s="759"/>
      <c r="L1339" s="759"/>
      <c r="M1339" s="759"/>
      <c r="N1339" s="759"/>
      <c r="O1339" s="759"/>
    </row>
    <row r="1340" spans="1:15" ht="30">
      <c r="A1340" s="1"/>
      <c r="B1340" s="1"/>
      <c r="C1340" s="757" t="s">
        <v>1718</v>
      </c>
      <c r="D1340" s="733" t="s">
        <v>2</v>
      </c>
      <c r="E1340" s="738">
        <v>2837.43</v>
      </c>
      <c r="F1340" s="737">
        <v>6</v>
      </c>
      <c r="G1340" s="741">
        <f t="shared" si="67"/>
        <v>17024.579999999998</v>
      </c>
      <c r="H1340" s="758"/>
      <c r="I1340" s="758"/>
      <c r="J1340" s="759"/>
      <c r="K1340" s="759"/>
      <c r="L1340" s="759"/>
      <c r="M1340" s="759"/>
      <c r="N1340" s="759"/>
      <c r="O1340" s="759"/>
    </row>
    <row r="1341" spans="1:15" ht="30">
      <c r="A1341" s="1"/>
      <c r="B1341" s="1"/>
      <c r="C1341" s="757" t="s">
        <v>1719</v>
      </c>
      <c r="D1341" s="733" t="s">
        <v>2</v>
      </c>
      <c r="E1341" s="738">
        <v>2837.43</v>
      </c>
      <c r="F1341" s="737">
        <v>6</v>
      </c>
      <c r="G1341" s="741">
        <f t="shared" si="67"/>
        <v>17024.579999999998</v>
      </c>
      <c r="H1341" s="758"/>
      <c r="I1341" s="758"/>
      <c r="J1341" s="759"/>
      <c r="K1341" s="759"/>
      <c r="L1341" s="759"/>
      <c r="M1341" s="759"/>
      <c r="N1341" s="759"/>
      <c r="O1341" s="759"/>
    </row>
    <row r="1342" spans="1:15" ht="30">
      <c r="A1342" s="1"/>
      <c r="B1342" s="1"/>
      <c r="C1342" s="757" t="s">
        <v>1720</v>
      </c>
      <c r="D1342" s="733" t="s">
        <v>2</v>
      </c>
      <c r="E1342" s="738">
        <v>7269.7</v>
      </c>
      <c r="F1342" s="737">
        <v>8</v>
      </c>
      <c r="G1342" s="741">
        <f t="shared" si="67"/>
        <v>58157.599999999999</v>
      </c>
      <c r="H1342" s="758"/>
      <c r="I1342" s="758"/>
      <c r="J1342" s="759"/>
      <c r="K1342" s="759"/>
      <c r="L1342" s="759"/>
      <c r="M1342" s="759"/>
      <c r="N1342" s="759"/>
      <c r="O1342" s="759"/>
    </row>
    <row r="1343" spans="1:15">
      <c r="A1343" s="1"/>
      <c r="B1343" s="1"/>
      <c r="C1343" s="757" t="s">
        <v>1721</v>
      </c>
      <c r="D1343" s="733" t="s">
        <v>2</v>
      </c>
      <c r="E1343" s="738">
        <v>3088.89</v>
      </c>
      <c r="F1343" s="737">
        <v>5</v>
      </c>
      <c r="G1343" s="741">
        <f t="shared" si="67"/>
        <v>15444.449999999999</v>
      </c>
      <c r="H1343" s="758"/>
      <c r="I1343" s="758"/>
      <c r="J1343" s="759"/>
      <c r="K1343" s="759"/>
      <c r="L1343" s="759"/>
      <c r="M1343" s="759"/>
      <c r="N1343" s="759"/>
      <c r="O1343" s="759"/>
    </row>
    <row r="1344" spans="1:15" ht="30">
      <c r="A1344" s="1"/>
      <c r="B1344" s="1"/>
      <c r="C1344" s="757" t="s">
        <v>1722</v>
      </c>
      <c r="D1344" s="733" t="s">
        <v>2</v>
      </c>
      <c r="E1344" s="738">
        <v>622327.28</v>
      </c>
      <c r="F1344" s="737">
        <v>2</v>
      </c>
      <c r="G1344" s="741">
        <f t="shared" si="67"/>
        <v>1244654.56</v>
      </c>
      <c r="H1344" s="758"/>
      <c r="I1344" s="758"/>
      <c r="J1344" s="759"/>
      <c r="K1344" s="759"/>
      <c r="L1344" s="759"/>
      <c r="M1344" s="759"/>
      <c r="N1344" s="759"/>
      <c r="O1344" s="759"/>
    </row>
    <row r="1345" spans="1:15" ht="30">
      <c r="A1345" s="1"/>
      <c r="B1345" s="1"/>
      <c r="C1345" s="757" t="s">
        <v>1723</v>
      </c>
      <c r="D1345" s="733" t="s">
        <v>2</v>
      </c>
      <c r="E1345" s="738">
        <v>88984.98</v>
      </c>
      <c r="F1345" s="737">
        <v>7</v>
      </c>
      <c r="G1345" s="741">
        <f t="shared" si="67"/>
        <v>622894.86</v>
      </c>
      <c r="H1345" s="758"/>
      <c r="I1345" s="758"/>
      <c r="J1345" s="759"/>
      <c r="K1345" s="759"/>
      <c r="L1345" s="759"/>
      <c r="M1345" s="759"/>
      <c r="N1345" s="759"/>
      <c r="O1345" s="759"/>
    </row>
    <row r="1346" spans="1:15">
      <c r="A1346" s="1"/>
      <c r="B1346" s="1"/>
      <c r="C1346" s="441" t="s">
        <v>1724</v>
      </c>
      <c r="D1346" s="733" t="s">
        <v>10</v>
      </c>
      <c r="E1346" s="738">
        <v>475328</v>
      </c>
      <c r="F1346" s="737">
        <v>1</v>
      </c>
      <c r="G1346" s="741">
        <f t="shared" si="67"/>
        <v>475328</v>
      </c>
      <c r="H1346" s="758"/>
      <c r="I1346" s="758"/>
      <c r="J1346" s="759"/>
      <c r="K1346" s="759"/>
      <c r="L1346" s="759"/>
      <c r="M1346" s="759"/>
      <c r="N1346" s="759"/>
      <c r="O1346" s="759"/>
    </row>
    <row r="1347" spans="1:15">
      <c r="A1347" s="1"/>
      <c r="B1347" s="1"/>
      <c r="C1347" s="757" t="s">
        <v>1725</v>
      </c>
      <c r="D1347" s="733" t="s">
        <v>2</v>
      </c>
      <c r="E1347" s="738">
        <v>17700</v>
      </c>
      <c r="F1347" s="737">
        <v>2</v>
      </c>
      <c r="G1347" s="741">
        <f t="shared" ref="G1347:G1399" si="68">E1347*F1347</f>
        <v>35400</v>
      </c>
      <c r="H1347" s="758"/>
      <c r="I1347" s="758"/>
      <c r="J1347" s="759"/>
      <c r="K1347" s="759"/>
      <c r="L1347" s="759"/>
      <c r="M1347" s="759"/>
      <c r="N1347" s="759"/>
      <c r="O1347" s="759"/>
    </row>
    <row r="1348" spans="1:15">
      <c r="A1348" s="1"/>
      <c r="B1348" s="1"/>
      <c r="C1348" s="757" t="s">
        <v>1726</v>
      </c>
      <c r="D1348" s="733" t="s">
        <v>10</v>
      </c>
      <c r="E1348" s="738">
        <v>35400</v>
      </c>
      <c r="F1348" s="737">
        <v>1</v>
      </c>
      <c r="G1348" s="741">
        <f t="shared" si="68"/>
        <v>35400</v>
      </c>
      <c r="H1348" s="758"/>
      <c r="I1348" s="758"/>
      <c r="J1348" s="759"/>
      <c r="K1348" s="759"/>
      <c r="L1348" s="759"/>
      <c r="M1348" s="759"/>
      <c r="N1348" s="759"/>
      <c r="O1348" s="759"/>
    </row>
    <row r="1349" spans="1:15">
      <c r="A1349" s="1"/>
      <c r="B1349" s="1"/>
      <c r="C1349" s="757" t="s">
        <v>1727</v>
      </c>
      <c r="D1349" s="733" t="s">
        <v>2</v>
      </c>
      <c r="E1349" s="738">
        <v>11800</v>
      </c>
      <c r="F1349" s="737">
        <v>2</v>
      </c>
      <c r="G1349" s="741">
        <f t="shared" si="68"/>
        <v>23600</v>
      </c>
      <c r="H1349" s="758"/>
      <c r="I1349" s="758"/>
      <c r="J1349" s="759"/>
      <c r="K1349" s="759"/>
      <c r="L1349" s="759"/>
      <c r="M1349" s="759"/>
      <c r="N1349" s="759"/>
      <c r="O1349" s="759"/>
    </row>
    <row r="1350" spans="1:15">
      <c r="A1350" s="1"/>
      <c r="B1350" s="1"/>
      <c r="C1350" s="757" t="s">
        <v>1728</v>
      </c>
      <c r="D1350" s="733" t="s">
        <v>10</v>
      </c>
      <c r="E1350" s="738">
        <v>23600</v>
      </c>
      <c r="F1350" s="737">
        <v>1</v>
      </c>
      <c r="G1350" s="741">
        <f t="shared" si="68"/>
        <v>23600</v>
      </c>
      <c r="H1350" s="758"/>
      <c r="I1350" s="758"/>
      <c r="J1350" s="759"/>
      <c r="K1350" s="759"/>
      <c r="L1350" s="759"/>
      <c r="M1350" s="759"/>
      <c r="N1350" s="759"/>
      <c r="O1350" s="759"/>
    </row>
    <row r="1351" spans="1:15">
      <c r="A1351" s="1"/>
      <c r="B1351" s="1"/>
      <c r="C1351" s="757" t="s">
        <v>1729</v>
      </c>
      <c r="D1351" s="733" t="s">
        <v>2</v>
      </c>
      <c r="E1351" s="738">
        <v>8834.66</v>
      </c>
      <c r="F1351" s="737">
        <v>2</v>
      </c>
      <c r="G1351" s="741">
        <f t="shared" si="68"/>
        <v>17669.32</v>
      </c>
      <c r="H1351" s="758"/>
      <c r="I1351" s="758"/>
      <c r="J1351" s="759"/>
      <c r="K1351" s="759"/>
      <c r="L1351" s="759"/>
      <c r="M1351" s="759"/>
      <c r="N1351" s="759"/>
      <c r="O1351" s="759"/>
    </row>
    <row r="1352" spans="1:15">
      <c r="A1352" s="1"/>
      <c r="B1352" s="1"/>
      <c r="C1352" s="757" t="s">
        <v>1730</v>
      </c>
      <c r="D1352" s="733" t="s">
        <v>2</v>
      </c>
      <c r="E1352" s="738">
        <v>7363.2</v>
      </c>
      <c r="F1352" s="737">
        <v>1</v>
      </c>
      <c r="G1352" s="741">
        <f t="shared" si="68"/>
        <v>7363.2</v>
      </c>
      <c r="H1352" s="758"/>
      <c r="I1352" s="758"/>
      <c r="J1352" s="759"/>
      <c r="K1352" s="759"/>
      <c r="L1352" s="759"/>
      <c r="M1352" s="759"/>
      <c r="N1352" s="759"/>
      <c r="O1352" s="759"/>
    </row>
    <row r="1353" spans="1:15">
      <c r="A1353" s="1"/>
      <c r="B1353" s="1"/>
      <c r="C1353" s="757" t="s">
        <v>1731</v>
      </c>
      <c r="D1353" s="733" t="s">
        <v>2</v>
      </c>
      <c r="E1353" s="738">
        <v>2944.1</v>
      </c>
      <c r="F1353" s="737">
        <v>3</v>
      </c>
      <c r="G1353" s="741">
        <f t="shared" si="68"/>
        <v>8832.2999999999993</v>
      </c>
      <c r="H1353" s="758"/>
      <c r="I1353" s="758"/>
      <c r="J1353" s="759"/>
      <c r="K1353" s="759"/>
      <c r="L1353" s="759"/>
      <c r="M1353" s="759"/>
      <c r="N1353" s="759"/>
      <c r="O1353" s="759"/>
    </row>
    <row r="1354" spans="1:15">
      <c r="A1354" s="1"/>
      <c r="B1354" s="1"/>
      <c r="C1354" s="757" t="s">
        <v>1732</v>
      </c>
      <c r="D1354" s="733" t="s">
        <v>2</v>
      </c>
      <c r="E1354" s="738">
        <v>1882.1</v>
      </c>
      <c r="F1354" s="737">
        <v>3</v>
      </c>
      <c r="G1354" s="741">
        <f t="shared" si="68"/>
        <v>5646.2999999999993</v>
      </c>
      <c r="H1354" s="758"/>
      <c r="I1354" s="758"/>
      <c r="J1354" s="759"/>
      <c r="K1354" s="759"/>
      <c r="L1354" s="759"/>
      <c r="M1354" s="759"/>
      <c r="N1354" s="759"/>
      <c r="O1354" s="759"/>
    </row>
    <row r="1355" spans="1:15">
      <c r="A1355" s="1"/>
      <c r="B1355" s="1"/>
      <c r="C1355" s="757" t="s">
        <v>1733</v>
      </c>
      <c r="D1355" s="733" t="s">
        <v>2</v>
      </c>
      <c r="E1355" s="738">
        <v>1412.46</v>
      </c>
      <c r="F1355" s="737">
        <v>10</v>
      </c>
      <c r="G1355" s="741">
        <f t="shared" si="68"/>
        <v>14124.6</v>
      </c>
      <c r="H1355" s="758"/>
      <c r="I1355" s="758"/>
      <c r="J1355" s="759"/>
      <c r="K1355" s="759"/>
      <c r="L1355" s="759"/>
      <c r="M1355" s="759"/>
      <c r="N1355" s="759"/>
      <c r="O1355" s="759"/>
    </row>
    <row r="1356" spans="1:15">
      <c r="A1356" s="1"/>
      <c r="B1356" s="1"/>
      <c r="C1356" s="757" t="s">
        <v>1734</v>
      </c>
      <c r="D1356" s="733" t="s">
        <v>2</v>
      </c>
      <c r="E1356" s="738">
        <v>2000.1</v>
      </c>
      <c r="F1356" s="737">
        <v>3</v>
      </c>
      <c r="G1356" s="741">
        <f t="shared" si="68"/>
        <v>6000.2999999999993</v>
      </c>
      <c r="H1356" s="758"/>
      <c r="I1356" s="758"/>
      <c r="J1356" s="759"/>
      <c r="K1356" s="759"/>
      <c r="L1356" s="759"/>
      <c r="M1356" s="759"/>
      <c r="N1356" s="759"/>
      <c r="O1356" s="759"/>
    </row>
    <row r="1357" spans="1:15" ht="45">
      <c r="A1357" s="1"/>
      <c r="B1357" s="1"/>
      <c r="C1357" s="757" t="s">
        <v>1735</v>
      </c>
      <c r="D1357" s="733" t="s">
        <v>1681</v>
      </c>
      <c r="E1357" s="738">
        <v>251558.3</v>
      </c>
      <c r="F1357" s="737">
        <v>0.43809999999999999</v>
      </c>
      <c r="G1357" s="741">
        <f t="shared" si="68"/>
        <v>110207.69123</v>
      </c>
      <c r="H1357" s="758"/>
      <c r="I1357" s="758"/>
      <c r="J1357" s="759"/>
      <c r="K1357" s="759"/>
      <c r="L1357" s="759"/>
      <c r="M1357" s="759"/>
      <c r="N1357" s="759"/>
      <c r="O1357" s="759"/>
    </row>
    <row r="1358" spans="1:15" ht="30">
      <c r="A1358" s="1"/>
      <c r="B1358" s="1"/>
      <c r="C1358" s="760" t="s">
        <v>1736</v>
      </c>
      <c r="D1358" s="733" t="s">
        <v>3</v>
      </c>
      <c r="E1358" s="738">
        <v>3733.64</v>
      </c>
      <c r="F1358" s="737">
        <v>13</v>
      </c>
      <c r="G1358" s="741">
        <f t="shared" si="68"/>
        <v>48537.32</v>
      </c>
      <c r="H1358" s="758"/>
      <c r="I1358" s="758"/>
      <c r="J1358" s="759"/>
      <c r="K1358" s="759"/>
      <c r="L1358" s="759"/>
      <c r="M1358" s="759"/>
      <c r="N1358" s="759"/>
      <c r="O1358" s="759"/>
    </row>
    <row r="1359" spans="1:15" ht="45">
      <c r="A1359" s="1"/>
      <c r="B1359" s="1"/>
      <c r="C1359" s="760" t="s">
        <v>1737</v>
      </c>
      <c r="D1359" s="733" t="s">
        <v>3</v>
      </c>
      <c r="E1359" s="738">
        <v>7553.58</v>
      </c>
      <c r="F1359" s="737">
        <v>4</v>
      </c>
      <c r="G1359" s="741">
        <f t="shared" si="68"/>
        <v>30214.32</v>
      </c>
      <c r="H1359" s="758"/>
      <c r="I1359" s="758"/>
      <c r="J1359" s="759"/>
      <c r="K1359" s="759"/>
      <c r="L1359" s="759"/>
      <c r="M1359" s="759"/>
      <c r="N1359" s="759"/>
      <c r="O1359" s="759"/>
    </row>
    <row r="1360" spans="1:15" ht="60">
      <c r="A1360" s="1"/>
      <c r="B1360" s="1"/>
      <c r="C1360" s="760" t="s">
        <v>1738</v>
      </c>
      <c r="D1360" s="733" t="s">
        <v>3</v>
      </c>
      <c r="E1360" s="738">
        <v>5390.95</v>
      </c>
      <c r="F1360" s="737">
        <v>4</v>
      </c>
      <c r="G1360" s="741">
        <f t="shared" si="68"/>
        <v>21563.8</v>
      </c>
      <c r="H1360" s="758"/>
      <c r="I1360" s="758"/>
      <c r="J1360" s="759"/>
      <c r="K1360" s="759"/>
      <c r="L1360" s="759"/>
      <c r="M1360" s="759"/>
      <c r="N1360" s="759"/>
      <c r="O1360" s="759"/>
    </row>
    <row r="1361" spans="1:15" ht="30">
      <c r="A1361" s="1"/>
      <c r="B1361" s="1"/>
      <c r="C1361" s="747" t="s">
        <v>1739</v>
      </c>
      <c r="D1361" s="733" t="s">
        <v>3</v>
      </c>
      <c r="E1361" s="738">
        <v>3409.68</v>
      </c>
      <c r="F1361" s="737">
        <v>16</v>
      </c>
      <c r="G1361" s="741">
        <f t="shared" si="68"/>
        <v>54554.879999999997</v>
      </c>
      <c r="H1361" s="758"/>
      <c r="I1361" s="758"/>
      <c r="J1361" s="759"/>
      <c r="K1361" s="759"/>
      <c r="L1361" s="759"/>
      <c r="M1361" s="759"/>
      <c r="N1361" s="759"/>
      <c r="O1361" s="759"/>
    </row>
    <row r="1362" spans="1:15" ht="45">
      <c r="A1362" s="1"/>
      <c r="B1362" s="1"/>
      <c r="C1362" s="753" t="s">
        <v>1740</v>
      </c>
      <c r="D1362" s="733" t="s">
        <v>3</v>
      </c>
      <c r="E1362" s="738">
        <v>7109.5</v>
      </c>
      <c r="F1362" s="737">
        <v>6</v>
      </c>
      <c r="G1362" s="741">
        <f t="shared" si="68"/>
        <v>42657</v>
      </c>
      <c r="H1362" s="758"/>
      <c r="I1362" s="758"/>
      <c r="J1362" s="759"/>
      <c r="K1362" s="759"/>
      <c r="L1362" s="759"/>
      <c r="M1362" s="759"/>
      <c r="N1362" s="759"/>
      <c r="O1362" s="759"/>
    </row>
    <row r="1363" spans="1:15" ht="60">
      <c r="A1363" s="1"/>
      <c r="B1363" s="1"/>
      <c r="C1363" s="753" t="s">
        <v>1741</v>
      </c>
      <c r="D1363" s="733" t="s">
        <v>3</v>
      </c>
      <c r="E1363" s="738">
        <v>5076.25</v>
      </c>
      <c r="F1363" s="737">
        <v>6</v>
      </c>
      <c r="G1363" s="741">
        <f t="shared" si="68"/>
        <v>30457.5</v>
      </c>
      <c r="H1363" s="758"/>
      <c r="I1363" s="758"/>
      <c r="J1363" s="759"/>
      <c r="K1363" s="759"/>
      <c r="L1363" s="759"/>
      <c r="M1363" s="759"/>
      <c r="N1363" s="759"/>
      <c r="O1363" s="759"/>
    </row>
    <row r="1364" spans="1:15" ht="60">
      <c r="A1364" s="1"/>
      <c r="B1364" s="1"/>
      <c r="C1364" s="753" t="s">
        <v>1742</v>
      </c>
      <c r="D1364" s="733" t="s">
        <v>3</v>
      </c>
      <c r="E1364" s="738">
        <v>92021.36</v>
      </c>
      <c r="F1364" s="737">
        <v>4</v>
      </c>
      <c r="G1364" s="741">
        <f t="shared" si="68"/>
        <v>368085.44</v>
      </c>
      <c r="H1364" s="758"/>
      <c r="I1364" s="758"/>
      <c r="J1364" s="759"/>
      <c r="K1364" s="759"/>
      <c r="L1364" s="759"/>
      <c r="M1364" s="759"/>
      <c r="N1364" s="759"/>
      <c r="O1364" s="759"/>
    </row>
    <row r="1365" spans="1:15" ht="60">
      <c r="A1365" s="1"/>
      <c r="B1365" s="1"/>
      <c r="C1365" s="753" t="s">
        <v>1743</v>
      </c>
      <c r="D1365" s="733" t="s">
        <v>3</v>
      </c>
      <c r="E1365" s="738">
        <v>92021.36</v>
      </c>
      <c r="F1365" s="737">
        <v>3</v>
      </c>
      <c r="G1365" s="741">
        <f t="shared" si="68"/>
        <v>276064.08</v>
      </c>
      <c r="H1365" s="758"/>
      <c r="I1365" s="758"/>
      <c r="J1365" s="759"/>
      <c r="K1365" s="759"/>
      <c r="L1365" s="759"/>
      <c r="M1365" s="759"/>
      <c r="N1365" s="759"/>
      <c r="O1365" s="759"/>
    </row>
    <row r="1366" spans="1:15" ht="30">
      <c r="A1366" s="1"/>
      <c r="B1366" s="1"/>
      <c r="C1366" s="761" t="s">
        <v>1744</v>
      </c>
      <c r="D1366" s="733" t="s">
        <v>3</v>
      </c>
      <c r="E1366" s="738">
        <v>3402.17</v>
      </c>
      <c r="F1366" s="737">
        <v>22</v>
      </c>
      <c r="G1366" s="741">
        <f t="shared" si="68"/>
        <v>74847.740000000005</v>
      </c>
      <c r="H1366" s="758"/>
      <c r="I1366" s="758"/>
      <c r="J1366" s="759"/>
      <c r="K1366" s="759"/>
      <c r="L1366" s="759"/>
      <c r="M1366" s="759"/>
      <c r="N1366" s="759"/>
      <c r="O1366" s="759"/>
    </row>
    <row r="1367" spans="1:15">
      <c r="A1367" s="1"/>
      <c r="B1367" s="1"/>
      <c r="C1367" s="762"/>
      <c r="D1367" s="733"/>
      <c r="E1367" s="738"/>
      <c r="F1367" s="737"/>
      <c r="G1367" s="741"/>
      <c r="H1367" s="758"/>
      <c r="I1367" s="758"/>
      <c r="J1367" s="759"/>
      <c r="K1367" s="759"/>
      <c r="L1367" s="759"/>
      <c r="M1367" s="759"/>
      <c r="N1367" s="759"/>
      <c r="O1367" s="759"/>
    </row>
    <row r="1368" spans="1:15">
      <c r="A1368" s="1"/>
      <c r="B1368" s="1"/>
      <c r="C1368" s="441"/>
      <c r="D1368" s="735"/>
      <c r="E1368" s="1"/>
      <c r="F1368" s="407"/>
      <c r="G1368" s="742"/>
      <c r="H1368" s="758"/>
      <c r="I1368" s="759"/>
      <c r="J1368" s="759"/>
      <c r="K1368" s="759"/>
      <c r="L1368" s="759"/>
      <c r="M1368" s="759"/>
      <c r="N1368" s="759"/>
      <c r="O1368" s="759"/>
    </row>
    <row r="1369" spans="1:15">
      <c r="A1369" s="1"/>
      <c r="B1369" s="1"/>
      <c r="C1369" s="1"/>
      <c r="D1369" s="1"/>
      <c r="E1369" s="1"/>
      <c r="F1369" s="1"/>
      <c r="G1369" s="763">
        <f>SUM(G963:G1368)</f>
        <v>21469792.381229989</v>
      </c>
      <c r="H1369"/>
      <c r="I1369"/>
      <c r="J1369"/>
      <c r="K1369"/>
      <c r="L1369"/>
      <c r="M1369"/>
      <c r="N1369"/>
      <c r="O1369"/>
    </row>
    <row r="1370" spans="1:15">
      <c r="A1370" s="1">
        <v>384</v>
      </c>
      <c r="B1370" s="1"/>
      <c r="C1370" s="764" t="s">
        <v>1745</v>
      </c>
      <c r="D1370" s="729" t="s">
        <v>462</v>
      </c>
      <c r="E1370" s="765">
        <v>99.9</v>
      </c>
      <c r="F1370" s="1"/>
      <c r="G1370" s="1"/>
      <c r="H1370" s="1"/>
      <c r="I1370" s="1"/>
      <c r="J1370" s="1"/>
      <c r="K1370" s="1"/>
      <c r="L1370" s="1"/>
      <c r="M1370" s="1"/>
      <c r="N1370" s="766">
        <v>1904.2</v>
      </c>
      <c r="O1370" s="765">
        <f>E1370*N1370</f>
        <v>190229.58000000002</v>
      </c>
    </row>
    <row r="1371" spans="1:15">
      <c r="A1371" s="1">
        <v>385</v>
      </c>
      <c r="B1371" s="1"/>
      <c r="C1371" s="764" t="s">
        <v>1746</v>
      </c>
      <c r="D1371" s="729" t="s">
        <v>462</v>
      </c>
      <c r="E1371" s="765">
        <v>76.599999999999994</v>
      </c>
      <c r="F1371" s="1"/>
      <c r="G1371" s="1"/>
      <c r="H1371" s="1"/>
      <c r="I1371" s="1"/>
      <c r="J1371" s="1"/>
      <c r="K1371" s="1"/>
      <c r="L1371" s="1"/>
      <c r="M1371" s="1"/>
      <c r="N1371" s="766">
        <v>0</v>
      </c>
      <c r="O1371" s="765">
        <f t="shared" ref="O1371:O1398" si="69">E1371*N1371</f>
        <v>0</v>
      </c>
    </row>
    <row r="1372" spans="1:15">
      <c r="A1372" s="1">
        <v>386</v>
      </c>
      <c r="B1372" s="1"/>
      <c r="C1372" s="767" t="s">
        <v>1747</v>
      </c>
      <c r="D1372" s="729" t="s">
        <v>462</v>
      </c>
      <c r="E1372" s="765">
        <v>40</v>
      </c>
      <c r="F1372" s="1"/>
      <c r="G1372" s="1"/>
      <c r="H1372" s="1"/>
      <c r="I1372" s="1"/>
      <c r="J1372" s="1"/>
      <c r="K1372" s="1"/>
      <c r="L1372" s="1"/>
      <c r="M1372" s="1"/>
      <c r="N1372" s="766">
        <v>0</v>
      </c>
      <c r="O1372" s="765">
        <f t="shared" si="69"/>
        <v>0</v>
      </c>
    </row>
    <row r="1373" spans="1:15">
      <c r="A1373" s="1">
        <v>387</v>
      </c>
      <c r="B1373" s="1"/>
      <c r="C1373" s="768" t="s">
        <v>1748</v>
      </c>
      <c r="D1373" s="731" t="s">
        <v>462</v>
      </c>
      <c r="E1373" s="769">
        <v>20</v>
      </c>
      <c r="F1373" s="1"/>
      <c r="G1373" s="1"/>
      <c r="H1373" s="1"/>
      <c r="I1373" s="1"/>
      <c r="J1373" s="1"/>
      <c r="K1373" s="1"/>
      <c r="L1373" s="1"/>
      <c r="M1373" s="1"/>
      <c r="N1373" s="770">
        <v>0</v>
      </c>
      <c r="O1373" s="765">
        <f t="shared" si="69"/>
        <v>0</v>
      </c>
    </row>
    <row r="1374" spans="1:15" ht="30">
      <c r="A1374" s="1">
        <v>388</v>
      </c>
      <c r="B1374" s="1"/>
      <c r="C1374" s="764" t="s">
        <v>1749</v>
      </c>
      <c r="D1374" s="729" t="s">
        <v>2</v>
      </c>
      <c r="E1374" s="771">
        <v>2500</v>
      </c>
      <c r="F1374" s="1"/>
      <c r="G1374" s="1"/>
      <c r="H1374" s="1"/>
      <c r="I1374" s="1"/>
      <c r="J1374" s="1"/>
      <c r="K1374" s="1"/>
      <c r="L1374" s="1"/>
      <c r="M1374" s="1"/>
      <c r="N1374" s="766">
        <v>0</v>
      </c>
      <c r="O1374" s="765">
        <f t="shared" si="69"/>
        <v>0</v>
      </c>
    </row>
    <row r="1375" spans="1:15">
      <c r="A1375" s="1">
        <v>389</v>
      </c>
      <c r="B1375" s="1"/>
      <c r="C1375" s="772" t="s">
        <v>1750</v>
      </c>
      <c r="D1375" s="27" t="s">
        <v>2</v>
      </c>
      <c r="E1375" s="771">
        <v>1500</v>
      </c>
      <c r="F1375" s="1"/>
      <c r="G1375" s="1"/>
      <c r="H1375" s="1"/>
      <c r="I1375" s="1"/>
      <c r="J1375" s="1"/>
      <c r="K1375" s="1"/>
      <c r="L1375" s="1"/>
      <c r="M1375" s="1"/>
      <c r="N1375" s="766">
        <v>0</v>
      </c>
      <c r="O1375" s="765">
        <f t="shared" si="69"/>
        <v>0</v>
      </c>
    </row>
    <row r="1376" spans="1:15">
      <c r="A1376" s="1">
        <v>390</v>
      </c>
      <c r="B1376" s="1"/>
      <c r="C1376" s="773" t="s">
        <v>1751</v>
      </c>
      <c r="D1376" s="731" t="s">
        <v>2</v>
      </c>
      <c r="E1376" s="769">
        <v>100</v>
      </c>
      <c r="F1376" s="1"/>
      <c r="G1376" s="1"/>
      <c r="H1376" s="1"/>
      <c r="I1376" s="1"/>
      <c r="J1376" s="1"/>
      <c r="K1376" s="1"/>
      <c r="L1376" s="1"/>
      <c r="M1376" s="1"/>
      <c r="N1376" s="770">
        <v>2</v>
      </c>
      <c r="O1376" s="765">
        <f t="shared" si="69"/>
        <v>200</v>
      </c>
    </row>
    <row r="1377" spans="1:15">
      <c r="A1377" s="1">
        <v>391</v>
      </c>
      <c r="B1377" s="1"/>
      <c r="C1377" s="764" t="s">
        <v>1752</v>
      </c>
      <c r="D1377" s="729" t="s">
        <v>2</v>
      </c>
      <c r="E1377" s="765">
        <v>2500</v>
      </c>
      <c r="F1377" s="1"/>
      <c r="G1377" s="1"/>
      <c r="H1377" s="1"/>
      <c r="I1377" s="1"/>
      <c r="J1377" s="1"/>
      <c r="K1377" s="1"/>
      <c r="L1377" s="1"/>
      <c r="M1377" s="1"/>
      <c r="N1377" s="766">
        <v>0</v>
      </c>
      <c r="O1377" s="765">
        <f t="shared" si="69"/>
        <v>0</v>
      </c>
    </row>
    <row r="1378" spans="1:15">
      <c r="A1378" s="1">
        <v>392</v>
      </c>
      <c r="B1378" s="1"/>
      <c r="C1378" s="767" t="s">
        <v>1753</v>
      </c>
      <c r="D1378" s="27" t="s">
        <v>10</v>
      </c>
      <c r="E1378" s="765">
        <v>500</v>
      </c>
      <c r="F1378" s="1"/>
      <c r="G1378" s="1"/>
      <c r="H1378" s="1"/>
      <c r="I1378" s="1"/>
      <c r="J1378" s="1"/>
      <c r="K1378" s="1"/>
      <c r="L1378" s="1"/>
      <c r="M1378" s="1"/>
      <c r="N1378" s="766">
        <v>0</v>
      </c>
      <c r="O1378" s="765">
        <f t="shared" si="69"/>
        <v>0</v>
      </c>
    </row>
    <row r="1379" spans="1:15">
      <c r="A1379" s="1">
        <v>393</v>
      </c>
      <c r="B1379" s="1"/>
      <c r="C1379" s="772" t="s">
        <v>1754</v>
      </c>
      <c r="D1379" s="27" t="s">
        <v>2</v>
      </c>
      <c r="E1379" s="765">
        <v>100</v>
      </c>
      <c r="F1379" s="1"/>
      <c r="G1379" s="1"/>
      <c r="H1379" s="1"/>
      <c r="I1379" s="1"/>
      <c r="J1379" s="1"/>
      <c r="K1379" s="1"/>
      <c r="L1379" s="1"/>
      <c r="M1379" s="1"/>
      <c r="N1379" s="774">
        <v>107</v>
      </c>
      <c r="O1379" s="765">
        <f t="shared" si="69"/>
        <v>10700</v>
      </c>
    </row>
    <row r="1380" spans="1:15">
      <c r="A1380" s="1">
        <v>394</v>
      </c>
      <c r="B1380" s="1"/>
      <c r="C1380" s="768" t="s">
        <v>1755</v>
      </c>
      <c r="D1380" s="775" t="s">
        <v>2</v>
      </c>
      <c r="E1380" s="765">
        <v>2500</v>
      </c>
      <c r="F1380" s="1"/>
      <c r="G1380" s="1"/>
      <c r="H1380" s="1"/>
      <c r="I1380" s="1"/>
      <c r="J1380" s="1"/>
      <c r="K1380" s="1"/>
      <c r="L1380" s="1"/>
      <c r="M1380" s="1"/>
      <c r="N1380" s="766">
        <v>0</v>
      </c>
      <c r="O1380" s="765">
        <f t="shared" si="69"/>
        <v>0</v>
      </c>
    </row>
    <row r="1381" spans="1:15">
      <c r="A1381" s="1">
        <v>395</v>
      </c>
      <c r="B1381" s="1"/>
      <c r="C1381" s="768" t="s">
        <v>1756</v>
      </c>
      <c r="D1381" s="775" t="s">
        <v>2</v>
      </c>
      <c r="E1381" s="765">
        <v>100</v>
      </c>
      <c r="F1381" s="1"/>
      <c r="G1381" s="1"/>
      <c r="H1381" s="1"/>
      <c r="I1381" s="1"/>
      <c r="J1381" s="1"/>
      <c r="K1381" s="1"/>
      <c r="L1381" s="1"/>
      <c r="M1381" s="1"/>
      <c r="N1381" s="766">
        <v>0</v>
      </c>
      <c r="O1381" s="765">
        <f t="shared" si="69"/>
        <v>0</v>
      </c>
    </row>
    <row r="1382" spans="1:15">
      <c r="A1382" s="1">
        <v>396</v>
      </c>
      <c r="B1382" s="1"/>
      <c r="C1382" s="768" t="s">
        <v>1757</v>
      </c>
      <c r="D1382" s="775" t="s">
        <v>2</v>
      </c>
      <c r="E1382" s="765">
        <v>100</v>
      </c>
      <c r="F1382" s="1"/>
      <c r="G1382" s="1"/>
      <c r="H1382" s="1"/>
      <c r="I1382" s="1"/>
      <c r="J1382" s="1"/>
      <c r="K1382" s="1"/>
      <c r="L1382" s="1"/>
      <c r="M1382" s="1"/>
      <c r="N1382" s="766">
        <v>1</v>
      </c>
      <c r="O1382" s="765">
        <f t="shared" si="69"/>
        <v>100</v>
      </c>
    </row>
    <row r="1383" spans="1:15" ht="30">
      <c r="A1383" s="1">
        <v>397</v>
      </c>
      <c r="B1383" s="1"/>
      <c r="C1383" s="211" t="s">
        <v>1758</v>
      </c>
      <c r="D1383" s="1" t="s">
        <v>462</v>
      </c>
      <c r="E1383" s="8">
        <v>20</v>
      </c>
      <c r="F1383" s="1"/>
      <c r="G1383" s="1">
        <f>SUM(E1383:F1383)</f>
        <v>20</v>
      </c>
      <c r="H1383" s="8">
        <v>0</v>
      </c>
      <c r="I1383" s="8">
        <f>E1383*H1383</f>
        <v>0</v>
      </c>
      <c r="J1383" s="1"/>
      <c r="K1383" s="1"/>
      <c r="L1383" s="1"/>
      <c r="M1383" s="1"/>
      <c r="N1383" s="1"/>
      <c r="O1383" s="765"/>
    </row>
    <row r="1384" spans="1:15" ht="30">
      <c r="A1384" s="1">
        <v>398</v>
      </c>
      <c r="B1384" s="1"/>
      <c r="C1384" s="211" t="s">
        <v>1759</v>
      </c>
      <c r="D1384" s="8" t="s">
        <v>2</v>
      </c>
      <c r="E1384" s="765">
        <v>25000</v>
      </c>
      <c r="F1384" s="8">
        <v>1</v>
      </c>
      <c r="G1384" s="8">
        <f>E1384*F1384</f>
        <v>25000</v>
      </c>
      <c r="H1384" s="1"/>
      <c r="I1384" s="1"/>
      <c r="J1384" s="1"/>
      <c r="K1384" s="1"/>
      <c r="L1384" s="1"/>
      <c r="M1384" s="1"/>
      <c r="N1384" s="1"/>
      <c r="O1384" s="765"/>
    </row>
    <row r="1385" spans="1:15">
      <c r="A1385" s="1">
        <v>399</v>
      </c>
      <c r="B1385" s="1"/>
      <c r="C1385" s="767" t="s">
        <v>1760</v>
      </c>
      <c r="D1385" s="8" t="s">
        <v>2</v>
      </c>
      <c r="E1385" s="765">
        <v>2500</v>
      </c>
      <c r="F1385" s="8">
        <v>1</v>
      </c>
      <c r="G1385" s="8">
        <f>E1385*F1385</f>
        <v>2500</v>
      </c>
      <c r="H1385" s="1"/>
      <c r="I1385" s="1"/>
      <c r="J1385" s="1"/>
      <c r="K1385" s="1"/>
      <c r="L1385" s="1"/>
      <c r="M1385" s="1"/>
      <c r="N1385" s="1"/>
      <c r="O1385" s="765"/>
    </row>
    <row r="1386" spans="1:15">
      <c r="A1386" s="1">
        <v>400</v>
      </c>
      <c r="B1386" s="1"/>
      <c r="C1386" s="768" t="s">
        <v>1761</v>
      </c>
      <c r="D1386" s="8" t="s">
        <v>2</v>
      </c>
      <c r="E1386" s="8">
        <v>20</v>
      </c>
      <c r="F1386" s="1"/>
      <c r="G1386" s="1"/>
      <c r="H1386" s="1"/>
      <c r="I1386" s="1"/>
      <c r="J1386" s="1"/>
      <c r="K1386" s="1"/>
      <c r="L1386" s="1"/>
      <c r="M1386" s="1"/>
      <c r="N1386" s="1">
        <v>15</v>
      </c>
      <c r="O1386" s="765">
        <f t="shared" si="69"/>
        <v>300</v>
      </c>
    </row>
    <row r="1387" spans="1:15">
      <c r="A1387" s="1">
        <v>401</v>
      </c>
      <c r="B1387" s="1"/>
      <c r="C1387" s="211" t="s">
        <v>1660</v>
      </c>
      <c r="D1387" s="735" t="s">
        <v>462</v>
      </c>
      <c r="E1387" s="8">
        <v>8.26</v>
      </c>
      <c r="F1387" s="1"/>
      <c r="G1387" s="1"/>
      <c r="H1387" s="1"/>
      <c r="I1387" s="1"/>
      <c r="J1387" s="1"/>
      <c r="K1387" s="1"/>
      <c r="L1387" s="1"/>
      <c r="M1387" s="1"/>
      <c r="N1387" s="1">
        <v>0</v>
      </c>
      <c r="O1387" s="765">
        <f t="shared" si="69"/>
        <v>0</v>
      </c>
    </row>
    <row r="1388" spans="1:15">
      <c r="A1388" s="1">
        <v>402</v>
      </c>
      <c r="B1388" s="1"/>
      <c r="C1388" s="211" t="s">
        <v>1665</v>
      </c>
      <c r="D1388" s="735" t="s">
        <v>462</v>
      </c>
      <c r="E1388" s="8">
        <v>8.26</v>
      </c>
      <c r="F1388" s="1"/>
      <c r="G1388" s="1"/>
      <c r="H1388" s="1"/>
      <c r="I1388" s="1"/>
      <c r="J1388" s="1"/>
      <c r="K1388" s="1"/>
      <c r="L1388" s="1"/>
      <c r="M1388" s="1"/>
      <c r="N1388" s="1">
        <v>0</v>
      </c>
      <c r="O1388" s="765">
        <f t="shared" si="69"/>
        <v>0</v>
      </c>
    </row>
    <row r="1389" spans="1:15">
      <c r="A1389" s="1">
        <v>403</v>
      </c>
      <c r="B1389" s="1"/>
      <c r="C1389" s="211" t="s">
        <v>1762</v>
      </c>
      <c r="D1389" s="735" t="s">
        <v>462</v>
      </c>
      <c r="E1389" s="8">
        <v>20</v>
      </c>
      <c r="F1389" s="1"/>
      <c r="G1389" s="1"/>
      <c r="H1389" s="1"/>
      <c r="I1389" s="1"/>
      <c r="J1389" s="1"/>
      <c r="K1389" s="1"/>
      <c r="L1389" s="1"/>
      <c r="M1389" s="1"/>
      <c r="N1389" s="47">
        <v>0</v>
      </c>
      <c r="O1389" s="765">
        <f t="shared" si="69"/>
        <v>0</v>
      </c>
    </row>
    <row r="1390" spans="1:15">
      <c r="A1390" s="1">
        <v>404</v>
      </c>
      <c r="B1390" s="1"/>
      <c r="C1390" s="211" t="s">
        <v>1763</v>
      </c>
      <c r="D1390" s="735" t="s">
        <v>462</v>
      </c>
      <c r="E1390" s="8">
        <v>20</v>
      </c>
      <c r="F1390" s="1"/>
      <c r="G1390" s="1"/>
      <c r="H1390" s="1"/>
      <c r="I1390" s="1"/>
      <c r="J1390" s="1"/>
      <c r="K1390" s="1"/>
      <c r="L1390" s="1"/>
      <c r="M1390" s="1"/>
      <c r="N1390" s="47">
        <v>0</v>
      </c>
      <c r="O1390" s="765">
        <f t="shared" si="69"/>
        <v>0</v>
      </c>
    </row>
    <row r="1391" spans="1:15">
      <c r="A1391" s="1">
        <v>405</v>
      </c>
      <c r="B1391" s="1"/>
      <c r="C1391" s="211" t="s">
        <v>1764</v>
      </c>
      <c r="D1391" s="735" t="s">
        <v>10</v>
      </c>
      <c r="E1391" s="775">
        <v>17565</v>
      </c>
      <c r="F1391" s="1"/>
      <c r="G1391" s="1"/>
      <c r="H1391" s="1"/>
      <c r="I1391" s="1"/>
      <c r="J1391" s="1"/>
      <c r="K1391" s="1"/>
      <c r="L1391" s="1"/>
      <c r="M1391" s="1"/>
      <c r="N1391" s="47">
        <v>1</v>
      </c>
      <c r="O1391" s="776">
        <f t="shared" si="69"/>
        <v>17565</v>
      </c>
    </row>
    <row r="1392" spans="1:15">
      <c r="A1392" s="1">
        <v>406</v>
      </c>
      <c r="B1392" s="1"/>
      <c r="C1392" s="211" t="s">
        <v>1765</v>
      </c>
      <c r="D1392" s="8" t="s">
        <v>2</v>
      </c>
      <c r="E1392" s="8">
        <v>10000</v>
      </c>
      <c r="F1392" s="1"/>
      <c r="G1392" s="1"/>
      <c r="H1392" s="1"/>
      <c r="I1392" s="1"/>
      <c r="J1392" s="1"/>
      <c r="K1392" s="1"/>
      <c r="L1392" s="1"/>
      <c r="M1392" s="1"/>
      <c r="N1392" s="47">
        <v>1</v>
      </c>
      <c r="O1392" s="765">
        <f t="shared" si="69"/>
        <v>10000</v>
      </c>
    </row>
    <row r="1393" spans="1:15">
      <c r="A1393" s="1">
        <v>407</v>
      </c>
      <c r="B1393" s="1"/>
      <c r="C1393" s="211" t="s">
        <v>1765</v>
      </c>
      <c r="D1393" s="8" t="s">
        <v>2</v>
      </c>
      <c r="E1393" s="8">
        <v>2500</v>
      </c>
      <c r="F1393" s="1"/>
      <c r="G1393" s="1"/>
      <c r="H1393" s="1"/>
      <c r="I1393" s="1"/>
      <c r="J1393" s="1"/>
      <c r="K1393" s="1"/>
      <c r="L1393" s="1"/>
      <c r="M1393" s="1"/>
      <c r="N1393" s="47">
        <v>1</v>
      </c>
      <c r="O1393" s="765">
        <f t="shared" si="69"/>
        <v>2500</v>
      </c>
    </row>
    <row r="1394" spans="1:15" ht="30">
      <c r="A1394" s="1">
        <v>408</v>
      </c>
      <c r="B1394" s="1"/>
      <c r="C1394" s="441" t="s">
        <v>1766</v>
      </c>
      <c r="D1394" s="733" t="s">
        <v>193</v>
      </c>
      <c r="E1394" s="8">
        <v>20</v>
      </c>
      <c r="F1394" s="1"/>
      <c r="G1394" s="1"/>
      <c r="H1394" s="1"/>
      <c r="I1394" s="1"/>
      <c r="J1394" s="1"/>
      <c r="K1394" s="1"/>
      <c r="L1394" s="1"/>
      <c r="M1394" s="1"/>
      <c r="N1394" s="8">
        <v>40</v>
      </c>
      <c r="O1394" s="765">
        <f t="shared" si="69"/>
        <v>800</v>
      </c>
    </row>
    <row r="1395" spans="1:15">
      <c r="A1395" s="1">
        <v>409</v>
      </c>
      <c r="B1395" s="1"/>
      <c r="C1395" s="211" t="s">
        <v>1767</v>
      </c>
      <c r="D1395" s="745" t="s">
        <v>2</v>
      </c>
      <c r="E1395" s="8">
        <v>2000</v>
      </c>
      <c r="F1395" s="1"/>
      <c r="G1395" s="1"/>
      <c r="H1395" s="1"/>
      <c r="I1395" s="1"/>
      <c r="J1395" s="1"/>
      <c r="K1395" s="1"/>
      <c r="L1395" s="1"/>
      <c r="M1395" s="1"/>
      <c r="N1395" s="47">
        <v>1</v>
      </c>
      <c r="O1395" s="765">
        <f t="shared" si="69"/>
        <v>2000</v>
      </c>
    </row>
    <row r="1396" spans="1:15">
      <c r="A1396" s="1">
        <v>410</v>
      </c>
      <c r="B1396" s="1"/>
      <c r="C1396" s="211" t="s">
        <v>1765</v>
      </c>
      <c r="D1396" s="745" t="s">
        <v>2</v>
      </c>
      <c r="E1396" s="8">
        <v>2500</v>
      </c>
      <c r="F1396" s="1"/>
      <c r="G1396" s="1"/>
      <c r="H1396" s="1"/>
      <c r="I1396" s="1"/>
      <c r="J1396" s="1"/>
      <c r="K1396" s="1"/>
      <c r="L1396" s="1"/>
      <c r="M1396" s="1"/>
      <c r="N1396" s="47">
        <v>1</v>
      </c>
      <c r="O1396" s="765">
        <f t="shared" si="69"/>
        <v>2500</v>
      </c>
    </row>
    <row r="1397" spans="1:15">
      <c r="A1397" s="1"/>
      <c r="B1397" s="1"/>
      <c r="C1397" s="777" t="s">
        <v>1768</v>
      </c>
      <c r="D1397" s="735" t="s">
        <v>462</v>
      </c>
      <c r="E1397" s="8">
        <v>20</v>
      </c>
      <c r="F1397" s="1"/>
      <c r="G1397" s="1"/>
      <c r="H1397" s="1"/>
      <c r="I1397" s="1"/>
      <c r="J1397" s="1"/>
      <c r="K1397" s="1"/>
      <c r="L1397" s="1"/>
      <c r="M1397" s="1"/>
      <c r="N1397" s="1">
        <v>10</v>
      </c>
      <c r="O1397" s="765">
        <f t="shared" si="69"/>
        <v>200</v>
      </c>
    </row>
    <row r="1398" spans="1:15">
      <c r="A1398" s="1"/>
      <c r="B1398" s="1"/>
      <c r="C1398" s="777" t="s">
        <v>1769</v>
      </c>
      <c r="D1398" s="735" t="s">
        <v>462</v>
      </c>
      <c r="E1398" s="8">
        <v>20</v>
      </c>
      <c r="F1398" s="1"/>
      <c r="G1398" s="1"/>
      <c r="H1398" s="1"/>
      <c r="I1398" s="1"/>
      <c r="J1398" s="1"/>
      <c r="K1398" s="1"/>
      <c r="L1398" s="1"/>
      <c r="M1398" s="1"/>
      <c r="N1398" s="1">
        <v>50</v>
      </c>
      <c r="O1398" s="765">
        <f t="shared" si="69"/>
        <v>1000</v>
      </c>
    </row>
    <row r="1399" spans="1:15">
      <c r="A1399" s="1"/>
      <c r="B1399" s="1"/>
      <c r="C1399" s="777" t="s">
        <v>1770</v>
      </c>
      <c r="D1399" s="735" t="s">
        <v>9</v>
      </c>
      <c r="E1399" s="8">
        <v>33660</v>
      </c>
      <c r="F1399" s="695">
        <v>0</v>
      </c>
      <c r="G1399" s="1">
        <f>E1399*F1399</f>
        <v>0</v>
      </c>
      <c r="H1399" s="695"/>
      <c r="I1399" s="1"/>
      <c r="J1399" s="1"/>
      <c r="K1399" s="1"/>
      <c r="L1399" s="1"/>
      <c r="M1399" s="1"/>
      <c r="N1399" s="1"/>
      <c r="O1399" s="765"/>
    </row>
    <row r="1400" spans="1:15">
      <c r="A1400" s="1"/>
      <c r="B1400" s="1"/>
      <c r="C1400" s="777" t="s">
        <v>1771</v>
      </c>
      <c r="D1400" s="735" t="s">
        <v>9</v>
      </c>
      <c r="E1400" s="8">
        <v>45900</v>
      </c>
      <c r="F1400" s="1">
        <v>4</v>
      </c>
      <c r="G1400" s="1">
        <f t="shared" ref="G1400:G1401" si="70">E1400*F1400</f>
        <v>183600</v>
      </c>
      <c r="H1400" s="1"/>
      <c r="I1400" s="1"/>
      <c r="J1400" s="1"/>
      <c r="K1400" s="1"/>
      <c r="L1400" s="1"/>
      <c r="M1400" s="1"/>
      <c r="N1400" s="1"/>
      <c r="O1400" s="765"/>
    </row>
    <row r="1401" spans="1:15">
      <c r="A1401" s="1"/>
      <c r="B1401" s="1"/>
      <c r="C1401" s="777" t="s">
        <v>1771</v>
      </c>
      <c r="D1401" s="735" t="s">
        <v>9</v>
      </c>
      <c r="E1401" s="8">
        <v>45900</v>
      </c>
      <c r="F1401" s="1">
        <v>0</v>
      </c>
      <c r="G1401" s="1">
        <f t="shared" si="70"/>
        <v>0</v>
      </c>
      <c r="H1401" s="1"/>
      <c r="I1401" s="1"/>
      <c r="J1401" s="1"/>
      <c r="K1401" s="1"/>
      <c r="L1401" s="1"/>
      <c r="M1401" s="1"/>
      <c r="N1401" s="1"/>
      <c r="O1401" s="765"/>
    </row>
    <row r="1402" spans="1:15" ht="30">
      <c r="A1402" s="1"/>
      <c r="B1402" s="1"/>
      <c r="C1402" s="777" t="s">
        <v>1772</v>
      </c>
      <c r="D1402" s="735" t="s">
        <v>9</v>
      </c>
      <c r="E1402" s="8">
        <v>2500</v>
      </c>
      <c r="F1402" s="1"/>
      <c r="G1402" s="1"/>
      <c r="H1402" s="1"/>
      <c r="I1402" s="1"/>
      <c r="J1402" s="1"/>
      <c r="K1402" s="1"/>
      <c r="L1402" s="1"/>
      <c r="M1402" s="1"/>
      <c r="N1402" s="1">
        <v>1</v>
      </c>
      <c r="O1402" s="765">
        <f>E1402*N1402</f>
        <v>2500</v>
      </c>
    </row>
    <row r="1403" spans="1:15">
      <c r="A1403" s="1"/>
      <c r="B1403" s="1"/>
      <c r="C1403" s="777" t="s">
        <v>1773</v>
      </c>
      <c r="D1403" s="735" t="s">
        <v>9</v>
      </c>
      <c r="E1403" s="8">
        <v>1000</v>
      </c>
      <c r="F1403" s="1"/>
      <c r="G1403" s="1"/>
      <c r="H1403" s="1"/>
      <c r="I1403" s="1"/>
      <c r="J1403" s="1"/>
      <c r="K1403" s="1"/>
      <c r="L1403" s="1"/>
      <c r="M1403" s="1"/>
      <c r="N1403" s="1">
        <v>1</v>
      </c>
      <c r="O1403" s="765">
        <f t="shared" ref="O1403:O1413" si="71">E1403*N1403</f>
        <v>1000</v>
      </c>
    </row>
    <row r="1404" spans="1:15">
      <c r="A1404" s="1"/>
      <c r="B1404" s="1"/>
      <c r="C1404" s="777" t="s">
        <v>1773</v>
      </c>
      <c r="D1404" s="735" t="s">
        <v>9</v>
      </c>
      <c r="E1404" s="8">
        <v>500</v>
      </c>
      <c r="F1404" s="1"/>
      <c r="G1404" s="1"/>
      <c r="H1404" s="1"/>
      <c r="I1404" s="1"/>
      <c r="J1404" s="1"/>
      <c r="K1404" s="1"/>
      <c r="L1404" s="1"/>
      <c r="M1404" s="1"/>
      <c r="N1404" s="1">
        <v>2</v>
      </c>
      <c r="O1404" s="765">
        <f t="shared" si="71"/>
        <v>1000</v>
      </c>
    </row>
    <row r="1405" spans="1:15" ht="30">
      <c r="A1405" s="1"/>
      <c r="B1405" s="1"/>
      <c r="C1405" s="777" t="s">
        <v>1772</v>
      </c>
      <c r="D1405" s="733" t="s">
        <v>2</v>
      </c>
      <c r="E1405" s="738">
        <v>2500</v>
      </c>
      <c r="F1405" s="1"/>
      <c r="G1405" s="1"/>
      <c r="H1405" s="1"/>
      <c r="I1405" s="1"/>
      <c r="J1405" s="1"/>
      <c r="K1405" s="1"/>
      <c r="L1405" s="1"/>
      <c r="M1405" s="1"/>
      <c r="N1405" s="1">
        <v>1</v>
      </c>
      <c r="O1405" s="765">
        <f t="shared" si="71"/>
        <v>2500</v>
      </c>
    </row>
    <row r="1406" spans="1:15">
      <c r="A1406" s="1"/>
      <c r="B1406" s="1"/>
      <c r="C1406" s="777" t="s">
        <v>1773</v>
      </c>
      <c r="D1406" s="733" t="s">
        <v>2</v>
      </c>
      <c r="E1406" s="738">
        <v>1000</v>
      </c>
      <c r="F1406" s="1"/>
      <c r="G1406" s="1"/>
      <c r="H1406" s="1"/>
      <c r="I1406" s="1"/>
      <c r="J1406" s="1"/>
      <c r="K1406" s="1"/>
      <c r="L1406" s="1"/>
      <c r="M1406" s="1"/>
      <c r="N1406" s="1">
        <v>1</v>
      </c>
      <c r="O1406" s="765">
        <f t="shared" si="71"/>
        <v>1000</v>
      </c>
    </row>
    <row r="1407" spans="1:15">
      <c r="A1407" s="1"/>
      <c r="B1407" s="1"/>
      <c r="C1407" s="777" t="s">
        <v>1773</v>
      </c>
      <c r="D1407" s="733" t="s">
        <v>2</v>
      </c>
      <c r="E1407" s="738">
        <v>500</v>
      </c>
      <c r="F1407" s="1"/>
      <c r="G1407" s="1"/>
      <c r="H1407" s="1"/>
      <c r="I1407" s="1"/>
      <c r="J1407" s="1"/>
      <c r="K1407" s="1"/>
      <c r="L1407" s="1"/>
      <c r="M1407" s="1"/>
      <c r="N1407" s="1">
        <v>2</v>
      </c>
      <c r="O1407" s="765">
        <f t="shared" si="71"/>
        <v>1000</v>
      </c>
    </row>
    <row r="1408" spans="1:15">
      <c r="A1408" s="1"/>
      <c r="B1408" s="1"/>
      <c r="C1408" s="778" t="s">
        <v>1774</v>
      </c>
      <c r="D1408" s="779" t="s">
        <v>2</v>
      </c>
      <c r="E1408" s="780">
        <v>22139</v>
      </c>
      <c r="F1408" s="1"/>
      <c r="G1408" s="1"/>
      <c r="H1408" s="1"/>
      <c r="I1408" s="1"/>
      <c r="J1408" s="1"/>
      <c r="K1408" s="1"/>
      <c r="L1408" s="1"/>
      <c r="M1408" s="1"/>
      <c r="N1408" s="1">
        <v>1</v>
      </c>
      <c r="O1408" s="765">
        <f t="shared" si="71"/>
        <v>22139</v>
      </c>
    </row>
    <row r="1409" spans="1:15">
      <c r="A1409" s="1"/>
      <c r="B1409" s="1"/>
      <c r="C1409" s="762" t="s">
        <v>1775</v>
      </c>
      <c r="D1409" s="735" t="s">
        <v>2</v>
      </c>
      <c r="E1409" s="8">
        <v>1</v>
      </c>
      <c r="F1409" s="1"/>
      <c r="G1409" s="1"/>
      <c r="H1409" s="1"/>
      <c r="I1409" s="1"/>
      <c r="J1409" s="1"/>
      <c r="K1409" s="1"/>
      <c r="L1409" s="1"/>
      <c r="M1409" s="1"/>
      <c r="N1409" s="1">
        <v>1</v>
      </c>
      <c r="O1409" s="765">
        <f t="shared" si="71"/>
        <v>1</v>
      </c>
    </row>
    <row r="1410" spans="1:15">
      <c r="A1410" s="1"/>
      <c r="B1410" s="1"/>
      <c r="C1410" s="441" t="s">
        <v>1776</v>
      </c>
      <c r="D1410" s="735" t="s">
        <v>9</v>
      </c>
      <c r="E1410" s="8">
        <v>2500</v>
      </c>
      <c r="F1410" s="1"/>
      <c r="G1410" s="1"/>
      <c r="H1410" s="1"/>
      <c r="I1410" s="1"/>
      <c r="J1410" s="1"/>
      <c r="K1410" s="1"/>
      <c r="L1410" s="1"/>
      <c r="M1410" s="1"/>
      <c r="N1410" s="1">
        <v>1</v>
      </c>
      <c r="O1410" s="765">
        <f t="shared" si="71"/>
        <v>2500</v>
      </c>
    </row>
    <row r="1411" spans="1:15">
      <c r="A1411" s="1"/>
      <c r="B1411" s="1"/>
      <c r="C1411" s="441" t="s">
        <v>1777</v>
      </c>
      <c r="D1411" s="735" t="s">
        <v>462</v>
      </c>
      <c r="E1411" s="8">
        <v>350</v>
      </c>
      <c r="F1411" s="1"/>
      <c r="G1411" s="1"/>
      <c r="H1411" s="1"/>
      <c r="I1411" s="1"/>
      <c r="J1411" s="1"/>
      <c r="K1411" s="1"/>
      <c r="L1411" s="1"/>
      <c r="M1411" s="1"/>
      <c r="N1411" s="1">
        <v>0.5</v>
      </c>
      <c r="O1411" s="781">
        <f t="shared" si="71"/>
        <v>175</v>
      </c>
    </row>
    <row r="1412" spans="1:15">
      <c r="A1412" s="1"/>
      <c r="B1412" s="1"/>
      <c r="C1412" s="441" t="s">
        <v>1777</v>
      </c>
      <c r="D1412" s="735" t="s">
        <v>462</v>
      </c>
      <c r="E1412" s="8">
        <v>20</v>
      </c>
      <c r="F1412" s="1"/>
      <c r="G1412" s="1"/>
      <c r="H1412" s="1"/>
      <c r="I1412" s="1"/>
      <c r="J1412" s="1"/>
      <c r="K1412" s="1"/>
      <c r="L1412" s="1"/>
      <c r="M1412" s="1"/>
      <c r="N1412" s="1">
        <v>1.5</v>
      </c>
      <c r="O1412" s="781">
        <f t="shared" si="71"/>
        <v>30</v>
      </c>
    </row>
    <row r="1413" spans="1:15">
      <c r="A1413" s="1"/>
      <c r="B1413" s="1"/>
      <c r="C1413" s="441" t="s">
        <v>1778</v>
      </c>
      <c r="D1413" s="735" t="s">
        <v>462</v>
      </c>
      <c r="E1413" s="8">
        <v>30</v>
      </c>
      <c r="F1413" s="1"/>
      <c r="G1413" s="1"/>
      <c r="H1413" s="1"/>
      <c r="I1413" s="1"/>
      <c r="J1413" s="1"/>
      <c r="K1413" s="1"/>
      <c r="L1413" s="1"/>
      <c r="M1413" s="1"/>
      <c r="N1413" s="1">
        <v>20</v>
      </c>
      <c r="O1413" s="781">
        <f t="shared" si="71"/>
        <v>600</v>
      </c>
    </row>
    <row r="1414" spans="1:15">
      <c r="A1414" s="1"/>
      <c r="B1414" s="1"/>
      <c r="C1414" s="762"/>
      <c r="D1414" s="735"/>
      <c r="E1414" s="738"/>
      <c r="F1414" s="782"/>
      <c r="G1414" s="1"/>
      <c r="H1414" s="1"/>
      <c r="I1414" s="1"/>
      <c r="J1414" s="1"/>
      <c r="K1414" s="1"/>
      <c r="L1414" s="1"/>
      <c r="M1414" s="1"/>
      <c r="N1414" s="1"/>
      <c r="O1414" s="781"/>
    </row>
    <row r="1415" spans="1:15">
      <c r="A1415"/>
      <c r="B1415"/>
      <c r="C1415" s="783"/>
      <c r="D1415" s="742" t="s">
        <v>421</v>
      </c>
      <c r="E1415"/>
      <c r="F1415"/>
      <c r="G1415" s="742">
        <f>G1384+G1385+G1399+G1400+G1401</f>
        <v>211100</v>
      </c>
      <c r="H1415"/>
      <c r="I1415" s="742">
        <f>I1383</f>
        <v>0</v>
      </c>
      <c r="J1415"/>
      <c r="K1415"/>
      <c r="L1415"/>
      <c r="M1415"/>
      <c r="N1415"/>
      <c r="O1415" s="784">
        <f>SUM(O1370:O1414)</f>
        <v>272539.58</v>
      </c>
    </row>
    <row r="1416" spans="1:15">
      <c r="A1416"/>
      <c r="B1416"/>
      <c r="C1416"/>
      <c r="D1416"/>
      <c r="E1416"/>
      <c r="F1416"/>
      <c r="G1416" s="1">
        <f>G1369+G1415</f>
        <v>21680892.381229989</v>
      </c>
      <c r="H1416"/>
      <c r="I1416"/>
      <c r="J1416"/>
      <c r="K1416"/>
      <c r="L1416"/>
      <c r="M1416"/>
      <c r="N1416"/>
      <c r="O1416"/>
    </row>
    <row r="1417" spans="1:15">
      <c r="A1417"/>
      <c r="B1417"/>
      <c r="C1417"/>
      <c r="D1417" s="785" t="s">
        <v>1779</v>
      </c>
      <c r="E1417"/>
      <c r="F1417"/>
      <c r="G1417" s="786">
        <f>G1416+I1415+O1415</f>
        <v>21953431.961229987</v>
      </c>
      <c r="H1417"/>
      <c r="I1417"/>
      <c r="J1417"/>
      <c r="K1417"/>
      <c r="L1417"/>
      <c r="M1417"/>
      <c r="N1417"/>
      <c r="O1417"/>
    </row>
    <row r="1418" spans="1:15">
      <c r="A1418"/>
      <c r="B1418"/>
      <c r="C1418"/>
      <c r="D1418" s="785"/>
      <c r="E1418"/>
      <c r="F1418"/>
      <c r="G1418" s="787"/>
      <c r="H1418"/>
      <c r="I1418"/>
      <c r="J1418"/>
      <c r="K1418" t="s">
        <v>1780</v>
      </c>
      <c r="L1418"/>
      <c r="M1418"/>
      <c r="N1418" t="s">
        <v>1781</v>
      </c>
      <c r="O1418"/>
    </row>
    <row r="1419" spans="1:15">
      <c r="A1419"/>
      <c r="B1419"/>
      <c r="C1419" s="788"/>
      <c r="D1419" s="785"/>
      <c r="E1419"/>
      <c r="F1419"/>
      <c r="G1419" s="787"/>
      <c r="H1419"/>
      <c r="I1419"/>
      <c r="J1419"/>
      <c r="K1419" t="s">
        <v>1782</v>
      </c>
      <c r="L1419"/>
      <c r="M1419"/>
      <c r="N1419" t="s">
        <v>1781</v>
      </c>
      <c r="O1419"/>
    </row>
    <row r="1420" spans="1:15">
      <c r="A1420"/>
      <c r="B1420"/>
      <c r="C1420"/>
      <c r="D1420" s="785"/>
      <c r="E1420"/>
      <c r="F1420"/>
      <c r="G1420" s="787"/>
      <c r="H1420"/>
      <c r="I1420"/>
      <c r="J1420"/>
      <c r="K1420" t="s">
        <v>1783</v>
      </c>
      <c r="L1420"/>
      <c r="M1420"/>
      <c r="N1420" t="s">
        <v>1781</v>
      </c>
      <c r="O1420"/>
    </row>
    <row r="1421" spans="1:15" ht="21">
      <c r="A1421"/>
      <c r="B1421"/>
      <c r="C1421" s="789" t="s">
        <v>1784</v>
      </c>
      <c r="D1421"/>
      <c r="E1421"/>
      <c r="F1421"/>
      <c r="G1421"/>
      <c r="H1421"/>
      <c r="I1421"/>
      <c r="J1421"/>
      <c r="K1421"/>
      <c r="L1421"/>
      <c r="M1421"/>
      <c r="N1421"/>
      <c r="O1421"/>
    </row>
    <row r="1422" spans="1:15">
      <c r="A1422" s="687" t="s">
        <v>1363</v>
      </c>
      <c r="B1422" s="688" t="s">
        <v>28</v>
      </c>
      <c r="C1422" s="689" t="s">
        <v>1364</v>
      </c>
      <c r="D1422" s="689" t="s">
        <v>8</v>
      </c>
      <c r="E1422" s="688" t="s">
        <v>1365</v>
      </c>
      <c r="F1422" s="690" t="s">
        <v>18</v>
      </c>
      <c r="G1422" s="690"/>
      <c r="H1422" s="690" t="s">
        <v>1366</v>
      </c>
      <c r="I1422" s="690"/>
      <c r="J1422" s="690" t="s">
        <v>1367</v>
      </c>
      <c r="K1422" s="690"/>
      <c r="L1422" s="690" t="s">
        <v>11</v>
      </c>
      <c r="M1422" s="690"/>
      <c r="N1422" s="690" t="s">
        <v>1</v>
      </c>
      <c r="O1422" s="690"/>
    </row>
    <row r="1423" spans="1:15" ht="45">
      <c r="A1423" s="691"/>
      <c r="B1423" s="688"/>
      <c r="C1423" s="689"/>
      <c r="D1423" s="689"/>
      <c r="E1423" s="688"/>
      <c r="F1423" s="8" t="s">
        <v>1156</v>
      </c>
      <c r="G1423" s="211" t="s">
        <v>1157</v>
      </c>
      <c r="H1423" s="8" t="s">
        <v>1156</v>
      </c>
      <c r="I1423" s="211" t="s">
        <v>1157</v>
      </c>
      <c r="J1423" s="8" t="s">
        <v>1156</v>
      </c>
      <c r="K1423" s="211" t="s">
        <v>1157</v>
      </c>
      <c r="L1423" s="8" t="s">
        <v>1156</v>
      </c>
      <c r="M1423" s="211" t="s">
        <v>1157</v>
      </c>
      <c r="N1423" s="8" t="s">
        <v>1156</v>
      </c>
      <c r="O1423" s="211" t="s">
        <v>1157</v>
      </c>
    </row>
    <row r="1424" spans="1:15">
      <c r="A1424" s="1">
        <v>1</v>
      </c>
      <c r="B1424" s="1"/>
      <c r="C1424" s="790" t="s">
        <v>1785</v>
      </c>
      <c r="D1424" s="4" t="s">
        <v>2</v>
      </c>
      <c r="E1424" s="8">
        <v>10083.6</v>
      </c>
      <c r="F1424" s="694">
        <v>6</v>
      </c>
      <c r="G1424" s="1">
        <v>60501.600000000006</v>
      </c>
      <c r="H1424" s="1"/>
      <c r="I1424" s="1"/>
      <c r="J1424" s="1"/>
      <c r="K1424" s="1"/>
      <c r="L1424" s="1"/>
      <c r="M1424" s="1"/>
      <c r="N1424" s="1"/>
      <c r="O1424" s="1"/>
    </row>
    <row r="1425" spans="1:15">
      <c r="A1425" s="1">
        <v>2</v>
      </c>
      <c r="B1425" s="1"/>
      <c r="C1425" s="790" t="s">
        <v>83</v>
      </c>
      <c r="D1425" s="4" t="s">
        <v>2</v>
      </c>
      <c r="E1425" s="8">
        <v>8365.7199999999993</v>
      </c>
      <c r="F1425" s="694">
        <v>8</v>
      </c>
      <c r="G1425" s="1">
        <v>66925.759999999995</v>
      </c>
      <c r="H1425" s="1"/>
      <c r="I1425" s="1"/>
      <c r="J1425" s="1"/>
      <c r="K1425" s="1"/>
      <c r="L1425" s="1"/>
      <c r="M1425" s="1"/>
      <c r="N1425" s="1"/>
      <c r="O1425" s="1"/>
    </row>
    <row r="1426" spans="1:15">
      <c r="A1426" s="1">
        <v>3</v>
      </c>
      <c r="B1426" s="1"/>
      <c r="C1426" s="790" t="s">
        <v>1786</v>
      </c>
      <c r="D1426" s="4" t="s">
        <v>2</v>
      </c>
      <c r="E1426" s="8">
        <v>12752.83</v>
      </c>
      <c r="F1426" s="694">
        <v>2</v>
      </c>
      <c r="G1426" s="1">
        <v>25505.66</v>
      </c>
      <c r="H1426" s="1"/>
      <c r="I1426" s="1"/>
      <c r="J1426" s="1"/>
      <c r="K1426" s="1"/>
      <c r="L1426" s="1"/>
      <c r="M1426" s="1"/>
      <c r="N1426" s="1"/>
      <c r="O1426" s="1"/>
    </row>
    <row r="1427" spans="1:15">
      <c r="A1427" s="1">
        <v>4</v>
      </c>
      <c r="B1427" s="1"/>
      <c r="C1427" s="790" t="s">
        <v>1787</v>
      </c>
      <c r="D1427" s="4" t="s">
        <v>2</v>
      </c>
      <c r="E1427" s="8">
        <v>8263.73</v>
      </c>
      <c r="F1427" s="694">
        <v>6</v>
      </c>
      <c r="G1427" s="1">
        <v>49582.38</v>
      </c>
      <c r="H1427" s="1"/>
      <c r="I1427" s="1"/>
      <c r="J1427" s="1"/>
      <c r="K1427" s="1"/>
      <c r="L1427" s="1"/>
      <c r="M1427" s="1"/>
      <c r="N1427" s="1"/>
      <c r="O1427" s="1"/>
    </row>
    <row r="1428" spans="1:15">
      <c r="A1428" s="1">
        <v>5</v>
      </c>
      <c r="B1428" s="1"/>
      <c r="C1428" s="790" t="s">
        <v>1788</v>
      </c>
      <c r="D1428" s="4" t="s">
        <v>2</v>
      </c>
      <c r="E1428" s="8">
        <v>2826.2</v>
      </c>
      <c r="F1428" s="694">
        <v>1</v>
      </c>
      <c r="G1428" s="1">
        <v>2826.2</v>
      </c>
      <c r="H1428" s="1"/>
      <c r="I1428" s="1"/>
      <c r="J1428" s="1"/>
      <c r="K1428" s="1"/>
      <c r="L1428" s="1"/>
      <c r="M1428" s="1"/>
      <c r="N1428" s="1"/>
      <c r="O1428" s="1"/>
    </row>
    <row r="1429" spans="1:15">
      <c r="A1429" s="1">
        <v>6</v>
      </c>
      <c r="B1429" s="1"/>
      <c r="C1429" s="790" t="s">
        <v>1789</v>
      </c>
      <c r="D1429" s="4" t="s">
        <v>2</v>
      </c>
      <c r="E1429" s="8">
        <v>1010.2</v>
      </c>
      <c r="F1429" s="694">
        <v>5</v>
      </c>
      <c r="G1429" s="1">
        <v>5051</v>
      </c>
      <c r="H1429" s="1"/>
      <c r="I1429" s="1"/>
      <c r="J1429" s="1"/>
      <c r="K1429" s="1"/>
      <c r="L1429" s="1"/>
      <c r="M1429" s="1"/>
      <c r="N1429" s="1"/>
      <c r="O1429" s="1"/>
    </row>
    <row r="1430" spans="1:15">
      <c r="A1430" s="1">
        <v>7</v>
      </c>
      <c r="B1430" s="1"/>
      <c r="C1430" s="790" t="s">
        <v>1790</v>
      </c>
      <c r="D1430" s="4" t="s">
        <v>2</v>
      </c>
      <c r="E1430" s="8">
        <v>1055.5999999999999</v>
      </c>
      <c r="F1430" s="694">
        <v>5</v>
      </c>
      <c r="G1430" s="1">
        <v>5278</v>
      </c>
      <c r="H1430" s="1"/>
      <c r="I1430" s="1"/>
      <c r="J1430" s="1"/>
      <c r="K1430" s="1"/>
      <c r="L1430" s="1"/>
      <c r="M1430" s="1"/>
      <c r="N1430" s="1"/>
      <c r="O1430" s="1"/>
    </row>
    <row r="1431" spans="1:15">
      <c r="A1431" s="1">
        <v>8</v>
      </c>
      <c r="B1431" s="1"/>
      <c r="C1431" s="790" t="s">
        <v>1791</v>
      </c>
      <c r="D1431" s="4" t="s">
        <v>490</v>
      </c>
      <c r="E1431" s="8">
        <v>1021.5</v>
      </c>
      <c r="F1431" s="694">
        <v>5</v>
      </c>
      <c r="G1431" s="1">
        <v>5107.5</v>
      </c>
      <c r="H1431" s="1"/>
      <c r="I1431" s="1"/>
      <c r="J1431" s="1"/>
      <c r="K1431" s="1"/>
      <c r="L1431" s="1"/>
      <c r="M1431" s="1"/>
      <c r="N1431" s="1"/>
      <c r="O1431" s="1"/>
    </row>
    <row r="1432" spans="1:15">
      <c r="A1432" s="1">
        <v>9</v>
      </c>
      <c r="B1432" s="1"/>
      <c r="C1432" s="790" t="s">
        <v>1792</v>
      </c>
      <c r="D1432" s="4" t="s">
        <v>2</v>
      </c>
      <c r="E1432" s="8">
        <v>499.4</v>
      </c>
      <c r="F1432" s="4">
        <v>1</v>
      </c>
      <c r="G1432" s="1">
        <v>499.4</v>
      </c>
      <c r="H1432" s="1"/>
      <c r="I1432" s="1"/>
      <c r="J1432" s="1"/>
      <c r="K1432" s="1"/>
      <c r="L1432" s="1"/>
      <c r="M1432" s="1"/>
      <c r="N1432" s="1"/>
      <c r="O1432" s="1"/>
    </row>
    <row r="1433" spans="1:15">
      <c r="A1433" s="1">
        <v>10</v>
      </c>
      <c r="B1433" s="1"/>
      <c r="C1433" s="703" t="s">
        <v>1793</v>
      </c>
      <c r="D1433" s="791" t="s">
        <v>9</v>
      </c>
      <c r="E1433" s="8">
        <v>325.66000000000003</v>
      </c>
      <c r="F1433" s="694">
        <v>18</v>
      </c>
      <c r="G1433" s="1">
        <v>5861.88</v>
      </c>
      <c r="H1433" s="1"/>
      <c r="I1433" s="1"/>
      <c r="J1433" s="1"/>
      <c r="K1433" s="1"/>
      <c r="L1433" s="1"/>
      <c r="M1433" s="1"/>
      <c r="N1433" s="1"/>
      <c r="O1433" s="1"/>
    </row>
    <row r="1434" spans="1:15" ht="18.75">
      <c r="A1434" s="1">
        <v>11</v>
      </c>
      <c r="B1434" s="1"/>
      <c r="C1434" s="708" t="s">
        <v>1794</v>
      </c>
      <c r="D1434" s="792" t="s">
        <v>2</v>
      </c>
      <c r="E1434" s="792">
        <v>16893</v>
      </c>
      <c r="F1434" s="793">
        <v>1</v>
      </c>
      <c r="G1434" s="1">
        <v>16893</v>
      </c>
      <c r="H1434" s="1"/>
      <c r="I1434" s="1"/>
      <c r="J1434" s="1"/>
      <c r="K1434" s="1"/>
      <c r="L1434" s="1"/>
      <c r="M1434" s="1"/>
      <c r="N1434" s="1"/>
      <c r="O1434" s="1"/>
    </row>
    <row r="1435" spans="1:15" ht="18.75">
      <c r="A1435" s="1">
        <v>12</v>
      </c>
      <c r="B1435" s="1"/>
      <c r="C1435" s="708" t="s">
        <v>1795</v>
      </c>
      <c r="D1435" s="792" t="s">
        <v>2</v>
      </c>
      <c r="E1435" s="792">
        <v>13571.84</v>
      </c>
      <c r="F1435" s="793">
        <v>2</v>
      </c>
      <c r="G1435" s="1">
        <v>27143.68</v>
      </c>
      <c r="H1435" s="1"/>
      <c r="I1435" s="1"/>
      <c r="J1435" s="1"/>
      <c r="K1435" s="1"/>
      <c r="L1435" s="1"/>
      <c r="M1435" s="1"/>
      <c r="N1435" s="1"/>
      <c r="O1435" s="1"/>
    </row>
    <row r="1436" spans="1:15" ht="18.75">
      <c r="A1436" s="1">
        <v>13</v>
      </c>
      <c r="B1436" s="1"/>
      <c r="C1436" s="708" t="s">
        <v>1796</v>
      </c>
      <c r="D1436" s="792" t="s">
        <v>2</v>
      </c>
      <c r="E1436" s="792">
        <v>5781.09</v>
      </c>
      <c r="F1436" s="793">
        <v>2</v>
      </c>
      <c r="G1436" s="1">
        <v>11562.18</v>
      </c>
      <c r="H1436" s="1"/>
      <c r="I1436" s="1"/>
      <c r="J1436" s="1"/>
      <c r="K1436" s="1"/>
      <c r="L1436" s="1"/>
      <c r="M1436" s="1"/>
      <c r="N1436" s="1"/>
      <c r="O1436" s="1"/>
    </row>
    <row r="1437" spans="1:15" ht="18.75">
      <c r="A1437" s="1">
        <v>14</v>
      </c>
      <c r="B1437" s="1"/>
      <c r="C1437" s="708" t="s">
        <v>1797</v>
      </c>
      <c r="D1437" s="792" t="s">
        <v>2</v>
      </c>
      <c r="E1437" s="792">
        <v>40955.339999999997</v>
      </c>
      <c r="F1437" s="793">
        <v>1</v>
      </c>
      <c r="G1437" s="1">
        <v>40955.339999999997</v>
      </c>
      <c r="H1437" s="1"/>
      <c r="I1437" s="1"/>
      <c r="J1437" s="1"/>
      <c r="K1437" s="1"/>
      <c r="L1437" s="1"/>
      <c r="M1437" s="1"/>
      <c r="N1437" s="1"/>
      <c r="O1437" s="1"/>
    </row>
    <row r="1438" spans="1:15" ht="18.75">
      <c r="A1438" s="1">
        <v>15</v>
      </c>
      <c r="B1438" s="1"/>
      <c r="C1438" s="711" t="s">
        <v>1798</v>
      </c>
      <c r="D1438" s="792" t="s">
        <v>2</v>
      </c>
      <c r="E1438" s="792">
        <v>6420.74</v>
      </c>
      <c r="F1438" s="793">
        <v>10</v>
      </c>
      <c r="G1438" s="1">
        <v>64207.399999999994</v>
      </c>
      <c r="H1438" s="1"/>
      <c r="I1438" s="1"/>
      <c r="J1438" s="1"/>
      <c r="K1438" s="1"/>
      <c r="L1438" s="1"/>
      <c r="M1438" s="1"/>
      <c r="N1438" s="1"/>
      <c r="O1438" s="1"/>
    </row>
    <row r="1439" spans="1:15" ht="18.75">
      <c r="A1439" s="1">
        <v>16</v>
      </c>
      <c r="B1439" s="1"/>
      <c r="C1439" s="711" t="s">
        <v>1799</v>
      </c>
      <c r="D1439" s="792" t="s">
        <v>2</v>
      </c>
      <c r="E1439" s="792">
        <v>13524.07</v>
      </c>
      <c r="F1439" s="793">
        <v>1</v>
      </c>
      <c r="G1439" s="1">
        <v>13524.07</v>
      </c>
      <c r="H1439" s="1"/>
      <c r="I1439" s="1"/>
      <c r="J1439" s="1"/>
      <c r="K1439" s="1"/>
      <c r="L1439" s="1"/>
      <c r="M1439" s="1"/>
      <c r="N1439" s="1"/>
      <c r="O1439" s="1"/>
    </row>
    <row r="1440" spans="1:15" ht="18.75">
      <c r="A1440" s="1">
        <v>17</v>
      </c>
      <c r="B1440" s="1"/>
      <c r="C1440" s="711" t="s">
        <v>1800</v>
      </c>
      <c r="D1440" s="792" t="s">
        <v>2</v>
      </c>
      <c r="E1440" s="792">
        <v>12685.15</v>
      </c>
      <c r="F1440" s="793">
        <v>3</v>
      </c>
      <c r="G1440" s="1">
        <v>38055.449999999997</v>
      </c>
      <c r="H1440" s="1"/>
      <c r="I1440" s="1"/>
      <c r="J1440" s="1"/>
      <c r="K1440" s="1"/>
      <c r="L1440" s="1"/>
      <c r="M1440" s="1"/>
      <c r="N1440" s="1"/>
      <c r="O1440" s="1"/>
    </row>
    <row r="1441" spans="1:15" ht="18.75">
      <c r="A1441" s="1">
        <v>18</v>
      </c>
      <c r="B1441" s="1"/>
      <c r="C1441" s="711" t="s">
        <v>1801</v>
      </c>
      <c r="D1441" s="792" t="s">
        <v>2</v>
      </c>
      <c r="E1441" s="792">
        <v>6495.61</v>
      </c>
      <c r="F1441" s="793">
        <v>8</v>
      </c>
      <c r="G1441" s="1">
        <v>51964.88</v>
      </c>
      <c r="H1441" s="1"/>
      <c r="I1441" s="1"/>
      <c r="J1441" s="1"/>
      <c r="K1441" s="1"/>
      <c r="L1441" s="1"/>
      <c r="M1441" s="1"/>
      <c r="N1441" s="1"/>
      <c r="O1441" s="1"/>
    </row>
    <row r="1442" spans="1:15" ht="18.75">
      <c r="A1442" s="1">
        <v>19</v>
      </c>
      <c r="B1442" s="1"/>
      <c r="C1442" s="716" t="s">
        <v>1802</v>
      </c>
      <c r="D1442" s="792" t="s">
        <v>2</v>
      </c>
      <c r="E1442" s="792">
        <v>3171.76</v>
      </c>
      <c r="F1442" s="793">
        <v>27</v>
      </c>
      <c r="G1442" s="1">
        <v>85637.52</v>
      </c>
      <c r="H1442" s="1"/>
      <c r="I1442" s="1"/>
      <c r="J1442" s="1"/>
      <c r="K1442" s="1"/>
      <c r="L1442" s="1"/>
      <c r="M1442" s="1"/>
      <c r="N1442" s="1"/>
      <c r="O1442" s="1"/>
    </row>
    <row r="1443" spans="1:15" ht="18.75">
      <c r="A1443" s="1">
        <v>20</v>
      </c>
      <c r="B1443" s="1"/>
      <c r="C1443" s="711" t="s">
        <v>1803</v>
      </c>
      <c r="D1443" s="792" t="s">
        <v>2</v>
      </c>
      <c r="E1443" s="792">
        <v>985.35</v>
      </c>
      <c r="F1443" s="793">
        <v>6</v>
      </c>
      <c r="G1443" s="1">
        <v>5912.1</v>
      </c>
      <c r="H1443" s="1"/>
      <c r="I1443" s="1"/>
      <c r="J1443" s="1"/>
      <c r="K1443" s="1"/>
      <c r="L1443" s="1"/>
      <c r="M1443" s="1"/>
      <c r="N1443" s="1"/>
      <c r="O1443" s="1"/>
    </row>
    <row r="1444" spans="1:15" ht="37.5">
      <c r="A1444" s="1">
        <v>21</v>
      </c>
      <c r="B1444" s="1"/>
      <c r="C1444" s="711" t="s">
        <v>1804</v>
      </c>
      <c r="D1444" s="792" t="s">
        <v>2</v>
      </c>
      <c r="E1444" s="792">
        <v>5831.73</v>
      </c>
      <c r="F1444" s="793">
        <v>4</v>
      </c>
      <c r="G1444" s="1">
        <v>23326.92</v>
      </c>
      <c r="H1444" s="1"/>
      <c r="I1444" s="1"/>
      <c r="J1444" s="1"/>
      <c r="K1444" s="1"/>
      <c r="L1444" s="1"/>
      <c r="M1444" s="1"/>
      <c r="N1444" s="1"/>
      <c r="O1444" s="1"/>
    </row>
    <row r="1445" spans="1:15" ht="18.75">
      <c r="A1445" s="1">
        <v>22</v>
      </c>
      <c r="B1445" s="1"/>
      <c r="C1445" s="712" t="s">
        <v>1805</v>
      </c>
      <c r="D1445" s="792" t="s">
        <v>2</v>
      </c>
      <c r="E1445" s="794">
        <v>11602.91</v>
      </c>
      <c r="F1445" s="793">
        <v>4</v>
      </c>
      <c r="G1445" s="1">
        <v>46411.64</v>
      </c>
      <c r="H1445" s="1"/>
      <c r="I1445" s="1"/>
      <c r="J1445" s="1"/>
      <c r="K1445" s="1"/>
      <c r="L1445" s="1"/>
      <c r="M1445" s="1"/>
      <c r="N1445" s="1"/>
      <c r="O1445" s="1"/>
    </row>
    <row r="1446" spans="1:15" ht="18.75">
      <c r="A1446" s="1">
        <v>23</v>
      </c>
      <c r="B1446" s="1"/>
      <c r="C1446" s="712" t="s">
        <v>1806</v>
      </c>
      <c r="D1446" s="792" t="s">
        <v>2</v>
      </c>
      <c r="E1446" s="792">
        <v>12183.54</v>
      </c>
      <c r="F1446" s="793">
        <v>11</v>
      </c>
      <c r="G1446" s="1">
        <v>134018.94</v>
      </c>
      <c r="H1446" s="1"/>
      <c r="I1446" s="1"/>
      <c r="J1446" s="1"/>
      <c r="K1446" s="1"/>
      <c r="L1446" s="1"/>
      <c r="M1446" s="1"/>
      <c r="N1446" s="1"/>
      <c r="O1446" s="1"/>
    </row>
    <row r="1447" spans="1:15" ht="37.5">
      <c r="A1447" s="1">
        <v>24</v>
      </c>
      <c r="B1447" s="1"/>
      <c r="C1447" s="711" t="s">
        <v>1807</v>
      </c>
      <c r="D1447" s="792" t="s">
        <v>2</v>
      </c>
      <c r="E1447" s="792">
        <v>16318.53</v>
      </c>
      <c r="F1447" s="793">
        <v>8</v>
      </c>
      <c r="G1447" s="782">
        <v>130548.24</v>
      </c>
      <c r="H1447" s="1"/>
      <c r="I1447" s="1"/>
      <c r="J1447" s="1"/>
      <c r="K1447" s="1"/>
      <c r="L1447" s="1"/>
      <c r="M1447" s="1"/>
      <c r="N1447" s="1"/>
      <c r="O1447" s="1"/>
    </row>
    <row r="1448" spans="1:15" ht="18.75">
      <c r="A1448" s="1">
        <v>25</v>
      </c>
      <c r="B1448" s="1"/>
      <c r="C1448" s="711" t="s">
        <v>1808</v>
      </c>
      <c r="D1448" s="792" t="s">
        <v>2</v>
      </c>
      <c r="E1448" s="792">
        <v>17946.2</v>
      </c>
      <c r="F1448" s="793">
        <v>8</v>
      </c>
      <c r="G1448" s="782">
        <v>143569.60000000001</v>
      </c>
      <c r="H1448" s="1"/>
      <c r="I1448" s="1"/>
      <c r="J1448" s="1"/>
      <c r="K1448" s="1"/>
      <c r="L1448" s="1"/>
      <c r="M1448" s="1"/>
      <c r="N1448" s="1"/>
      <c r="O1448" s="1"/>
    </row>
    <row r="1449" spans="1:15" ht="18.75">
      <c r="A1449" s="1">
        <v>26</v>
      </c>
      <c r="B1449" s="1"/>
      <c r="C1449" s="711" t="s">
        <v>1809</v>
      </c>
      <c r="D1449" s="792" t="s">
        <v>2</v>
      </c>
      <c r="E1449" s="792">
        <v>13908.7</v>
      </c>
      <c r="F1449" s="793">
        <v>2</v>
      </c>
      <c r="G1449" s="1">
        <v>27817.4</v>
      </c>
      <c r="H1449" s="1"/>
      <c r="I1449" s="1"/>
      <c r="J1449" s="1"/>
      <c r="K1449" s="1"/>
      <c r="L1449" s="1"/>
      <c r="M1449" s="1"/>
      <c r="N1449" s="1"/>
      <c r="O1449" s="1"/>
    </row>
    <row r="1450" spans="1:15" ht="18.75">
      <c r="A1450" s="1">
        <v>27</v>
      </c>
      <c r="B1450" s="1"/>
      <c r="C1450" s="711" t="s">
        <v>1810</v>
      </c>
      <c r="D1450" s="792" t="s">
        <v>2</v>
      </c>
      <c r="E1450" s="792">
        <v>16163.05</v>
      </c>
      <c r="F1450" s="793">
        <v>2</v>
      </c>
      <c r="G1450" s="1">
        <v>32326.1</v>
      </c>
      <c r="H1450" s="1"/>
      <c r="I1450" s="1"/>
      <c r="J1450" s="1"/>
      <c r="K1450" s="1"/>
      <c r="L1450" s="1"/>
      <c r="M1450" s="1"/>
      <c r="N1450" s="1"/>
      <c r="O1450" s="1"/>
    </row>
    <row r="1451" spans="1:15" ht="37.5">
      <c r="A1451" s="1">
        <v>28</v>
      </c>
      <c r="B1451" s="1"/>
      <c r="C1451" s="711" t="s">
        <v>1811</v>
      </c>
      <c r="D1451" s="792" t="s">
        <v>2</v>
      </c>
      <c r="E1451" s="8">
        <v>3594.12</v>
      </c>
      <c r="F1451" s="793">
        <v>1</v>
      </c>
      <c r="G1451" s="1">
        <v>3594.12</v>
      </c>
      <c r="H1451" s="1"/>
      <c r="I1451" s="1"/>
      <c r="J1451" s="1"/>
      <c r="K1451" s="1"/>
      <c r="L1451" s="1"/>
      <c r="M1451" s="1"/>
      <c r="N1451" s="1"/>
      <c r="O1451" s="1"/>
    </row>
    <row r="1452" spans="1:15" ht="37.5">
      <c r="A1452" s="1">
        <v>29</v>
      </c>
      <c r="B1452" s="1"/>
      <c r="C1452" s="711" t="s">
        <v>1812</v>
      </c>
      <c r="D1452" s="792" t="s">
        <v>2</v>
      </c>
      <c r="E1452" s="8">
        <v>12062</v>
      </c>
      <c r="F1452" s="793">
        <v>1</v>
      </c>
      <c r="G1452" s="1">
        <v>12062</v>
      </c>
      <c r="H1452" s="1"/>
      <c r="I1452" s="1"/>
      <c r="J1452" s="1"/>
      <c r="K1452" s="1"/>
      <c r="L1452" s="1"/>
      <c r="M1452" s="1"/>
      <c r="N1452" s="1"/>
      <c r="O1452" s="1"/>
    </row>
    <row r="1453" spans="1:15" ht="75">
      <c r="A1453" s="1">
        <v>30</v>
      </c>
      <c r="B1453" s="1"/>
      <c r="C1453" s="716" t="s">
        <v>1813</v>
      </c>
      <c r="D1453" s="792" t="s">
        <v>2</v>
      </c>
      <c r="E1453" s="8">
        <v>1004265</v>
      </c>
      <c r="F1453" s="793">
        <v>1</v>
      </c>
      <c r="G1453" s="1">
        <v>1004265</v>
      </c>
      <c r="H1453" s="1"/>
      <c r="I1453" s="1"/>
      <c r="J1453" s="1"/>
      <c r="K1453" s="1"/>
      <c r="L1453" s="1"/>
      <c r="M1453" s="1"/>
      <c r="N1453" s="1"/>
      <c r="O1453" s="1"/>
    </row>
    <row r="1454" spans="1:15" ht="18.75">
      <c r="A1454" s="1"/>
      <c r="B1454" s="1"/>
      <c r="C1454" s="708" t="s">
        <v>1814</v>
      </c>
      <c r="D1454" s="792" t="s">
        <v>455</v>
      </c>
      <c r="E1454" s="8"/>
      <c r="F1454" s="793">
        <v>500</v>
      </c>
      <c r="G1454" s="1">
        <v>0</v>
      </c>
      <c r="H1454" s="1"/>
      <c r="I1454" s="1"/>
      <c r="J1454" s="1"/>
      <c r="K1454" s="1"/>
      <c r="L1454" s="1"/>
      <c r="M1454" s="1"/>
      <c r="N1454" s="1"/>
      <c r="O1454" s="1"/>
    </row>
    <row r="1455" spans="1:15" ht="18.75">
      <c r="A1455" s="1"/>
      <c r="B1455" s="1"/>
      <c r="C1455" s="711" t="s">
        <v>1815</v>
      </c>
      <c r="D1455" s="792" t="s">
        <v>455</v>
      </c>
      <c r="E1455" s="8"/>
      <c r="F1455" s="793">
        <v>20</v>
      </c>
      <c r="G1455" s="1">
        <v>0</v>
      </c>
      <c r="H1455" s="1"/>
      <c r="I1455" s="1"/>
      <c r="J1455" s="1"/>
      <c r="K1455" s="1"/>
      <c r="L1455" s="1"/>
      <c r="M1455" s="1"/>
      <c r="N1455" s="1"/>
      <c r="O1455" s="1"/>
    </row>
    <row r="1456" spans="1:15" ht="18.75">
      <c r="A1456" s="1"/>
      <c r="B1456" s="1"/>
      <c r="C1456" s="708" t="s">
        <v>1816</v>
      </c>
      <c r="D1456" s="792" t="s">
        <v>2</v>
      </c>
      <c r="E1456" s="8"/>
      <c r="F1456" s="793">
        <v>2</v>
      </c>
      <c r="G1456" s="1">
        <v>0</v>
      </c>
      <c r="H1456" s="1"/>
      <c r="I1456" s="1"/>
      <c r="J1456" s="1"/>
      <c r="K1456" s="1"/>
      <c r="L1456" s="1"/>
      <c r="M1456" s="1"/>
      <c r="N1456" s="1"/>
      <c r="O1456" s="1"/>
    </row>
    <row r="1457" spans="1:15" ht="18.75">
      <c r="A1457" s="1"/>
      <c r="B1457" s="1"/>
      <c r="C1457" s="708" t="s">
        <v>1817</v>
      </c>
      <c r="D1457" s="792" t="s">
        <v>2</v>
      </c>
      <c r="E1457" s="8"/>
      <c r="F1457" s="793">
        <v>6</v>
      </c>
      <c r="G1457" s="1">
        <v>0</v>
      </c>
      <c r="H1457" s="1"/>
      <c r="I1457" s="1"/>
      <c r="J1457" s="1"/>
      <c r="K1457" s="1"/>
      <c r="L1457" s="1"/>
      <c r="M1457" s="1"/>
      <c r="N1457" s="1"/>
      <c r="O1457" s="1"/>
    </row>
    <row r="1458" spans="1:15" ht="18.75">
      <c r="A1458" s="1"/>
      <c r="B1458" s="1"/>
      <c r="C1458" s="708" t="s">
        <v>1818</v>
      </c>
      <c r="D1458" s="792" t="s">
        <v>455</v>
      </c>
      <c r="E1458" s="8"/>
      <c r="F1458" s="793">
        <v>500</v>
      </c>
      <c r="G1458" s="1">
        <v>0</v>
      </c>
      <c r="H1458" s="1"/>
      <c r="I1458" s="1"/>
      <c r="J1458" s="1"/>
      <c r="K1458" s="1"/>
      <c r="L1458" s="1"/>
      <c r="M1458" s="1"/>
      <c r="N1458" s="1"/>
      <c r="O1458" s="1"/>
    </row>
    <row r="1459" spans="1:15" ht="56.25">
      <c r="A1459" s="1">
        <v>31</v>
      </c>
      <c r="B1459" s="1"/>
      <c r="C1459" s="708" t="s">
        <v>1819</v>
      </c>
      <c r="D1459" s="792" t="s">
        <v>1820</v>
      </c>
      <c r="E1459" s="8">
        <v>198088</v>
      </c>
      <c r="F1459" s="793">
        <v>1</v>
      </c>
      <c r="G1459" s="1">
        <v>198088</v>
      </c>
      <c r="H1459" s="1"/>
      <c r="I1459" s="1"/>
      <c r="J1459" s="1"/>
      <c r="K1459" s="1"/>
      <c r="L1459" s="1"/>
      <c r="M1459" s="1"/>
      <c r="N1459" s="1"/>
      <c r="O1459" s="1"/>
    </row>
    <row r="1460" spans="1:15" ht="37.5">
      <c r="A1460" s="1">
        <v>32</v>
      </c>
      <c r="B1460" s="1"/>
      <c r="C1460" s="708" t="s">
        <v>1821</v>
      </c>
      <c r="D1460" s="792" t="s">
        <v>1820</v>
      </c>
      <c r="E1460" s="8">
        <v>39641.440000000002</v>
      </c>
      <c r="F1460" s="793">
        <v>2</v>
      </c>
      <c r="G1460" s="1">
        <v>79282.880000000005</v>
      </c>
      <c r="H1460" s="1"/>
      <c r="I1460" s="1"/>
      <c r="J1460" s="1"/>
      <c r="K1460" s="1"/>
      <c r="L1460" s="1"/>
      <c r="M1460" s="1"/>
      <c r="N1460" s="1"/>
      <c r="O1460" s="1"/>
    </row>
    <row r="1461" spans="1:15" ht="56.25">
      <c r="A1461" s="1">
        <v>33</v>
      </c>
      <c r="B1461" s="1"/>
      <c r="C1461" s="716" t="s">
        <v>1822</v>
      </c>
      <c r="D1461" s="792" t="s">
        <v>2</v>
      </c>
      <c r="E1461" s="8">
        <v>194402.4</v>
      </c>
      <c r="F1461" s="793">
        <v>1</v>
      </c>
      <c r="G1461" s="1">
        <v>194402.4</v>
      </c>
      <c r="H1461" s="1"/>
      <c r="I1461" s="1"/>
      <c r="J1461" s="1"/>
      <c r="K1461" s="1"/>
      <c r="L1461" s="1"/>
      <c r="M1461" s="1"/>
      <c r="N1461" s="1"/>
      <c r="O1461" s="1"/>
    </row>
    <row r="1462" spans="1:15" ht="37.5">
      <c r="A1462" s="1">
        <v>34</v>
      </c>
      <c r="B1462" s="1"/>
      <c r="C1462" s="716" t="s">
        <v>1823</v>
      </c>
      <c r="D1462" s="792" t="s">
        <v>2</v>
      </c>
      <c r="E1462" s="8">
        <v>4479</v>
      </c>
      <c r="F1462" s="793">
        <v>1</v>
      </c>
      <c r="G1462" s="1">
        <v>4479</v>
      </c>
      <c r="H1462" s="1"/>
      <c r="I1462" s="1"/>
      <c r="J1462" s="1"/>
      <c r="K1462" s="1"/>
      <c r="L1462" s="1"/>
      <c r="M1462" s="1"/>
      <c r="N1462" s="1"/>
      <c r="O1462" s="1"/>
    </row>
    <row r="1463" spans="1:15" ht="37.5">
      <c r="A1463" s="1">
        <v>35</v>
      </c>
      <c r="B1463" s="1"/>
      <c r="C1463" s="716" t="s">
        <v>1824</v>
      </c>
      <c r="D1463" s="792" t="s">
        <v>2</v>
      </c>
      <c r="E1463" s="8">
        <v>3359.2</v>
      </c>
      <c r="F1463" s="793">
        <v>1</v>
      </c>
      <c r="G1463" s="1">
        <v>3359.2</v>
      </c>
      <c r="H1463" s="1"/>
      <c r="I1463" s="1"/>
      <c r="J1463" s="1"/>
      <c r="K1463" s="1"/>
      <c r="L1463" s="1"/>
      <c r="M1463" s="1"/>
      <c r="N1463" s="1"/>
      <c r="O1463" s="1"/>
    </row>
    <row r="1464" spans="1:15" ht="18.75">
      <c r="A1464" s="1">
        <v>36</v>
      </c>
      <c r="B1464" s="1"/>
      <c r="C1464" s="716" t="s">
        <v>1825</v>
      </c>
      <c r="D1464" s="792" t="s">
        <v>2</v>
      </c>
      <c r="E1464" s="8">
        <v>1169.8</v>
      </c>
      <c r="F1464" s="793">
        <v>2</v>
      </c>
      <c r="G1464" s="1">
        <v>2339.6</v>
      </c>
      <c r="H1464" s="1"/>
      <c r="I1464" s="1"/>
      <c r="J1464" s="1"/>
      <c r="K1464" s="1"/>
      <c r="L1464" s="1"/>
      <c r="M1464" s="1"/>
      <c r="N1464" s="1"/>
      <c r="O1464" s="1"/>
    </row>
    <row r="1465" spans="1:15" ht="18.75">
      <c r="A1465" s="1">
        <v>37</v>
      </c>
      <c r="B1465" s="1"/>
      <c r="C1465" s="716" t="s">
        <v>1826</v>
      </c>
      <c r="D1465" s="792" t="s">
        <v>2</v>
      </c>
      <c r="E1465" s="8">
        <v>1837.3</v>
      </c>
      <c r="F1465" s="793">
        <v>2</v>
      </c>
      <c r="G1465" s="1">
        <v>3674.6</v>
      </c>
      <c r="H1465" s="1"/>
      <c r="I1465" s="1"/>
      <c r="J1465" s="1"/>
      <c r="K1465" s="1"/>
      <c r="L1465" s="1"/>
      <c r="M1465" s="1"/>
      <c r="N1465" s="1"/>
      <c r="O1465" s="1"/>
    </row>
    <row r="1466" spans="1:15" ht="18.75">
      <c r="A1466" s="1">
        <v>38</v>
      </c>
      <c r="B1466" s="1"/>
      <c r="C1466" s="716" t="s">
        <v>1827</v>
      </c>
      <c r="D1466" s="792" t="s">
        <v>2</v>
      </c>
      <c r="E1466" s="8">
        <v>13998.4</v>
      </c>
      <c r="F1466" s="793">
        <v>2</v>
      </c>
      <c r="G1466" s="1">
        <v>27996.799999999999</v>
      </c>
      <c r="H1466" s="1"/>
      <c r="I1466" s="1"/>
      <c r="J1466" s="1"/>
      <c r="K1466" s="1"/>
      <c r="L1466" s="1"/>
      <c r="M1466" s="1"/>
      <c r="N1466" s="1"/>
      <c r="O1466" s="1"/>
    </row>
    <row r="1467" spans="1:15" ht="18.75">
      <c r="A1467" s="1">
        <v>39</v>
      </c>
      <c r="B1467" s="1"/>
      <c r="C1467" s="716" t="s">
        <v>518</v>
      </c>
      <c r="D1467" s="792" t="s">
        <v>2</v>
      </c>
      <c r="E1467" s="8">
        <v>179.57</v>
      </c>
      <c r="F1467" s="793">
        <v>5</v>
      </c>
      <c r="G1467" s="1">
        <v>897.84999999999991</v>
      </c>
      <c r="H1467" s="1"/>
      <c r="I1467" s="1"/>
      <c r="J1467" s="1"/>
      <c r="K1467" s="1"/>
      <c r="L1467" s="1"/>
      <c r="M1467" s="1"/>
      <c r="N1467" s="1"/>
      <c r="O1467" s="1"/>
    </row>
    <row r="1468" spans="1:15" ht="18.75">
      <c r="A1468" s="1">
        <v>40</v>
      </c>
      <c r="B1468" s="1"/>
      <c r="C1468" s="716" t="s">
        <v>998</v>
      </c>
      <c r="D1468" s="792" t="s">
        <v>2</v>
      </c>
      <c r="E1468" s="8">
        <v>111.24</v>
      </c>
      <c r="F1468" s="793">
        <v>5</v>
      </c>
      <c r="G1468" s="1">
        <v>556.19999999999993</v>
      </c>
      <c r="H1468" s="1"/>
      <c r="I1468" s="1"/>
      <c r="J1468" s="1"/>
      <c r="K1468" s="1"/>
      <c r="L1468" s="1"/>
      <c r="M1468" s="1"/>
      <c r="N1468" s="1"/>
      <c r="O1468" s="1"/>
    </row>
    <row r="1469" spans="1:15" ht="75">
      <c r="A1469" s="1">
        <v>41</v>
      </c>
      <c r="B1469" s="1"/>
      <c r="C1469" s="716" t="s">
        <v>1828</v>
      </c>
      <c r="D1469" s="792" t="s">
        <v>2</v>
      </c>
      <c r="E1469" s="8"/>
      <c r="F1469" s="793"/>
      <c r="G1469" s="1">
        <v>0</v>
      </c>
      <c r="H1469" s="1"/>
      <c r="I1469" s="1"/>
      <c r="J1469" s="1"/>
      <c r="K1469" s="1"/>
      <c r="L1469" s="1"/>
      <c r="M1469" s="1"/>
      <c r="N1469" s="1"/>
      <c r="O1469" s="1"/>
    </row>
    <row r="1470" spans="1:15" ht="18.75">
      <c r="A1470" s="1"/>
      <c r="B1470" s="1"/>
      <c r="C1470" s="708" t="s">
        <v>1829</v>
      </c>
      <c r="D1470" s="792"/>
      <c r="E1470" s="8">
        <v>1232.98</v>
      </c>
      <c r="F1470" s="793">
        <v>1</v>
      </c>
      <c r="G1470" s="1">
        <v>1232.98</v>
      </c>
      <c r="H1470" s="1"/>
      <c r="I1470" s="1"/>
      <c r="J1470" s="1"/>
      <c r="K1470" s="1"/>
      <c r="L1470" s="1"/>
      <c r="M1470" s="1"/>
      <c r="N1470" s="1"/>
      <c r="O1470" s="1"/>
    </row>
    <row r="1471" spans="1:15" ht="18.75">
      <c r="A1471" s="1"/>
      <c r="B1471" s="1"/>
      <c r="C1471" s="708" t="s">
        <v>1830</v>
      </c>
      <c r="D1471" s="792"/>
      <c r="E1471" s="8">
        <v>2230</v>
      </c>
      <c r="F1471" s="793">
        <v>1</v>
      </c>
      <c r="G1471" s="1">
        <v>2230</v>
      </c>
      <c r="H1471" s="1"/>
      <c r="I1471" s="1"/>
      <c r="J1471" s="1"/>
      <c r="K1471" s="1"/>
      <c r="L1471" s="1"/>
      <c r="M1471" s="1"/>
      <c r="N1471" s="1"/>
      <c r="O1471" s="1"/>
    </row>
    <row r="1472" spans="1:15" ht="18.75">
      <c r="A1472" s="1"/>
      <c r="B1472" s="1"/>
      <c r="C1472" s="708" t="s">
        <v>1831</v>
      </c>
      <c r="D1472" s="792"/>
      <c r="E1472" s="8">
        <v>6416.55</v>
      </c>
      <c r="F1472" s="793">
        <v>2</v>
      </c>
      <c r="G1472" s="1">
        <v>12833.1</v>
      </c>
      <c r="H1472" s="1"/>
      <c r="I1472" s="1"/>
      <c r="J1472" s="1"/>
      <c r="K1472" s="1"/>
      <c r="L1472" s="1"/>
      <c r="M1472" s="1"/>
      <c r="N1472" s="1"/>
      <c r="O1472" s="1"/>
    </row>
    <row r="1473" spans="1:15" ht="37.5">
      <c r="A1473" s="1">
        <v>42</v>
      </c>
      <c r="B1473" s="1"/>
      <c r="C1473" s="708" t="s">
        <v>1832</v>
      </c>
      <c r="D1473" s="792" t="s">
        <v>2</v>
      </c>
      <c r="E1473" s="8"/>
      <c r="F1473" s="793"/>
      <c r="G1473" s="1">
        <v>0</v>
      </c>
      <c r="H1473" s="1"/>
      <c r="I1473" s="1"/>
      <c r="J1473" s="1"/>
      <c r="K1473" s="1"/>
      <c r="L1473" s="1"/>
      <c r="M1473" s="1"/>
      <c r="N1473" s="1"/>
      <c r="O1473" s="1"/>
    </row>
    <row r="1474" spans="1:15" ht="18.75">
      <c r="A1474" s="1"/>
      <c r="B1474" s="1"/>
      <c r="C1474" s="708" t="s">
        <v>1833</v>
      </c>
      <c r="D1474" s="792" t="s">
        <v>455</v>
      </c>
      <c r="E1474" s="8">
        <v>36.14</v>
      </c>
      <c r="F1474" s="793">
        <v>100</v>
      </c>
      <c r="G1474" s="1">
        <v>3614</v>
      </c>
      <c r="H1474" s="1"/>
      <c r="I1474" s="1"/>
      <c r="J1474" s="1"/>
      <c r="K1474" s="1"/>
      <c r="L1474" s="1"/>
      <c r="M1474" s="1"/>
      <c r="N1474" s="1"/>
      <c r="O1474" s="1"/>
    </row>
    <row r="1475" spans="1:15" ht="18.75">
      <c r="A1475" s="1"/>
      <c r="B1475" s="1"/>
      <c r="C1475" s="708" t="s">
        <v>1834</v>
      </c>
      <c r="D1475" s="792" t="s">
        <v>455</v>
      </c>
      <c r="E1475" s="8">
        <v>30.12</v>
      </c>
      <c r="F1475" s="793">
        <v>100</v>
      </c>
      <c r="G1475" s="1">
        <v>3012</v>
      </c>
      <c r="H1475" s="1"/>
      <c r="I1475" s="1"/>
      <c r="J1475" s="1"/>
      <c r="K1475" s="1"/>
      <c r="L1475" s="1"/>
      <c r="M1475" s="1"/>
      <c r="N1475" s="1"/>
      <c r="O1475" s="1"/>
    </row>
    <row r="1476" spans="1:15" ht="18.75">
      <c r="A1476" s="1"/>
      <c r="B1476" s="1"/>
      <c r="C1476" s="708" t="s">
        <v>1835</v>
      </c>
      <c r="D1476" s="792" t="s">
        <v>455</v>
      </c>
      <c r="E1476" s="8">
        <v>57</v>
      </c>
      <c r="F1476" s="793">
        <v>100</v>
      </c>
      <c r="G1476" s="1">
        <v>5700</v>
      </c>
      <c r="H1476" s="1"/>
      <c r="I1476" s="1"/>
      <c r="J1476" s="1"/>
      <c r="K1476" s="1"/>
      <c r="L1476" s="1"/>
      <c r="M1476" s="1"/>
      <c r="N1476" s="1"/>
      <c r="O1476" s="1"/>
    </row>
    <row r="1477" spans="1:15" ht="18.75">
      <c r="A1477" s="1">
        <v>43</v>
      </c>
      <c r="B1477" s="1"/>
      <c r="C1477" s="708" t="s">
        <v>1836</v>
      </c>
      <c r="D1477" s="792" t="s">
        <v>2</v>
      </c>
      <c r="E1477" s="8">
        <v>2800</v>
      </c>
      <c r="F1477" s="793">
        <v>2</v>
      </c>
      <c r="G1477" s="1">
        <v>5600</v>
      </c>
      <c r="H1477" s="1"/>
      <c r="I1477" s="1"/>
      <c r="J1477" s="1"/>
      <c r="K1477" s="1"/>
      <c r="L1477" s="1"/>
      <c r="M1477" s="1"/>
      <c r="N1477" s="1"/>
      <c r="O1477" s="1"/>
    </row>
    <row r="1478" spans="1:15" ht="18.75">
      <c r="A1478" s="1">
        <v>44</v>
      </c>
      <c r="B1478" s="1"/>
      <c r="C1478" s="708" t="s">
        <v>1837</v>
      </c>
      <c r="D1478" s="792" t="s">
        <v>2</v>
      </c>
      <c r="E1478" s="8">
        <v>5250</v>
      </c>
      <c r="F1478" s="793">
        <v>2</v>
      </c>
      <c r="G1478" s="1">
        <v>10500</v>
      </c>
      <c r="H1478" s="1"/>
      <c r="I1478" s="1"/>
      <c r="J1478" s="1"/>
      <c r="K1478" s="1"/>
      <c r="L1478" s="1"/>
      <c r="M1478" s="1"/>
      <c r="N1478" s="1"/>
      <c r="O1478" s="1"/>
    </row>
    <row r="1479" spans="1:15" ht="37.5">
      <c r="A1479" s="1">
        <v>45</v>
      </c>
      <c r="B1479" s="1"/>
      <c r="C1479" s="708" t="s">
        <v>1838</v>
      </c>
      <c r="D1479" s="792" t="s">
        <v>2</v>
      </c>
      <c r="E1479" s="8">
        <v>3784.2</v>
      </c>
      <c r="F1479" s="793">
        <v>2</v>
      </c>
      <c r="G1479" s="1">
        <v>7568.4</v>
      </c>
      <c r="H1479" s="1"/>
      <c r="I1479" s="1"/>
      <c r="J1479" s="1"/>
      <c r="K1479" s="1"/>
      <c r="L1479" s="1"/>
      <c r="M1479" s="1"/>
      <c r="N1479" s="1"/>
      <c r="O1479" s="1"/>
    </row>
    <row r="1480" spans="1:15" ht="18.75">
      <c r="A1480" s="1">
        <v>46</v>
      </c>
      <c r="B1480" s="1"/>
      <c r="C1480" s="708" t="s">
        <v>1839</v>
      </c>
      <c r="D1480" s="792" t="s">
        <v>2</v>
      </c>
      <c r="E1480" s="8">
        <v>49770</v>
      </c>
      <c r="F1480" s="793">
        <v>2</v>
      </c>
      <c r="G1480" s="782">
        <v>99540</v>
      </c>
      <c r="H1480" s="1"/>
      <c r="I1480" s="1"/>
      <c r="J1480" s="1"/>
      <c r="K1480" s="1"/>
      <c r="L1480" s="1"/>
      <c r="M1480" s="1"/>
      <c r="N1480" s="1"/>
      <c r="O1480" s="1"/>
    </row>
    <row r="1481" spans="1:15" ht="18.75">
      <c r="A1481" s="1">
        <v>47</v>
      </c>
      <c r="B1481" s="1"/>
      <c r="C1481" s="708" t="s">
        <v>1840</v>
      </c>
      <c r="D1481" s="792" t="s">
        <v>2</v>
      </c>
      <c r="E1481" s="8">
        <v>5618.25</v>
      </c>
      <c r="F1481" s="793">
        <v>6</v>
      </c>
      <c r="G1481" s="1">
        <v>33709.5</v>
      </c>
      <c r="H1481" s="1"/>
      <c r="I1481" s="1"/>
      <c r="J1481" s="1"/>
      <c r="K1481" s="1"/>
      <c r="L1481" s="1"/>
      <c r="M1481" s="1"/>
      <c r="N1481" s="1"/>
      <c r="O1481" s="1"/>
    </row>
    <row r="1482" spans="1:15" ht="18.75">
      <c r="A1482" s="1">
        <v>48</v>
      </c>
      <c r="B1482" s="1"/>
      <c r="C1482" s="708" t="s">
        <v>1841</v>
      </c>
      <c r="D1482" s="792" t="s">
        <v>2</v>
      </c>
      <c r="E1482" s="8">
        <v>1112.3</v>
      </c>
      <c r="F1482" s="793">
        <v>1</v>
      </c>
      <c r="G1482" s="1">
        <v>1112.3</v>
      </c>
      <c r="H1482" s="1"/>
      <c r="I1482" s="1"/>
      <c r="J1482" s="1"/>
      <c r="K1482" s="1"/>
      <c r="L1482" s="1"/>
      <c r="M1482" s="1"/>
      <c r="N1482" s="1"/>
      <c r="O1482" s="1"/>
    </row>
    <row r="1483" spans="1:15" ht="18.75">
      <c r="A1483" s="1">
        <v>49</v>
      </c>
      <c r="B1483" s="1"/>
      <c r="C1483" s="708" t="s">
        <v>1842</v>
      </c>
      <c r="D1483" s="792" t="s">
        <v>2</v>
      </c>
      <c r="E1483" s="8">
        <v>1396.05</v>
      </c>
      <c r="F1483" s="793">
        <v>1</v>
      </c>
      <c r="G1483" s="1">
        <v>1396.05</v>
      </c>
      <c r="H1483" s="1"/>
      <c r="I1483" s="1"/>
      <c r="J1483" s="1"/>
      <c r="K1483" s="1"/>
      <c r="L1483" s="1"/>
      <c r="M1483" s="1"/>
      <c r="N1483" s="1"/>
      <c r="O1483" s="1"/>
    </row>
    <row r="1484" spans="1:15" ht="18.75">
      <c r="A1484" s="1">
        <v>50</v>
      </c>
      <c r="B1484" s="1"/>
      <c r="C1484" s="708" t="s">
        <v>1843</v>
      </c>
      <c r="D1484" s="792" t="s">
        <v>2</v>
      </c>
      <c r="E1484" s="8">
        <v>7888.3</v>
      </c>
      <c r="F1484" s="793">
        <v>2</v>
      </c>
      <c r="G1484" s="1">
        <v>15776.6</v>
      </c>
      <c r="H1484" s="1"/>
      <c r="I1484" s="1"/>
      <c r="J1484" s="1"/>
      <c r="K1484" s="1"/>
      <c r="L1484" s="1"/>
      <c r="M1484" s="1"/>
      <c r="N1484" s="1"/>
      <c r="O1484" s="1"/>
    </row>
    <row r="1485" spans="1:15" ht="18.75">
      <c r="A1485" s="1">
        <v>51</v>
      </c>
      <c r="B1485" s="1"/>
      <c r="C1485" s="708" t="s">
        <v>1844</v>
      </c>
      <c r="D1485" s="792" t="s">
        <v>2</v>
      </c>
      <c r="E1485" s="8">
        <v>22110</v>
      </c>
      <c r="F1485" s="793">
        <v>1</v>
      </c>
      <c r="G1485" s="1">
        <v>22110</v>
      </c>
      <c r="H1485" s="1"/>
      <c r="I1485" s="1"/>
      <c r="J1485" s="1"/>
      <c r="K1485" s="1"/>
      <c r="L1485" s="1"/>
      <c r="M1485" s="1"/>
      <c r="N1485" s="1"/>
      <c r="O1485" s="1"/>
    </row>
    <row r="1486" spans="1:15" ht="18.75">
      <c r="A1486" s="1">
        <v>52</v>
      </c>
      <c r="B1486" s="1"/>
      <c r="C1486" s="708" t="s">
        <v>1845</v>
      </c>
      <c r="D1486" s="792" t="s">
        <v>2</v>
      </c>
      <c r="E1486" s="8">
        <v>6583</v>
      </c>
      <c r="F1486" s="793">
        <v>1</v>
      </c>
      <c r="G1486" s="1">
        <v>6583</v>
      </c>
      <c r="H1486" s="1"/>
      <c r="I1486" s="1"/>
      <c r="J1486" s="1"/>
      <c r="K1486" s="1"/>
      <c r="L1486" s="1"/>
      <c r="M1486" s="1"/>
      <c r="N1486" s="1"/>
      <c r="O1486" s="1"/>
    </row>
    <row r="1487" spans="1:15" ht="18.75">
      <c r="A1487" s="1">
        <v>53</v>
      </c>
      <c r="B1487" s="1"/>
      <c r="C1487" s="708" t="s">
        <v>1846</v>
      </c>
      <c r="D1487" s="792" t="s">
        <v>2</v>
      </c>
      <c r="E1487" s="8">
        <v>5084.8</v>
      </c>
      <c r="F1487" s="793">
        <v>1</v>
      </c>
      <c r="G1487" s="1">
        <v>5084.8</v>
      </c>
      <c r="H1487" s="1"/>
      <c r="I1487" s="1"/>
      <c r="J1487" s="1"/>
      <c r="K1487" s="1"/>
      <c r="L1487" s="1"/>
      <c r="M1487" s="1"/>
      <c r="N1487" s="1"/>
      <c r="O1487" s="1"/>
    </row>
    <row r="1488" spans="1:15" ht="37.5">
      <c r="A1488" s="1">
        <v>54</v>
      </c>
      <c r="B1488" s="1"/>
      <c r="C1488" s="708" t="s">
        <v>1847</v>
      </c>
      <c r="D1488" s="792" t="s">
        <v>2</v>
      </c>
      <c r="E1488" s="8">
        <v>2247.3000000000002</v>
      </c>
      <c r="F1488" s="793">
        <v>1</v>
      </c>
      <c r="G1488" s="1">
        <v>2247.3000000000002</v>
      </c>
      <c r="H1488" s="1"/>
      <c r="I1488" s="1"/>
      <c r="J1488" s="1"/>
      <c r="K1488" s="1"/>
      <c r="L1488" s="1"/>
      <c r="M1488" s="1"/>
      <c r="N1488" s="1"/>
      <c r="O1488" s="1"/>
    </row>
    <row r="1489" spans="1:15" ht="18.75">
      <c r="A1489" s="1">
        <v>55</v>
      </c>
      <c r="B1489" s="1"/>
      <c r="C1489" s="716" t="s">
        <v>1848</v>
      </c>
      <c r="D1489" s="792" t="s">
        <v>2</v>
      </c>
      <c r="E1489" s="8">
        <v>488.05</v>
      </c>
      <c r="F1489" s="793">
        <v>1</v>
      </c>
      <c r="G1489" s="1">
        <v>488.05</v>
      </c>
      <c r="H1489" s="1"/>
      <c r="I1489" s="1"/>
      <c r="J1489" s="1"/>
      <c r="K1489" s="1"/>
      <c r="L1489" s="1"/>
      <c r="M1489" s="1"/>
      <c r="N1489" s="1"/>
      <c r="O1489" s="1"/>
    </row>
    <row r="1490" spans="1:15" ht="18.75">
      <c r="A1490" s="1">
        <v>56</v>
      </c>
      <c r="B1490" s="1"/>
      <c r="C1490" s="708" t="s">
        <v>1849</v>
      </c>
      <c r="D1490" s="792" t="s">
        <v>2</v>
      </c>
      <c r="E1490" s="8">
        <v>567.5</v>
      </c>
      <c r="F1490" s="793">
        <v>2</v>
      </c>
      <c r="G1490" s="1">
        <v>1135</v>
      </c>
      <c r="H1490" s="1"/>
      <c r="I1490" s="1"/>
      <c r="J1490" s="1"/>
      <c r="K1490" s="1"/>
      <c r="L1490" s="1"/>
      <c r="M1490" s="1"/>
      <c r="N1490" s="1"/>
      <c r="O1490" s="1"/>
    </row>
    <row r="1491" spans="1:15" ht="18.75">
      <c r="A1491" s="1">
        <v>57</v>
      </c>
      <c r="B1491" s="1"/>
      <c r="C1491" s="716" t="s">
        <v>1850</v>
      </c>
      <c r="D1491" s="795" t="s">
        <v>2</v>
      </c>
      <c r="E1491" s="8">
        <v>476.7</v>
      </c>
      <c r="F1491" s="793">
        <v>2</v>
      </c>
      <c r="G1491" s="1">
        <v>953.4</v>
      </c>
      <c r="H1491" s="1"/>
      <c r="I1491" s="1"/>
      <c r="J1491" s="1"/>
      <c r="K1491" s="1"/>
      <c r="L1491" s="1"/>
      <c r="M1491" s="1"/>
      <c r="N1491" s="1"/>
      <c r="O1491" s="1"/>
    </row>
    <row r="1492" spans="1:15" ht="18.75">
      <c r="A1492" s="1">
        <v>58</v>
      </c>
      <c r="B1492" s="1"/>
      <c r="C1492" s="716" t="s">
        <v>1851</v>
      </c>
      <c r="D1492" s="795" t="s">
        <v>2</v>
      </c>
      <c r="E1492" s="8">
        <v>624.25</v>
      </c>
      <c r="F1492" s="793">
        <v>2</v>
      </c>
      <c r="G1492" s="1">
        <v>1248.5</v>
      </c>
      <c r="H1492" s="1"/>
      <c r="I1492" s="1"/>
      <c r="J1492" s="1"/>
      <c r="K1492" s="1"/>
      <c r="L1492" s="1"/>
      <c r="M1492" s="1"/>
      <c r="N1492" s="1"/>
      <c r="O1492" s="1"/>
    </row>
    <row r="1493" spans="1:15" ht="18.75">
      <c r="A1493" s="1">
        <v>59</v>
      </c>
      <c r="B1493" s="1"/>
      <c r="C1493" s="708" t="s">
        <v>1852</v>
      </c>
      <c r="D1493" s="796" t="s">
        <v>2</v>
      </c>
      <c r="E1493" s="8">
        <v>851.25</v>
      </c>
      <c r="F1493" s="793">
        <v>2</v>
      </c>
      <c r="G1493" s="1">
        <v>1702.5</v>
      </c>
      <c r="H1493" s="1"/>
      <c r="I1493" s="1"/>
      <c r="J1493" s="1"/>
      <c r="K1493" s="1"/>
      <c r="L1493" s="1"/>
      <c r="M1493" s="1"/>
      <c r="N1493" s="1"/>
      <c r="O1493" s="1"/>
    </row>
    <row r="1494" spans="1:15" ht="37.5">
      <c r="A1494" s="1">
        <v>60</v>
      </c>
      <c r="B1494" s="1"/>
      <c r="C1494" s="716" t="s">
        <v>1853</v>
      </c>
      <c r="D1494" s="796" t="s">
        <v>2</v>
      </c>
      <c r="E1494" s="8">
        <v>11764.2</v>
      </c>
      <c r="F1494" s="793">
        <v>1</v>
      </c>
      <c r="G1494" s="1">
        <v>11764.2</v>
      </c>
      <c r="H1494" s="1"/>
      <c r="I1494" s="1"/>
      <c r="J1494" s="1"/>
      <c r="K1494" s="1"/>
      <c r="L1494" s="1"/>
      <c r="M1494" s="1"/>
      <c r="N1494" s="1"/>
      <c r="O1494" s="1"/>
    </row>
    <row r="1495" spans="1:15">
      <c r="A1495" s="1">
        <v>61</v>
      </c>
      <c r="B1495" s="1"/>
      <c r="C1495" s="782" t="s">
        <v>1854</v>
      </c>
      <c r="D1495" s="797" t="s">
        <v>2</v>
      </c>
      <c r="E1495" s="8">
        <v>5874</v>
      </c>
      <c r="F1495" s="798">
        <v>1</v>
      </c>
      <c r="G1495" s="1">
        <v>5874</v>
      </c>
      <c r="H1495" s="1"/>
      <c r="I1495" s="1"/>
      <c r="J1495" s="1"/>
      <c r="K1495" s="1"/>
      <c r="L1495" s="1"/>
      <c r="M1495" s="1"/>
      <c r="N1495" s="1"/>
      <c r="O1495" s="1"/>
    </row>
    <row r="1496" spans="1:15">
      <c r="A1496" s="1">
        <v>62</v>
      </c>
      <c r="B1496" s="1"/>
      <c r="C1496" s="782" t="s">
        <v>1855</v>
      </c>
      <c r="D1496" s="797" t="s">
        <v>2</v>
      </c>
      <c r="E1496" s="8">
        <v>115687.2</v>
      </c>
      <c r="F1496" s="798">
        <v>1</v>
      </c>
      <c r="G1496" s="1">
        <v>115687.2</v>
      </c>
      <c r="H1496" s="1"/>
      <c r="I1496" s="1"/>
      <c r="J1496" s="1"/>
      <c r="K1496" s="1"/>
      <c r="L1496" s="1"/>
      <c r="M1496" s="1"/>
      <c r="N1496" s="1"/>
      <c r="O1496" s="1"/>
    </row>
    <row r="1497" spans="1:15">
      <c r="A1497" s="1">
        <v>63</v>
      </c>
      <c r="B1497" s="1"/>
      <c r="C1497" s="782" t="s">
        <v>1856</v>
      </c>
      <c r="D1497" s="797" t="s">
        <v>2</v>
      </c>
      <c r="E1497" s="8">
        <v>81184</v>
      </c>
      <c r="F1497" s="799">
        <v>1</v>
      </c>
      <c r="G1497" s="1">
        <v>81184</v>
      </c>
      <c r="H1497" s="1"/>
      <c r="I1497" s="1"/>
      <c r="J1497" s="1"/>
      <c r="K1497" s="1"/>
      <c r="L1497" s="1"/>
      <c r="M1497" s="1"/>
      <c r="N1497" s="1"/>
      <c r="O1497" s="1"/>
    </row>
    <row r="1498" spans="1:15">
      <c r="A1498" s="1">
        <v>64</v>
      </c>
      <c r="B1498" s="1"/>
      <c r="C1498" s="790" t="s">
        <v>1857</v>
      </c>
      <c r="D1498" s="797" t="s">
        <v>2</v>
      </c>
      <c r="E1498" s="8">
        <v>38627.4</v>
      </c>
      <c r="F1498" s="799">
        <v>2</v>
      </c>
      <c r="G1498" s="1">
        <f>E1498*F1498</f>
        <v>77254.8</v>
      </c>
      <c r="H1498" s="1"/>
      <c r="I1498" s="1"/>
      <c r="J1498" s="1"/>
      <c r="K1498" s="1"/>
      <c r="L1498" s="1"/>
      <c r="M1498" s="1"/>
      <c r="N1498" s="1"/>
      <c r="O1498" s="1"/>
    </row>
    <row r="1499" spans="1:15">
      <c r="A1499" s="1">
        <v>65</v>
      </c>
      <c r="B1499" s="1"/>
      <c r="C1499" s="211" t="s">
        <v>1858</v>
      </c>
      <c r="D1499" s="733" t="s">
        <v>9</v>
      </c>
      <c r="E1499" s="8">
        <v>58982.3</v>
      </c>
      <c r="F1499" s="800">
        <v>1</v>
      </c>
      <c r="G1499" s="1">
        <f t="shared" ref="G1499:G1516" si="72">E1499*F1499</f>
        <v>58982.3</v>
      </c>
      <c r="H1499" s="759"/>
      <c r="I1499" s="759"/>
      <c r="J1499" s="759"/>
      <c r="K1499" s="759"/>
      <c r="L1499" s="759"/>
      <c r="M1499" s="759"/>
      <c r="N1499" s="759"/>
      <c r="O1499" s="759"/>
    </row>
    <row r="1500" spans="1:15">
      <c r="A1500" s="1">
        <v>66</v>
      </c>
      <c r="B1500" s="1"/>
      <c r="C1500" s="211" t="s">
        <v>1859</v>
      </c>
      <c r="D1500" s="733" t="s">
        <v>9</v>
      </c>
      <c r="E1500" s="8">
        <v>3168.3</v>
      </c>
      <c r="F1500" s="801">
        <v>4</v>
      </c>
      <c r="G1500" s="1">
        <f t="shared" si="72"/>
        <v>12673.2</v>
      </c>
      <c r="H1500"/>
      <c r="I1500"/>
      <c r="J1500"/>
      <c r="K1500"/>
      <c r="L1500"/>
      <c r="M1500"/>
      <c r="N1500"/>
      <c r="O1500"/>
    </row>
    <row r="1501" spans="1:15">
      <c r="A1501" s="1">
        <v>67</v>
      </c>
      <c r="B1501" s="1"/>
      <c r="C1501" s="211" t="s">
        <v>1860</v>
      </c>
      <c r="D1501" s="733" t="s">
        <v>9</v>
      </c>
      <c r="E1501" s="8">
        <v>4112.3</v>
      </c>
      <c r="F1501" s="801">
        <v>2</v>
      </c>
      <c r="G1501" s="1">
        <f t="shared" si="72"/>
        <v>8224.6</v>
      </c>
      <c r="H1501"/>
      <c r="I1501"/>
      <c r="J1501"/>
      <c r="K1501"/>
      <c r="L1501"/>
      <c r="M1501"/>
      <c r="N1501"/>
      <c r="O1501"/>
    </row>
    <row r="1502" spans="1:15">
      <c r="A1502" s="1">
        <v>68</v>
      </c>
      <c r="B1502" s="1"/>
      <c r="C1502" s="211" t="s">
        <v>1861</v>
      </c>
      <c r="D1502" s="733" t="s">
        <v>9</v>
      </c>
      <c r="E1502" s="8">
        <v>32007.5</v>
      </c>
      <c r="F1502" s="801">
        <v>1</v>
      </c>
      <c r="G1502" s="1">
        <f t="shared" si="72"/>
        <v>32007.5</v>
      </c>
      <c r="H1502"/>
      <c r="I1502"/>
      <c r="J1502"/>
      <c r="K1502"/>
      <c r="L1502"/>
      <c r="M1502"/>
      <c r="N1502"/>
      <c r="O1502"/>
    </row>
    <row r="1503" spans="1:15" ht="30">
      <c r="A1503" s="1">
        <v>69</v>
      </c>
      <c r="B1503" s="1"/>
      <c r="C1503" s="211" t="s">
        <v>1862</v>
      </c>
      <c r="D1503" s="733" t="s">
        <v>9</v>
      </c>
      <c r="E1503" s="8">
        <v>4672.8</v>
      </c>
      <c r="F1503" s="801">
        <v>4</v>
      </c>
      <c r="G1503" s="1">
        <f t="shared" si="72"/>
        <v>18691.2</v>
      </c>
      <c r="H1503"/>
      <c r="I1503"/>
      <c r="J1503"/>
      <c r="K1503"/>
      <c r="L1503"/>
      <c r="M1503"/>
      <c r="N1503"/>
      <c r="O1503"/>
    </row>
    <row r="1504" spans="1:15" ht="30">
      <c r="A1504" s="1">
        <v>70</v>
      </c>
      <c r="B1504" s="1"/>
      <c r="C1504" s="211" t="s">
        <v>1863</v>
      </c>
      <c r="D1504" s="733" t="s">
        <v>9</v>
      </c>
      <c r="E1504" s="8">
        <v>4672.8</v>
      </c>
      <c r="F1504" s="801">
        <v>2</v>
      </c>
      <c r="G1504" s="1">
        <f t="shared" si="72"/>
        <v>9345.6</v>
      </c>
      <c r="H1504"/>
      <c r="I1504"/>
      <c r="J1504"/>
      <c r="K1504"/>
      <c r="L1504"/>
      <c r="M1504"/>
      <c r="N1504"/>
      <c r="O1504"/>
    </row>
    <row r="1505" spans="1:15" ht="30">
      <c r="A1505" s="1">
        <v>71</v>
      </c>
      <c r="B1505" s="1"/>
      <c r="C1505" s="211" t="s">
        <v>1864</v>
      </c>
      <c r="D1505" s="733" t="s">
        <v>9</v>
      </c>
      <c r="E1505" s="8">
        <v>2259.6999999999998</v>
      </c>
      <c r="F1505" s="801">
        <v>1</v>
      </c>
      <c r="G1505" s="1">
        <f t="shared" si="72"/>
        <v>2259.6999999999998</v>
      </c>
      <c r="H1505"/>
      <c r="I1505"/>
      <c r="J1505"/>
      <c r="K1505"/>
      <c r="L1505"/>
      <c r="M1505"/>
      <c r="N1505"/>
      <c r="O1505"/>
    </row>
    <row r="1506" spans="1:15">
      <c r="A1506" s="1">
        <v>72</v>
      </c>
      <c r="B1506" s="1"/>
      <c r="C1506" s="211" t="s">
        <v>1865</v>
      </c>
      <c r="D1506" s="733" t="s">
        <v>9</v>
      </c>
      <c r="E1506" s="8">
        <v>7599.2</v>
      </c>
      <c r="F1506" s="801">
        <v>2</v>
      </c>
      <c r="G1506" s="1">
        <f t="shared" si="72"/>
        <v>15198.4</v>
      </c>
      <c r="H1506"/>
      <c r="I1506"/>
      <c r="J1506"/>
      <c r="K1506"/>
      <c r="L1506"/>
      <c r="M1506"/>
      <c r="N1506"/>
      <c r="O1506"/>
    </row>
    <row r="1507" spans="1:15">
      <c r="A1507" s="1">
        <v>73</v>
      </c>
      <c r="B1507" s="1"/>
      <c r="C1507" s="211" t="s">
        <v>1866</v>
      </c>
      <c r="D1507" s="733" t="s">
        <v>9</v>
      </c>
      <c r="E1507" s="8">
        <v>4088.7</v>
      </c>
      <c r="F1507" s="801">
        <v>2</v>
      </c>
      <c r="G1507" s="1">
        <f t="shared" si="72"/>
        <v>8177.4</v>
      </c>
      <c r="H1507"/>
      <c r="I1507"/>
      <c r="J1507"/>
      <c r="K1507"/>
      <c r="L1507"/>
      <c r="M1507"/>
      <c r="N1507"/>
      <c r="O1507"/>
    </row>
    <row r="1508" spans="1:15">
      <c r="A1508" s="1">
        <v>74</v>
      </c>
      <c r="B1508" s="1"/>
      <c r="C1508" s="211" t="s">
        <v>1867</v>
      </c>
      <c r="D1508" s="733" t="s">
        <v>9</v>
      </c>
      <c r="E1508" s="8">
        <v>2625.5</v>
      </c>
      <c r="F1508" s="801">
        <v>3</v>
      </c>
      <c r="G1508" s="1">
        <f t="shared" si="72"/>
        <v>7876.5</v>
      </c>
      <c r="H1508"/>
      <c r="I1508"/>
      <c r="J1508"/>
      <c r="K1508"/>
      <c r="L1508"/>
      <c r="M1508"/>
      <c r="N1508"/>
      <c r="O1508"/>
    </row>
    <row r="1509" spans="1:15">
      <c r="A1509" s="1">
        <v>75</v>
      </c>
      <c r="B1509" s="1"/>
      <c r="C1509" s="211" t="s">
        <v>1868</v>
      </c>
      <c r="D1509" s="733" t="s">
        <v>9</v>
      </c>
      <c r="E1509" s="8">
        <v>371.7</v>
      </c>
      <c r="F1509" s="801">
        <v>3</v>
      </c>
      <c r="G1509" s="1">
        <f t="shared" si="72"/>
        <v>1115.0999999999999</v>
      </c>
      <c r="H1509"/>
      <c r="I1509"/>
      <c r="J1509"/>
      <c r="K1509"/>
      <c r="L1509"/>
      <c r="M1509"/>
      <c r="N1509"/>
      <c r="O1509"/>
    </row>
    <row r="1510" spans="1:15" ht="30">
      <c r="A1510" s="1">
        <v>76</v>
      </c>
      <c r="B1510" s="1"/>
      <c r="C1510" s="211" t="s">
        <v>1869</v>
      </c>
      <c r="D1510" s="733" t="s">
        <v>9</v>
      </c>
      <c r="E1510" s="8">
        <v>4472.2</v>
      </c>
      <c r="F1510" s="801">
        <v>4</v>
      </c>
      <c r="G1510" s="1">
        <f t="shared" si="72"/>
        <v>17888.8</v>
      </c>
      <c r="H1510"/>
      <c r="I1510"/>
      <c r="J1510"/>
      <c r="K1510"/>
      <c r="L1510"/>
      <c r="M1510"/>
      <c r="N1510"/>
      <c r="O1510"/>
    </row>
    <row r="1511" spans="1:15">
      <c r="A1511" s="1">
        <v>77</v>
      </c>
      <c r="B1511" s="1"/>
      <c r="C1511" s="211" t="s">
        <v>1870</v>
      </c>
      <c r="D1511" s="733" t="s">
        <v>9</v>
      </c>
      <c r="E1511" s="8">
        <v>5196.8</v>
      </c>
      <c r="F1511" s="801">
        <v>1</v>
      </c>
      <c r="G1511" s="1">
        <f t="shared" si="72"/>
        <v>5196.8</v>
      </c>
      <c r="H1511"/>
      <c r="I1511"/>
      <c r="J1511"/>
      <c r="K1511"/>
      <c r="L1511"/>
      <c r="M1511"/>
      <c r="N1511"/>
      <c r="O1511"/>
    </row>
    <row r="1512" spans="1:15">
      <c r="A1512" s="1">
        <v>78</v>
      </c>
      <c r="B1512" s="1"/>
      <c r="C1512" s="211" t="s">
        <v>1871</v>
      </c>
      <c r="D1512" s="733" t="s">
        <v>9</v>
      </c>
      <c r="E1512" s="8">
        <v>14543.2</v>
      </c>
      <c r="F1512" s="801">
        <v>1</v>
      </c>
      <c r="G1512" s="1">
        <f t="shared" si="72"/>
        <v>14543.2</v>
      </c>
      <c r="H1512"/>
      <c r="I1512"/>
      <c r="J1512"/>
      <c r="K1512"/>
      <c r="L1512"/>
      <c r="M1512"/>
      <c r="N1512"/>
      <c r="O1512"/>
    </row>
    <row r="1513" spans="1:15">
      <c r="A1513" s="1">
        <v>79</v>
      </c>
      <c r="B1513" s="1"/>
      <c r="C1513" s="211" t="s">
        <v>1872</v>
      </c>
      <c r="D1513" s="733" t="s">
        <v>9</v>
      </c>
      <c r="E1513" s="8">
        <v>19588.8</v>
      </c>
      <c r="F1513" s="801">
        <v>1</v>
      </c>
      <c r="G1513" s="1">
        <f t="shared" si="72"/>
        <v>19588.8</v>
      </c>
      <c r="H1513"/>
      <c r="I1513"/>
      <c r="J1513"/>
      <c r="K1513"/>
      <c r="L1513"/>
      <c r="M1513"/>
      <c r="N1513"/>
      <c r="O1513"/>
    </row>
    <row r="1514" spans="1:15">
      <c r="A1514" s="1">
        <v>80</v>
      </c>
      <c r="B1514" s="1"/>
      <c r="C1514" s="211" t="s">
        <v>1873</v>
      </c>
      <c r="D1514" s="733" t="s">
        <v>9</v>
      </c>
      <c r="E1514" s="8">
        <v>38765.360000000001</v>
      </c>
      <c r="F1514" s="801">
        <v>1</v>
      </c>
      <c r="G1514" s="1">
        <f t="shared" si="72"/>
        <v>38765.360000000001</v>
      </c>
      <c r="H1514"/>
      <c r="I1514"/>
      <c r="J1514"/>
      <c r="K1514"/>
      <c r="L1514"/>
      <c r="M1514"/>
      <c r="N1514"/>
      <c r="O1514"/>
    </row>
    <row r="1515" spans="1:15">
      <c r="A1515" s="1">
        <v>81</v>
      </c>
      <c r="B1515" s="1"/>
      <c r="C1515" s="211" t="s">
        <v>1874</v>
      </c>
      <c r="D1515" s="733" t="s">
        <v>9</v>
      </c>
      <c r="E1515" s="8">
        <v>12059.6</v>
      </c>
      <c r="F1515" s="801">
        <v>1</v>
      </c>
      <c r="G1515" s="1">
        <f t="shared" si="72"/>
        <v>12059.6</v>
      </c>
      <c r="H1515"/>
      <c r="I1515"/>
      <c r="J1515"/>
      <c r="K1515"/>
      <c r="L1515"/>
      <c r="M1515"/>
      <c r="N1515"/>
      <c r="O1515"/>
    </row>
    <row r="1516" spans="1:15">
      <c r="A1516" s="1">
        <v>82</v>
      </c>
      <c r="B1516" s="1"/>
      <c r="C1516" s="211" t="s">
        <v>1875</v>
      </c>
      <c r="D1516" s="733" t="s">
        <v>9</v>
      </c>
      <c r="E1516" s="8">
        <v>53085.84</v>
      </c>
      <c r="F1516" s="801">
        <v>1</v>
      </c>
      <c r="G1516" s="1">
        <f t="shared" si="72"/>
        <v>53085.84</v>
      </c>
      <c r="H1516"/>
      <c r="I1516"/>
      <c r="J1516"/>
      <c r="K1516"/>
      <c r="L1516"/>
      <c r="M1516"/>
      <c r="N1516"/>
      <c r="O1516"/>
    </row>
    <row r="1517" spans="1:15">
      <c r="A1517"/>
      <c r="B1517"/>
      <c r="C1517"/>
      <c r="D1517"/>
      <c r="E1517"/>
      <c r="F1517"/>
      <c r="G1517">
        <f>SUM(G1424:G1516)</f>
        <v>3528833.0699999994</v>
      </c>
      <c r="H1517"/>
      <c r="I1517"/>
      <c r="J1517"/>
      <c r="K1517"/>
      <c r="L1517"/>
      <c r="M1517"/>
      <c r="N1517"/>
      <c r="O1517"/>
    </row>
    <row r="1518" spans="1:15">
      <c r="A1518"/>
      <c r="B1518"/>
      <c r="C1518"/>
      <c r="D1518"/>
      <c r="E1518"/>
      <c r="F1518"/>
      <c r="G1518"/>
      <c r="H1518"/>
      <c r="I1518"/>
      <c r="J1518"/>
      <c r="K1518"/>
      <c r="L1518"/>
      <c r="M1518"/>
      <c r="N1518"/>
      <c r="O1518"/>
    </row>
    <row r="1519" spans="1:15">
      <c r="A1519"/>
      <c r="B1519"/>
      <c r="C1519"/>
      <c r="D1519"/>
      <c r="E1519"/>
      <c r="F1519"/>
      <c r="G1519"/>
      <c r="H1519"/>
      <c r="I1519"/>
      <c r="J1519"/>
      <c r="K1519"/>
      <c r="L1519"/>
      <c r="M1519"/>
      <c r="N1519"/>
      <c r="O1519"/>
    </row>
    <row r="1520" spans="1:15">
      <c r="A1520"/>
      <c r="B1520"/>
      <c r="C1520"/>
      <c r="D1520"/>
      <c r="E1520"/>
      <c r="F1520"/>
      <c r="G1520"/>
      <c r="H1520"/>
      <c r="I1520"/>
      <c r="J1520"/>
      <c r="K1520"/>
      <c r="L1520"/>
      <c r="M1520"/>
      <c r="N1520"/>
      <c r="O1520"/>
    </row>
    <row r="1521" spans="1:15">
      <c r="A1521"/>
      <c r="B1521"/>
      <c r="C1521"/>
      <c r="D1521"/>
      <c r="E1521"/>
      <c r="F1521"/>
      <c r="G1521"/>
      <c r="H1521"/>
      <c r="I1521"/>
      <c r="J1521"/>
      <c r="K1521"/>
      <c r="L1521"/>
      <c r="M1521"/>
      <c r="N1521"/>
      <c r="O1521"/>
    </row>
    <row r="1522" spans="1:15" ht="22.5">
      <c r="A1522" s="802" t="s">
        <v>1876</v>
      </c>
      <c r="B1522" s="803"/>
      <c r="C1522" s="802"/>
      <c r="D1522" s="802"/>
      <c r="E1522" s="802"/>
      <c r="F1522" s="802"/>
      <c r="G1522" s="802"/>
      <c r="H1522" s="802"/>
      <c r="I1522" s="802"/>
      <c r="J1522" s="802"/>
      <c r="K1522" s="802"/>
      <c r="L1522" s="802"/>
      <c r="M1522" s="802"/>
      <c r="N1522" s="802"/>
      <c r="O1522" s="802"/>
    </row>
    <row r="1523" spans="1:15">
      <c r="A1523" s="804"/>
      <c r="B1523" s="805"/>
      <c r="C1523" s="806"/>
      <c r="D1523" s="806"/>
      <c r="E1523" s="806"/>
      <c r="F1523" s="806"/>
      <c r="G1523" s="806"/>
      <c r="H1523" s="806"/>
      <c r="I1523" s="806"/>
      <c r="J1523" s="806"/>
      <c r="K1523" s="806"/>
      <c r="L1523" s="806"/>
      <c r="M1523" s="806"/>
      <c r="N1523" s="806"/>
      <c r="O1523" s="806"/>
    </row>
    <row r="1524" spans="1:15">
      <c r="A1524" s="807" t="s">
        <v>1877</v>
      </c>
      <c r="B1524" s="808"/>
      <c r="C1524" s="807"/>
      <c r="D1524" s="809"/>
      <c r="E1524" s="809"/>
      <c r="F1524" s="804"/>
      <c r="G1524" s="804"/>
      <c r="H1524" s="804"/>
      <c r="I1524" s="804"/>
      <c r="J1524" s="804"/>
      <c r="K1524" s="804"/>
      <c r="L1524" s="804"/>
      <c r="M1524" s="804"/>
      <c r="N1524" s="804"/>
      <c r="O1524" s="804"/>
    </row>
    <row r="1525" spans="1:15">
      <c r="A1525" s="810" t="s">
        <v>1878</v>
      </c>
      <c r="B1525" s="811"/>
      <c r="C1525" s="810"/>
      <c r="D1525" s="812"/>
      <c r="E1525" s="809"/>
      <c r="F1525" s="804"/>
      <c r="G1525" s="804"/>
      <c r="H1525" s="804"/>
      <c r="I1525" s="804"/>
      <c r="J1525" s="813"/>
      <c r="K1525" s="814" t="s">
        <v>1879</v>
      </c>
      <c r="L1525" s="804"/>
      <c r="M1525" s="804"/>
      <c r="N1525" s="804"/>
      <c r="O1525" s="804"/>
    </row>
    <row r="1526" spans="1:15">
      <c r="A1526" s="815" t="s">
        <v>1880</v>
      </c>
      <c r="B1526" s="816"/>
      <c r="C1526" s="815"/>
      <c r="D1526" s="812"/>
      <c r="E1526" s="809"/>
      <c r="F1526" s="804"/>
      <c r="G1526" s="804"/>
      <c r="H1526" s="804"/>
      <c r="I1526" s="804"/>
      <c r="J1526" s="804"/>
      <c r="K1526" s="817" t="s">
        <v>1881</v>
      </c>
      <c r="L1526" s="804"/>
      <c r="M1526" s="804"/>
      <c r="N1526" s="804"/>
      <c r="O1526" s="804"/>
    </row>
    <row r="1527" spans="1:15">
      <c r="A1527" s="818" t="s">
        <v>1016</v>
      </c>
      <c r="B1527" s="819" t="s">
        <v>262</v>
      </c>
      <c r="C1527" s="818" t="s">
        <v>1017</v>
      </c>
      <c r="D1527" s="818" t="s">
        <v>8</v>
      </c>
      <c r="E1527" s="820" t="s">
        <v>1149</v>
      </c>
      <c r="F1527" s="821" t="s">
        <v>18</v>
      </c>
      <c r="G1527" s="822"/>
      <c r="H1527" s="823" t="s">
        <v>1882</v>
      </c>
      <c r="I1527" s="824"/>
      <c r="J1527" s="821" t="s">
        <v>11</v>
      </c>
      <c r="K1527" s="825"/>
      <c r="L1527" s="826" t="s">
        <v>1</v>
      </c>
      <c r="M1527" s="827"/>
      <c r="N1527" s="828" t="s">
        <v>21</v>
      </c>
      <c r="O1527" s="828"/>
    </row>
    <row r="1528" spans="1:15" ht="47.25">
      <c r="A1528" s="829"/>
      <c r="B1528" s="830"/>
      <c r="C1528" s="829"/>
      <c r="D1528" s="829"/>
      <c r="E1528" s="831"/>
      <c r="F1528" s="832" t="s">
        <v>1156</v>
      </c>
      <c r="G1528" s="833" t="s">
        <v>1157</v>
      </c>
      <c r="H1528" s="832" t="s">
        <v>1156</v>
      </c>
      <c r="I1528" s="833" t="s">
        <v>1157</v>
      </c>
      <c r="J1528" s="832" t="s">
        <v>1156</v>
      </c>
      <c r="K1528" s="833" t="s">
        <v>1157</v>
      </c>
      <c r="L1528" s="832" t="s">
        <v>1156</v>
      </c>
      <c r="M1528" s="833" t="s">
        <v>1157</v>
      </c>
      <c r="N1528" s="832" t="s">
        <v>1156</v>
      </c>
      <c r="O1528" s="833" t="s">
        <v>1157</v>
      </c>
    </row>
    <row r="1529" spans="1:15">
      <c r="A1529" s="834">
        <v>2</v>
      </c>
      <c r="B1529" s="835" t="s">
        <v>364</v>
      </c>
      <c r="C1529" s="836" t="s">
        <v>1883</v>
      </c>
      <c r="D1529" s="837" t="s">
        <v>4</v>
      </c>
      <c r="E1529" s="838">
        <v>300</v>
      </c>
      <c r="F1529" s="837">
        <f>2000-90-15-10-10-20-130-80-10-10-10-100-20-10-100-15-10-15-5-10-200-5-15-5-10-10-10-15-5-120-10-20-70-20-5-16-8-6-12-10-5</f>
        <v>753</v>
      </c>
      <c r="G1529" s="837">
        <f>E1529*F1529</f>
        <v>225900</v>
      </c>
      <c r="H1529" s="837"/>
      <c r="I1529" s="837"/>
      <c r="J1529" s="837"/>
      <c r="K1529" s="839"/>
      <c r="L1529" s="839"/>
      <c r="M1529" s="839"/>
      <c r="N1529" s="837"/>
      <c r="O1529" s="837"/>
    </row>
    <row r="1530" spans="1:15">
      <c r="A1530" s="834"/>
      <c r="B1530" s="835" t="s">
        <v>364</v>
      </c>
      <c r="C1530" s="836" t="s">
        <v>1883</v>
      </c>
      <c r="D1530" s="837" t="s">
        <v>4</v>
      </c>
      <c r="E1530" s="838">
        <v>317</v>
      </c>
      <c r="F1530" s="837"/>
      <c r="G1530" s="837"/>
      <c r="H1530" s="837"/>
      <c r="I1530" s="837"/>
      <c r="J1530" s="837"/>
      <c r="K1530" s="839"/>
      <c r="L1530" s="839">
        <f>283.5-283.5</f>
        <v>0</v>
      </c>
      <c r="M1530" s="839">
        <f t="shared" ref="M1530:M1535" si="73">E1530*L1530</f>
        <v>0</v>
      </c>
      <c r="N1530" s="837"/>
      <c r="O1530" s="837"/>
    </row>
    <row r="1531" spans="1:15">
      <c r="A1531" s="834"/>
      <c r="B1531" s="835" t="s">
        <v>317</v>
      </c>
      <c r="C1531" s="840" t="s">
        <v>1368</v>
      </c>
      <c r="D1531" s="837" t="s">
        <v>324</v>
      </c>
      <c r="E1531" s="841">
        <v>25000</v>
      </c>
      <c r="F1531" s="837"/>
      <c r="G1531" s="837"/>
      <c r="H1531" s="837"/>
      <c r="I1531" s="837"/>
      <c r="J1531" s="837"/>
      <c r="K1531" s="839"/>
      <c r="L1531" s="839">
        <f>0.1-0.1</f>
        <v>0</v>
      </c>
      <c r="M1531" s="839">
        <f t="shared" si="73"/>
        <v>0</v>
      </c>
      <c r="N1531" s="837"/>
      <c r="O1531" s="837"/>
    </row>
    <row r="1532" spans="1:15">
      <c r="A1532" s="834"/>
      <c r="B1532" s="835" t="s">
        <v>317</v>
      </c>
      <c r="C1532" s="842" t="s">
        <v>1368</v>
      </c>
      <c r="D1532" s="837" t="s">
        <v>324</v>
      </c>
      <c r="E1532" s="841">
        <v>25000</v>
      </c>
      <c r="F1532" s="837"/>
      <c r="G1532" s="837"/>
      <c r="H1532" s="837"/>
      <c r="I1532" s="837"/>
      <c r="J1532" s="837"/>
      <c r="K1532" s="839"/>
      <c r="L1532" s="843">
        <v>15.143000000000001</v>
      </c>
      <c r="M1532" s="839">
        <f t="shared" si="73"/>
        <v>378575</v>
      </c>
      <c r="N1532" s="837"/>
      <c r="O1532" s="837"/>
    </row>
    <row r="1533" spans="1:15">
      <c r="A1533" s="834"/>
      <c r="B1533" s="835" t="s">
        <v>164</v>
      </c>
      <c r="C1533" s="842" t="s">
        <v>1021</v>
      </c>
      <c r="D1533" s="837" t="s">
        <v>324</v>
      </c>
      <c r="E1533" s="841">
        <v>25000</v>
      </c>
      <c r="F1533" s="837"/>
      <c r="G1533" s="837"/>
      <c r="H1533" s="837"/>
      <c r="I1533" s="837"/>
      <c r="J1533" s="837"/>
      <c r="K1533" s="839"/>
      <c r="L1533" s="843">
        <v>2.82</v>
      </c>
      <c r="M1533" s="839">
        <f t="shared" si="73"/>
        <v>70500</v>
      </c>
      <c r="N1533" s="837"/>
      <c r="O1533" s="837"/>
    </row>
    <row r="1534" spans="1:15">
      <c r="A1534" s="834"/>
      <c r="B1534" s="835" t="s">
        <v>573</v>
      </c>
      <c r="C1534" s="836" t="s">
        <v>1884</v>
      </c>
      <c r="D1534" s="837" t="s">
        <v>324</v>
      </c>
      <c r="E1534" s="841">
        <v>25000</v>
      </c>
      <c r="F1534" s="844"/>
      <c r="G1534" s="837"/>
      <c r="H1534" s="844"/>
      <c r="I1534" s="844"/>
      <c r="J1534" s="844"/>
      <c r="K1534" s="845"/>
      <c r="L1534" s="846">
        <v>0.34</v>
      </c>
      <c r="M1534" s="839">
        <f t="shared" si="73"/>
        <v>8500</v>
      </c>
      <c r="N1534" s="837"/>
      <c r="O1534" s="837"/>
    </row>
    <row r="1535" spans="1:15">
      <c r="A1535" s="834"/>
      <c r="B1535" s="847"/>
      <c r="C1535" s="836" t="s">
        <v>1885</v>
      </c>
      <c r="D1535" s="837" t="s">
        <v>324</v>
      </c>
      <c r="E1535" s="841">
        <v>25000</v>
      </c>
      <c r="F1535" s="844"/>
      <c r="G1535" s="837"/>
      <c r="H1535" s="844"/>
      <c r="I1535" s="844"/>
      <c r="J1535" s="844"/>
      <c r="K1535" s="845"/>
      <c r="L1535" s="846">
        <v>0.98499999999999999</v>
      </c>
      <c r="M1535" s="839">
        <f t="shared" si="73"/>
        <v>24625</v>
      </c>
      <c r="N1535" s="837"/>
      <c r="O1535" s="837"/>
    </row>
    <row r="1536" spans="1:15">
      <c r="A1536" s="834">
        <v>26</v>
      </c>
      <c r="B1536" s="835" t="s">
        <v>1886</v>
      </c>
      <c r="C1536" s="836" t="s">
        <v>1887</v>
      </c>
      <c r="D1536" s="834" t="s">
        <v>4</v>
      </c>
      <c r="E1536" s="834">
        <v>1623.2</v>
      </c>
      <c r="F1536" s="848">
        <f>166.7-30</f>
        <v>136.69999999999999</v>
      </c>
      <c r="G1536" s="837">
        <f t="shared" ref="G1536:G1538" si="74">E1536*F1536</f>
        <v>221891.43999999997</v>
      </c>
      <c r="H1536" s="840"/>
      <c r="I1536" s="840"/>
      <c r="J1536" s="840"/>
      <c r="K1536" s="840"/>
      <c r="L1536" s="840"/>
      <c r="M1536" s="836"/>
      <c r="N1536" s="836"/>
      <c r="O1536" s="836"/>
    </row>
    <row r="1537" spans="1:15">
      <c r="A1537" s="834"/>
      <c r="B1537" s="835" t="s">
        <v>573</v>
      </c>
      <c r="C1537" s="836" t="s">
        <v>1888</v>
      </c>
      <c r="D1537" s="849" t="s">
        <v>462</v>
      </c>
      <c r="E1537" s="850">
        <v>10</v>
      </c>
      <c r="F1537" s="834">
        <f>27540-2210-50</f>
        <v>25280</v>
      </c>
      <c r="G1537" s="837">
        <f t="shared" si="74"/>
        <v>252800</v>
      </c>
      <c r="H1537" s="836"/>
      <c r="I1537" s="836"/>
      <c r="J1537" s="836"/>
      <c r="K1537" s="836"/>
      <c r="L1537" s="836"/>
      <c r="M1537" s="836"/>
      <c r="N1537" s="834"/>
      <c r="O1537" s="834"/>
    </row>
    <row r="1538" spans="1:15">
      <c r="A1538" s="834"/>
      <c r="B1538" s="847"/>
      <c r="C1538" s="836" t="s">
        <v>1889</v>
      </c>
      <c r="D1538" s="834" t="s">
        <v>2</v>
      </c>
      <c r="E1538" s="850">
        <v>100</v>
      </c>
      <c r="F1538" s="834">
        <v>19</v>
      </c>
      <c r="G1538" s="837">
        <f t="shared" si="74"/>
        <v>1900</v>
      </c>
      <c r="H1538" s="836"/>
      <c r="I1538" s="836"/>
      <c r="J1538" s="836"/>
      <c r="K1538" s="836"/>
      <c r="L1538" s="834"/>
      <c r="M1538" s="834"/>
      <c r="N1538" s="834"/>
      <c r="O1538" s="834"/>
    </row>
    <row r="1539" spans="1:15">
      <c r="A1539" s="834"/>
      <c r="B1539" s="851"/>
      <c r="C1539" s="836"/>
      <c r="D1539" s="834"/>
      <c r="E1539" s="850"/>
      <c r="F1539" s="834"/>
      <c r="G1539" s="834"/>
      <c r="H1539" s="836"/>
      <c r="I1539" s="836"/>
      <c r="J1539" s="836"/>
      <c r="K1539" s="852"/>
      <c r="L1539" s="849"/>
      <c r="M1539" s="849"/>
      <c r="N1539" s="834"/>
      <c r="O1539" s="834"/>
    </row>
    <row r="1540" spans="1:15">
      <c r="A1540" s="834">
        <v>5</v>
      </c>
      <c r="B1540" s="853" t="s">
        <v>1890</v>
      </c>
      <c r="C1540" s="854" t="s">
        <v>1891</v>
      </c>
      <c r="D1540" s="834" t="s">
        <v>2</v>
      </c>
      <c r="E1540" s="855">
        <v>85261.75</v>
      </c>
      <c r="F1540" s="837">
        <f>12-1-2-1-2</f>
        <v>6</v>
      </c>
      <c r="G1540" s="837">
        <f t="shared" ref="G1540:G1550" si="75">E1540*F1540</f>
        <v>511570.5</v>
      </c>
      <c r="H1540" s="834"/>
      <c r="I1540" s="834"/>
      <c r="J1540" s="834"/>
      <c r="K1540" s="849"/>
      <c r="L1540" s="849"/>
      <c r="M1540" s="849"/>
      <c r="N1540" s="834"/>
      <c r="O1540" s="834"/>
    </row>
    <row r="1541" spans="1:15">
      <c r="A1541" s="834"/>
      <c r="B1541" s="853" t="s">
        <v>1890</v>
      </c>
      <c r="C1541" s="854" t="s">
        <v>1891</v>
      </c>
      <c r="D1541" s="834" t="s">
        <v>2</v>
      </c>
      <c r="E1541" s="855">
        <v>100</v>
      </c>
      <c r="F1541" s="837"/>
      <c r="G1541" s="837"/>
      <c r="H1541" s="834"/>
      <c r="I1541" s="834"/>
      <c r="J1541" s="834"/>
      <c r="K1541" s="849"/>
      <c r="L1541" s="849">
        <v>4</v>
      </c>
      <c r="M1541" s="839">
        <f>E1541*L1541</f>
        <v>400</v>
      </c>
      <c r="N1541" s="834"/>
      <c r="O1541" s="834"/>
    </row>
    <row r="1542" spans="1:15">
      <c r="A1542" s="834"/>
      <c r="B1542" s="853" t="s">
        <v>1890</v>
      </c>
      <c r="C1542" s="854" t="s">
        <v>1891</v>
      </c>
      <c r="D1542" s="834" t="s">
        <v>2</v>
      </c>
      <c r="E1542" s="855">
        <v>500</v>
      </c>
      <c r="F1542" s="837"/>
      <c r="G1542" s="837"/>
      <c r="H1542" s="834"/>
      <c r="I1542" s="834"/>
      <c r="J1542" s="834"/>
      <c r="K1542" s="849"/>
      <c r="L1542" s="849">
        <f>5+1+1+2+1+2+1+2</f>
        <v>15</v>
      </c>
      <c r="M1542" s="839">
        <f>E1542*L1542</f>
        <v>7500</v>
      </c>
      <c r="N1542" s="834"/>
      <c r="O1542" s="834"/>
    </row>
    <row r="1543" spans="1:15">
      <c r="A1543" s="834"/>
      <c r="B1543" s="856"/>
      <c r="C1543" s="854"/>
      <c r="D1543" s="834"/>
      <c r="E1543" s="855"/>
      <c r="F1543" s="837"/>
      <c r="G1543" s="837"/>
      <c r="H1543" s="834"/>
      <c r="I1543" s="834"/>
      <c r="J1543" s="834"/>
      <c r="K1543" s="849"/>
      <c r="L1543" s="849"/>
      <c r="M1543" s="849"/>
      <c r="N1543" s="834"/>
      <c r="O1543" s="834"/>
    </row>
    <row r="1544" spans="1:15">
      <c r="A1544" s="857">
        <v>12</v>
      </c>
      <c r="B1544" s="858" t="s">
        <v>1195</v>
      </c>
      <c r="C1544" s="859" t="s">
        <v>1892</v>
      </c>
      <c r="D1544" s="837" t="s">
        <v>1024</v>
      </c>
      <c r="E1544" s="855">
        <v>185.15991</v>
      </c>
      <c r="F1544" s="837">
        <f>891-326-240-200-15</f>
        <v>110</v>
      </c>
      <c r="G1544" s="860">
        <f t="shared" si="75"/>
        <v>20367.590100000001</v>
      </c>
      <c r="H1544" s="857"/>
      <c r="I1544" s="857"/>
      <c r="J1544" s="857"/>
      <c r="K1544" s="861"/>
      <c r="L1544" s="861"/>
      <c r="M1544" s="861"/>
      <c r="N1544" s="857"/>
      <c r="O1544" s="857"/>
    </row>
    <row r="1545" spans="1:15">
      <c r="A1545" s="857">
        <v>17</v>
      </c>
      <c r="B1545" s="862" t="s">
        <v>1094</v>
      </c>
      <c r="C1545" s="863" t="s">
        <v>1893</v>
      </c>
      <c r="D1545" s="837" t="s">
        <v>1024</v>
      </c>
      <c r="E1545" s="855">
        <v>146.91</v>
      </c>
      <c r="F1545" s="837">
        <v>290</v>
      </c>
      <c r="G1545" s="837">
        <f t="shared" si="75"/>
        <v>42603.9</v>
      </c>
      <c r="H1545" s="857"/>
      <c r="I1545" s="857"/>
      <c r="J1545" s="857"/>
      <c r="K1545" s="861"/>
      <c r="L1545" s="861"/>
      <c r="M1545" s="861"/>
      <c r="N1545" s="857"/>
      <c r="O1545" s="857"/>
    </row>
    <row r="1546" spans="1:15">
      <c r="A1546" s="857">
        <v>43</v>
      </c>
      <c r="B1546" s="864" t="s">
        <v>1894</v>
      </c>
      <c r="C1546" s="865" t="s">
        <v>1895</v>
      </c>
      <c r="D1546" s="837" t="s">
        <v>1024</v>
      </c>
      <c r="E1546" s="855">
        <v>219</v>
      </c>
      <c r="F1546" s="837">
        <f>1029-120-50-440-100-100</f>
        <v>219</v>
      </c>
      <c r="G1546" s="837">
        <f t="shared" si="75"/>
        <v>47961</v>
      </c>
      <c r="H1546" s="857"/>
      <c r="I1546" s="857"/>
      <c r="J1546" s="857"/>
      <c r="K1546" s="861"/>
      <c r="L1546" s="861"/>
      <c r="M1546" s="861"/>
      <c r="N1546" s="857"/>
      <c r="O1546" s="857"/>
    </row>
    <row r="1547" spans="1:15">
      <c r="A1547" s="857"/>
      <c r="B1547" s="866"/>
      <c r="C1547" s="867"/>
      <c r="D1547" s="837" t="s">
        <v>1024</v>
      </c>
      <c r="E1547" s="855">
        <v>186.08600000000001</v>
      </c>
      <c r="F1547" s="837">
        <f>600-300-80</f>
        <v>220</v>
      </c>
      <c r="G1547" s="837">
        <f t="shared" si="75"/>
        <v>40938.920000000006</v>
      </c>
      <c r="H1547" s="857"/>
      <c r="I1547" s="857"/>
      <c r="J1547" s="857"/>
      <c r="K1547" s="861"/>
      <c r="L1547" s="861"/>
      <c r="M1547" s="861"/>
      <c r="N1547" s="857"/>
      <c r="O1547" s="857"/>
    </row>
    <row r="1548" spans="1:15">
      <c r="A1548" s="857"/>
      <c r="B1548" s="866"/>
      <c r="C1548" s="867"/>
      <c r="D1548" s="837" t="s">
        <v>1024</v>
      </c>
      <c r="E1548" s="855">
        <v>153.00299999999999</v>
      </c>
      <c r="F1548" s="837">
        <v>1758</v>
      </c>
      <c r="G1548" s="837">
        <f t="shared" si="75"/>
        <v>268979.27399999998</v>
      </c>
      <c r="H1548" s="857"/>
      <c r="I1548" s="857"/>
      <c r="J1548" s="857"/>
      <c r="K1548" s="861"/>
      <c r="L1548" s="861"/>
      <c r="M1548" s="861"/>
      <c r="N1548" s="857"/>
      <c r="O1548" s="857"/>
    </row>
    <row r="1549" spans="1:15">
      <c r="A1549" s="857"/>
      <c r="B1549" s="868"/>
      <c r="C1549" s="869"/>
      <c r="D1549" s="837" t="s">
        <v>1024</v>
      </c>
      <c r="E1549" s="855">
        <v>333</v>
      </c>
      <c r="F1549" s="837">
        <v>700</v>
      </c>
      <c r="G1549" s="837">
        <f t="shared" si="75"/>
        <v>233100</v>
      </c>
      <c r="H1549" s="857"/>
      <c r="I1549" s="857"/>
      <c r="J1549" s="857"/>
      <c r="K1549" s="861"/>
      <c r="L1549" s="861"/>
      <c r="M1549" s="861"/>
      <c r="N1549" s="857"/>
      <c r="O1549" s="857"/>
    </row>
    <row r="1550" spans="1:15">
      <c r="A1550" s="857">
        <v>83</v>
      </c>
      <c r="B1550" s="870" t="s">
        <v>1896</v>
      </c>
      <c r="C1550" s="863" t="s">
        <v>1026</v>
      </c>
      <c r="D1550" s="837" t="s">
        <v>1024</v>
      </c>
      <c r="E1550" s="855">
        <v>235.75200000000001</v>
      </c>
      <c r="F1550" s="837">
        <v>555</v>
      </c>
      <c r="G1550" s="837">
        <f t="shared" si="75"/>
        <v>130842.36</v>
      </c>
      <c r="H1550" s="857"/>
      <c r="I1550" s="857"/>
      <c r="J1550" s="857"/>
      <c r="K1550" s="861"/>
      <c r="L1550" s="861"/>
      <c r="M1550" s="861"/>
      <c r="N1550" s="857"/>
      <c r="O1550" s="857"/>
    </row>
    <row r="1551" spans="1:15">
      <c r="A1551" s="857"/>
      <c r="B1551" s="856"/>
      <c r="C1551" s="863"/>
      <c r="D1551" s="837"/>
      <c r="E1551" s="855"/>
      <c r="F1551" s="837"/>
      <c r="G1551" s="837"/>
      <c r="H1551" s="857"/>
      <c r="I1551" s="857"/>
      <c r="J1551" s="857"/>
      <c r="K1551" s="861"/>
      <c r="L1551" s="861"/>
      <c r="M1551" s="861"/>
      <c r="N1551" s="857"/>
      <c r="O1551" s="857"/>
    </row>
    <row r="1552" spans="1:15">
      <c r="A1552" s="857">
        <v>229</v>
      </c>
      <c r="B1552" s="871" t="s">
        <v>1897</v>
      </c>
      <c r="C1552" s="872" t="s">
        <v>1898</v>
      </c>
      <c r="D1552" s="837" t="s">
        <v>324</v>
      </c>
      <c r="E1552" s="841">
        <v>61000</v>
      </c>
      <c r="F1552" s="837">
        <v>0.39900000000000002</v>
      </c>
      <c r="G1552" s="837">
        <f t="shared" ref="G1552:G1557" si="76">E1552*F1552</f>
        <v>24339</v>
      </c>
      <c r="H1552" s="837"/>
      <c r="I1552" s="837"/>
      <c r="J1552" s="837"/>
      <c r="K1552" s="839"/>
      <c r="L1552" s="839"/>
      <c r="M1552" s="839"/>
      <c r="N1552" s="837"/>
      <c r="O1552" s="837"/>
    </row>
    <row r="1553" spans="1:15">
      <c r="A1553" s="857">
        <v>260</v>
      </c>
      <c r="B1553" s="871" t="s">
        <v>1899</v>
      </c>
      <c r="C1553" s="872" t="s">
        <v>1900</v>
      </c>
      <c r="D1553" s="837" t="s">
        <v>324</v>
      </c>
      <c r="E1553" s="841">
        <v>61000</v>
      </c>
      <c r="F1553" s="27"/>
      <c r="G1553" s="27"/>
      <c r="H1553" s="872"/>
      <c r="I1553" s="872"/>
      <c r="J1553" s="872"/>
      <c r="K1553" s="873"/>
      <c r="L1553" s="839">
        <f>10.34-7.34</f>
        <v>3</v>
      </c>
      <c r="M1553" s="839">
        <f>E1553*L1553</f>
        <v>183000</v>
      </c>
      <c r="N1553" s="837"/>
      <c r="O1553" s="837"/>
    </row>
    <row r="1554" spans="1:15">
      <c r="A1554" s="857">
        <v>287</v>
      </c>
      <c r="B1554" s="871" t="s">
        <v>1901</v>
      </c>
      <c r="C1554" s="872" t="s">
        <v>1902</v>
      </c>
      <c r="D1554" s="837" t="s">
        <v>324</v>
      </c>
      <c r="E1554" s="841">
        <v>74000</v>
      </c>
      <c r="F1554" s="837">
        <f>1.05-0.41</f>
        <v>0.64000000000000012</v>
      </c>
      <c r="G1554" s="837">
        <f t="shared" si="76"/>
        <v>47360.000000000007</v>
      </c>
      <c r="H1554" s="837"/>
      <c r="I1554" s="837"/>
      <c r="J1554" s="837"/>
      <c r="K1554" s="839"/>
      <c r="L1554" s="839"/>
      <c r="M1554" s="839"/>
      <c r="N1554" s="837"/>
      <c r="O1554" s="837"/>
    </row>
    <row r="1555" spans="1:15">
      <c r="A1555" s="857">
        <v>313</v>
      </c>
      <c r="B1555" s="871" t="s">
        <v>1903</v>
      </c>
      <c r="C1555" s="872" t="s">
        <v>1904</v>
      </c>
      <c r="D1555" s="837" t="s">
        <v>324</v>
      </c>
      <c r="E1555" s="841">
        <v>56996</v>
      </c>
      <c r="F1555" s="837">
        <v>5.1120000000000001</v>
      </c>
      <c r="G1555" s="837">
        <f t="shared" si="76"/>
        <v>291363.55200000003</v>
      </c>
      <c r="H1555" s="837"/>
      <c r="I1555" s="837"/>
      <c r="J1555" s="837"/>
      <c r="K1555" s="839"/>
      <c r="L1555" s="839"/>
      <c r="M1555" s="839"/>
      <c r="N1555" s="837"/>
      <c r="O1555" s="837"/>
    </row>
    <row r="1556" spans="1:15">
      <c r="A1556" s="857">
        <v>314</v>
      </c>
      <c r="B1556" s="871" t="s">
        <v>1905</v>
      </c>
      <c r="C1556" s="872" t="s">
        <v>1906</v>
      </c>
      <c r="D1556" s="837" t="s">
        <v>324</v>
      </c>
      <c r="E1556" s="841">
        <v>53115</v>
      </c>
      <c r="F1556" s="837">
        <f>7.813+0.2-0.3</f>
        <v>7.7130000000000001</v>
      </c>
      <c r="G1556" s="837">
        <f t="shared" si="76"/>
        <v>409675.995</v>
      </c>
      <c r="H1556" s="837"/>
      <c r="I1556" s="837"/>
      <c r="J1556" s="837"/>
      <c r="K1556" s="839"/>
      <c r="L1556" s="839"/>
      <c r="M1556" s="839"/>
      <c r="N1556" s="837"/>
      <c r="O1556" s="837"/>
    </row>
    <row r="1557" spans="1:15">
      <c r="A1557" s="874">
        <v>327</v>
      </c>
      <c r="B1557" s="875" t="s">
        <v>762</v>
      </c>
      <c r="C1557" s="876" t="s">
        <v>1907</v>
      </c>
      <c r="D1557" s="857" t="s">
        <v>324</v>
      </c>
      <c r="E1557" s="877">
        <v>74000</v>
      </c>
      <c r="F1557" s="857">
        <v>0.78100000000000003</v>
      </c>
      <c r="G1557" s="837">
        <f t="shared" si="76"/>
        <v>57794</v>
      </c>
      <c r="H1557" s="857"/>
      <c r="I1557" s="857"/>
      <c r="J1557" s="857"/>
      <c r="K1557" s="857"/>
      <c r="L1557" s="857"/>
      <c r="M1557" s="857"/>
      <c r="N1557" s="857"/>
      <c r="O1557" s="857"/>
    </row>
    <row r="1558" spans="1:15">
      <c r="A1558" s="878"/>
      <c r="B1558" s="875" t="s">
        <v>762</v>
      </c>
      <c r="C1558" s="879"/>
      <c r="D1558" s="857" t="s">
        <v>462</v>
      </c>
      <c r="E1558" s="857">
        <v>20</v>
      </c>
      <c r="F1558" s="857"/>
      <c r="G1558" s="837"/>
      <c r="H1558" s="857"/>
      <c r="I1558" s="857"/>
      <c r="J1558" s="857"/>
      <c r="K1558" s="861"/>
      <c r="L1558" s="857">
        <v>805</v>
      </c>
      <c r="M1558" s="880">
        <f t="shared" ref="M1558:M1563" si="77">E1558*L1558</f>
        <v>16100</v>
      </c>
      <c r="N1558" s="857"/>
      <c r="O1558" s="857"/>
    </row>
    <row r="1559" spans="1:15">
      <c r="A1559" s="857">
        <v>329</v>
      </c>
      <c r="B1559" s="871" t="s">
        <v>173</v>
      </c>
      <c r="C1559" s="881" t="s">
        <v>1373</v>
      </c>
      <c r="D1559" s="837" t="s">
        <v>324</v>
      </c>
      <c r="E1559" s="841">
        <v>28491.41</v>
      </c>
      <c r="F1559" s="837"/>
      <c r="G1559" s="860"/>
      <c r="H1559" s="837"/>
      <c r="I1559" s="837"/>
      <c r="J1559" s="837"/>
      <c r="K1559" s="839"/>
      <c r="L1559" s="837">
        <f>18.557-0.571-0.13-15.856-0.28</f>
        <v>1.7199999999999982</v>
      </c>
      <c r="M1559" s="880">
        <f t="shared" si="77"/>
        <v>49005.22519999995</v>
      </c>
      <c r="N1559" s="837"/>
      <c r="O1559" s="837"/>
    </row>
    <row r="1560" spans="1:15">
      <c r="A1560" s="857"/>
      <c r="B1560" s="871" t="s">
        <v>173</v>
      </c>
      <c r="C1560" s="881"/>
      <c r="D1560" s="837" t="s">
        <v>324</v>
      </c>
      <c r="E1560" s="841">
        <v>25000</v>
      </c>
      <c r="F1560" s="837"/>
      <c r="G1560" s="837"/>
      <c r="H1560" s="837"/>
      <c r="I1560" s="837"/>
      <c r="J1560" s="837"/>
      <c r="K1560" s="839"/>
      <c r="L1560" s="837">
        <f>0.6-0.2-0.15-0.25</f>
        <v>0</v>
      </c>
      <c r="M1560" s="880">
        <f t="shared" si="77"/>
        <v>0</v>
      </c>
      <c r="N1560" s="837"/>
      <c r="O1560" s="837"/>
    </row>
    <row r="1561" spans="1:15">
      <c r="A1561" s="857"/>
      <c r="B1561" s="871" t="s">
        <v>173</v>
      </c>
      <c r="C1561" s="872" t="s">
        <v>1908</v>
      </c>
      <c r="D1561" s="837" t="s">
        <v>324</v>
      </c>
      <c r="E1561" s="841">
        <v>25000</v>
      </c>
      <c r="F1561" s="837"/>
      <c r="G1561" s="837"/>
      <c r="H1561" s="837"/>
      <c r="I1561" s="837"/>
      <c r="J1561" s="837"/>
      <c r="K1561" s="839"/>
      <c r="L1561" s="843">
        <f>13.5+27.89</f>
        <v>41.39</v>
      </c>
      <c r="M1561" s="880">
        <f t="shared" si="77"/>
        <v>1034750</v>
      </c>
      <c r="N1561" s="837"/>
      <c r="O1561" s="837"/>
    </row>
    <row r="1562" spans="1:15">
      <c r="A1562" s="857"/>
      <c r="B1562" s="871" t="s">
        <v>173</v>
      </c>
      <c r="C1562" s="872" t="s">
        <v>1909</v>
      </c>
      <c r="D1562" s="837" t="s">
        <v>324</v>
      </c>
      <c r="E1562" s="841">
        <v>25000</v>
      </c>
      <c r="F1562" s="837"/>
      <c r="G1562" s="837"/>
      <c r="H1562" s="837"/>
      <c r="I1562" s="837"/>
      <c r="J1562" s="837"/>
      <c r="K1562" s="839"/>
      <c r="L1562" s="843">
        <v>18.920000000000002</v>
      </c>
      <c r="M1562" s="880">
        <f t="shared" si="77"/>
        <v>473000.00000000006</v>
      </c>
      <c r="N1562" s="837"/>
      <c r="O1562" s="837"/>
    </row>
    <row r="1563" spans="1:15">
      <c r="A1563" s="857"/>
      <c r="B1563" s="882" t="s">
        <v>235</v>
      </c>
      <c r="C1563" s="883" t="s">
        <v>1910</v>
      </c>
      <c r="D1563" s="837" t="s">
        <v>324</v>
      </c>
      <c r="E1563" s="841">
        <v>25000</v>
      </c>
      <c r="F1563" s="837"/>
      <c r="G1563" s="837"/>
      <c r="H1563" s="837"/>
      <c r="I1563" s="837"/>
      <c r="J1563" s="837"/>
      <c r="K1563" s="839"/>
      <c r="L1563" s="843">
        <v>20.73</v>
      </c>
      <c r="M1563" s="880">
        <f t="shared" si="77"/>
        <v>518250</v>
      </c>
      <c r="N1563" s="837"/>
      <c r="O1563" s="837"/>
    </row>
    <row r="1564" spans="1:15">
      <c r="A1564" s="857"/>
      <c r="B1564" s="884"/>
      <c r="C1564" s="872" t="s">
        <v>1911</v>
      </c>
      <c r="D1564" s="857" t="s">
        <v>462</v>
      </c>
      <c r="E1564" s="857">
        <v>289.10000000000002</v>
      </c>
      <c r="F1564" s="857">
        <f>30-5</f>
        <v>25</v>
      </c>
      <c r="G1564" s="837">
        <f t="shared" ref="G1564:G1570" si="78">E1564*F1564</f>
        <v>7227.5000000000009</v>
      </c>
      <c r="H1564" s="857"/>
      <c r="I1564" s="857"/>
      <c r="J1564" s="857"/>
      <c r="K1564" s="857"/>
      <c r="L1564" s="857"/>
      <c r="M1564" s="857"/>
      <c r="N1564" s="857"/>
      <c r="O1564" s="857"/>
    </row>
    <row r="1565" spans="1:15">
      <c r="A1565" s="857">
        <v>375</v>
      </c>
      <c r="B1565" s="884" t="s">
        <v>1912</v>
      </c>
      <c r="C1565" s="872" t="s">
        <v>1913</v>
      </c>
      <c r="D1565" s="857" t="s">
        <v>462</v>
      </c>
      <c r="E1565" s="857">
        <v>289.10000000000002</v>
      </c>
      <c r="F1565" s="857">
        <f>30-5</f>
        <v>25</v>
      </c>
      <c r="G1565" s="837">
        <f t="shared" si="78"/>
        <v>7227.5000000000009</v>
      </c>
      <c r="H1565" s="857"/>
      <c r="I1565" s="857"/>
      <c r="J1565" s="857"/>
      <c r="K1565" s="857"/>
      <c r="L1565" s="857"/>
      <c r="M1565" s="857"/>
      <c r="N1565" s="857"/>
      <c r="O1565" s="857"/>
    </row>
    <row r="1566" spans="1:15">
      <c r="A1566" s="885"/>
      <c r="B1566" s="886"/>
      <c r="C1566" s="887" t="s">
        <v>1914</v>
      </c>
      <c r="D1566" s="857" t="s">
        <v>462</v>
      </c>
      <c r="E1566" s="857">
        <v>289.10000000000002</v>
      </c>
      <c r="F1566" s="857">
        <f>20-5</f>
        <v>15</v>
      </c>
      <c r="G1566" s="837">
        <f t="shared" si="78"/>
        <v>4336.5</v>
      </c>
      <c r="H1566" s="857"/>
      <c r="I1566" s="857"/>
      <c r="J1566" s="857"/>
      <c r="K1566" s="861"/>
      <c r="L1566" s="861"/>
      <c r="M1566" s="861"/>
      <c r="N1566" s="857"/>
      <c r="O1566" s="857"/>
    </row>
    <row r="1567" spans="1:15">
      <c r="A1567" s="885">
        <v>385</v>
      </c>
      <c r="B1567" s="886" t="s">
        <v>1915</v>
      </c>
      <c r="C1567" s="888" t="s">
        <v>1916</v>
      </c>
      <c r="D1567" s="857" t="s">
        <v>462</v>
      </c>
      <c r="E1567" s="857">
        <v>289.10000000000002</v>
      </c>
      <c r="F1567" s="857">
        <f>20-5</f>
        <v>15</v>
      </c>
      <c r="G1567" s="837">
        <f t="shared" si="78"/>
        <v>4336.5</v>
      </c>
      <c r="H1567" s="857"/>
      <c r="I1567" s="857"/>
      <c r="J1567" s="857"/>
      <c r="K1567" s="861"/>
      <c r="L1567" s="861"/>
      <c r="M1567" s="861"/>
      <c r="N1567" s="857"/>
      <c r="O1567" s="857"/>
    </row>
    <row r="1568" spans="1:15">
      <c r="A1568" s="857">
        <v>424</v>
      </c>
      <c r="B1568" s="871" t="s">
        <v>1917</v>
      </c>
      <c r="C1568" s="863" t="s">
        <v>1918</v>
      </c>
      <c r="D1568" s="837" t="s">
        <v>2</v>
      </c>
      <c r="E1568" s="841">
        <v>10</v>
      </c>
      <c r="F1568" s="837">
        <f>615-300-100</f>
        <v>215</v>
      </c>
      <c r="G1568" s="837">
        <f t="shared" si="78"/>
        <v>2150</v>
      </c>
      <c r="H1568" s="837"/>
      <c r="I1568" s="837"/>
      <c r="J1568" s="837"/>
      <c r="K1568" s="839"/>
      <c r="L1568" s="839"/>
      <c r="M1568" s="839"/>
      <c r="N1568" s="837"/>
      <c r="O1568" s="837"/>
    </row>
    <row r="1569" spans="1:15">
      <c r="A1569" s="857">
        <v>426</v>
      </c>
      <c r="B1569" s="871" t="s">
        <v>1919</v>
      </c>
      <c r="C1569" s="872" t="s">
        <v>1920</v>
      </c>
      <c r="D1569" s="837" t="s">
        <v>2</v>
      </c>
      <c r="E1569" s="841">
        <v>10</v>
      </c>
      <c r="F1569" s="837">
        <f>650-300-100</f>
        <v>250</v>
      </c>
      <c r="G1569" s="837">
        <f t="shared" si="78"/>
        <v>2500</v>
      </c>
      <c r="H1569" s="837"/>
      <c r="I1569" s="837"/>
      <c r="J1569" s="837"/>
      <c r="K1569" s="839"/>
      <c r="L1569" s="839"/>
      <c r="M1569" s="839"/>
      <c r="N1569" s="837"/>
      <c r="O1569" s="837"/>
    </row>
    <row r="1570" spans="1:15">
      <c r="A1570" s="857">
        <v>581</v>
      </c>
      <c r="B1570" s="884" t="s">
        <v>1921</v>
      </c>
      <c r="C1570" s="872" t="s">
        <v>1922</v>
      </c>
      <c r="D1570" s="837" t="s">
        <v>9</v>
      </c>
      <c r="E1570" s="841">
        <v>0</v>
      </c>
      <c r="F1570" s="837">
        <v>0</v>
      </c>
      <c r="G1570" s="837">
        <f t="shared" si="78"/>
        <v>0</v>
      </c>
      <c r="H1570" s="837"/>
      <c r="I1570" s="837"/>
      <c r="J1570" s="837"/>
      <c r="K1570" s="839"/>
      <c r="L1570" s="839"/>
      <c r="M1570" s="839"/>
      <c r="N1570" s="837"/>
      <c r="O1570" s="837"/>
    </row>
    <row r="1571" spans="1:15">
      <c r="A1571" s="857"/>
      <c r="B1571" s="871"/>
      <c r="C1571" s="872" t="s">
        <v>1923</v>
      </c>
      <c r="D1571" s="837" t="s">
        <v>324</v>
      </c>
      <c r="E1571" s="841">
        <v>10000</v>
      </c>
      <c r="F1571" s="837"/>
      <c r="G1571" s="837"/>
      <c r="H1571" s="837"/>
      <c r="I1571" s="837"/>
      <c r="J1571" s="837"/>
      <c r="K1571" s="837"/>
      <c r="L1571" s="837">
        <v>1.6</v>
      </c>
      <c r="M1571" s="880">
        <f>E1571*L1571</f>
        <v>16000</v>
      </c>
      <c r="N1571" s="837"/>
      <c r="O1571" s="837"/>
    </row>
    <row r="1572" spans="1:15">
      <c r="A1572" s="857"/>
      <c r="B1572" s="851"/>
      <c r="C1572" s="872"/>
      <c r="D1572" s="837"/>
      <c r="E1572" s="841"/>
      <c r="F1572" s="837"/>
      <c r="G1572" s="837"/>
      <c r="H1572" s="837"/>
      <c r="I1572" s="837"/>
      <c r="J1572" s="837"/>
      <c r="K1572" s="837"/>
      <c r="L1572" s="837"/>
      <c r="M1572" s="837"/>
      <c r="N1572" s="837"/>
      <c r="O1572" s="837"/>
    </row>
    <row r="1573" spans="1:15">
      <c r="A1573" s="889">
        <v>1</v>
      </c>
      <c r="B1573" s="890" t="s">
        <v>1924</v>
      </c>
      <c r="C1573" s="891" t="s">
        <v>1925</v>
      </c>
      <c r="D1573" s="892" t="s">
        <v>462</v>
      </c>
      <c r="E1573" s="841">
        <v>765.82</v>
      </c>
      <c r="F1573" s="889">
        <f>12-10-2</f>
        <v>0</v>
      </c>
      <c r="G1573" s="893">
        <f t="shared" ref="G1573:G1575" si="79">E1573*F1573</f>
        <v>0</v>
      </c>
      <c r="H1573" s="894"/>
      <c r="I1573" s="894"/>
      <c r="J1573" s="894"/>
      <c r="K1573" s="894"/>
      <c r="L1573" s="894"/>
      <c r="M1573" s="894"/>
      <c r="N1573" s="894"/>
      <c r="O1573" s="894"/>
    </row>
    <row r="1574" spans="1:15">
      <c r="A1574" s="889">
        <v>3</v>
      </c>
      <c r="B1574" s="890" t="s">
        <v>1926</v>
      </c>
      <c r="C1574" s="891" t="s">
        <v>1927</v>
      </c>
      <c r="D1574" s="892" t="s">
        <v>2</v>
      </c>
      <c r="E1574" s="841">
        <v>824.82</v>
      </c>
      <c r="F1574" s="889">
        <f>14-10-2-2</f>
        <v>0</v>
      </c>
      <c r="G1574" s="893">
        <f t="shared" si="79"/>
        <v>0</v>
      </c>
      <c r="H1574" s="894"/>
      <c r="I1574" s="894"/>
      <c r="J1574" s="894"/>
      <c r="K1574" s="894"/>
      <c r="L1574" s="894"/>
      <c r="M1574" s="894"/>
      <c r="N1574" s="894"/>
      <c r="O1574" s="894"/>
    </row>
    <row r="1575" spans="1:15">
      <c r="A1575" s="889">
        <v>7</v>
      </c>
      <c r="B1575" s="895" t="s">
        <v>1928</v>
      </c>
      <c r="C1575" s="891" t="s">
        <v>1929</v>
      </c>
      <c r="D1575" s="892" t="s">
        <v>462</v>
      </c>
      <c r="E1575" s="841">
        <v>2122.8200000000002</v>
      </c>
      <c r="F1575" s="889">
        <f>4-4</f>
        <v>0</v>
      </c>
      <c r="G1575" s="893">
        <f t="shared" si="79"/>
        <v>0</v>
      </c>
      <c r="H1575" s="894"/>
      <c r="I1575" s="894"/>
      <c r="J1575" s="894"/>
      <c r="K1575" s="894"/>
      <c r="L1575" s="894"/>
      <c r="M1575" s="894"/>
      <c r="N1575" s="894"/>
      <c r="O1575" s="894"/>
    </row>
    <row r="1576" spans="1:15">
      <c r="A1576" s="857"/>
      <c r="B1576" s="896"/>
      <c r="C1576" s="863"/>
      <c r="D1576" s="897"/>
      <c r="E1576" s="841"/>
      <c r="F1576" s="27"/>
      <c r="G1576" s="27"/>
      <c r="H1576" s="27"/>
      <c r="I1576" s="27"/>
      <c r="J1576" s="27"/>
      <c r="K1576" s="27"/>
      <c r="L1576" s="27"/>
      <c r="M1576" s="27"/>
      <c r="N1576" s="27"/>
      <c r="O1576" s="27"/>
    </row>
    <row r="1577" spans="1:15">
      <c r="A1577" s="837"/>
      <c r="B1577" s="898"/>
      <c r="C1577" s="899" t="s">
        <v>1930</v>
      </c>
      <c r="D1577" s="837" t="s">
        <v>2</v>
      </c>
      <c r="E1577" s="841">
        <v>70210</v>
      </c>
      <c r="F1577" s="837">
        <v>1</v>
      </c>
      <c r="G1577" s="837">
        <f t="shared" ref="G1577:G1579" si="80">E1577*F1577</f>
        <v>70210</v>
      </c>
      <c r="H1577" s="837"/>
      <c r="I1577" s="837"/>
      <c r="J1577" s="837"/>
      <c r="K1577" s="837"/>
      <c r="L1577" s="837"/>
      <c r="M1577" s="837"/>
      <c r="N1577" s="837"/>
      <c r="O1577" s="837"/>
    </row>
    <row r="1578" spans="1:15">
      <c r="A1578" s="837"/>
      <c r="B1578" s="898"/>
      <c r="C1578" s="899" t="s">
        <v>1931</v>
      </c>
      <c r="D1578" s="837" t="s">
        <v>2</v>
      </c>
      <c r="E1578" s="841">
        <v>82364</v>
      </c>
      <c r="F1578" s="837">
        <v>2</v>
      </c>
      <c r="G1578" s="837">
        <f t="shared" si="80"/>
        <v>164728</v>
      </c>
      <c r="H1578" s="837"/>
      <c r="I1578" s="837"/>
      <c r="J1578" s="837"/>
      <c r="K1578" s="837"/>
      <c r="L1578" s="837"/>
      <c r="M1578" s="837"/>
      <c r="N1578" s="837"/>
      <c r="O1578" s="837"/>
    </row>
    <row r="1579" spans="1:15">
      <c r="A1579" s="837"/>
      <c r="B1579" s="898"/>
      <c r="C1579" s="899" t="s">
        <v>1931</v>
      </c>
      <c r="D1579" s="837" t="s">
        <v>2</v>
      </c>
      <c r="E1579" s="841">
        <v>47200</v>
      </c>
      <c r="F1579" s="837">
        <f>4-1-1-1</f>
        <v>1</v>
      </c>
      <c r="G1579" s="837">
        <f t="shared" si="80"/>
        <v>47200</v>
      </c>
      <c r="H1579" s="837"/>
      <c r="I1579" s="837"/>
      <c r="J1579" s="837"/>
      <c r="K1579" s="839"/>
      <c r="L1579" s="839"/>
      <c r="M1579" s="839"/>
      <c r="N1579" s="837"/>
      <c r="O1579" s="837"/>
    </row>
    <row r="1580" spans="1:15">
      <c r="A1580" s="837"/>
      <c r="B1580" s="900" t="s">
        <v>1932</v>
      </c>
      <c r="C1580" s="899" t="s">
        <v>1933</v>
      </c>
      <c r="D1580" s="837" t="s">
        <v>2</v>
      </c>
      <c r="E1580" s="841">
        <v>5000</v>
      </c>
      <c r="F1580" s="837"/>
      <c r="G1580" s="837"/>
      <c r="H1580" s="837"/>
      <c r="I1580" s="837"/>
      <c r="J1580" s="837"/>
      <c r="K1580" s="839"/>
      <c r="L1580" s="839">
        <v>1</v>
      </c>
      <c r="M1580" s="880">
        <f>E1580*L1580</f>
        <v>5000</v>
      </c>
      <c r="N1580" s="837"/>
      <c r="O1580" s="837"/>
    </row>
    <row r="1581" spans="1:15" ht="31.5">
      <c r="A1581" s="837">
        <v>10</v>
      </c>
      <c r="B1581" s="900" t="s">
        <v>1934</v>
      </c>
      <c r="C1581" s="899" t="s">
        <v>1935</v>
      </c>
      <c r="D1581" s="837" t="s">
        <v>9</v>
      </c>
      <c r="E1581" s="841">
        <v>101598</v>
      </c>
      <c r="F1581" s="837">
        <f>2-1</f>
        <v>1</v>
      </c>
      <c r="G1581" s="837">
        <f t="shared" ref="G1581:G1599" si="81">E1581*F1581</f>
        <v>101598</v>
      </c>
      <c r="H1581" s="837"/>
      <c r="I1581" s="837"/>
      <c r="J1581" s="837"/>
      <c r="K1581" s="839"/>
      <c r="L1581" s="839"/>
      <c r="M1581" s="839"/>
      <c r="N1581" s="837"/>
      <c r="O1581" s="837"/>
    </row>
    <row r="1582" spans="1:15">
      <c r="A1582" s="837">
        <v>63</v>
      </c>
      <c r="B1582" s="900" t="s">
        <v>380</v>
      </c>
      <c r="C1582" s="899" t="s">
        <v>1936</v>
      </c>
      <c r="D1582" s="837" t="s">
        <v>2</v>
      </c>
      <c r="E1582" s="841">
        <v>8501</v>
      </c>
      <c r="F1582" s="837">
        <v>1</v>
      </c>
      <c r="G1582" s="837">
        <f t="shared" si="81"/>
        <v>8501</v>
      </c>
      <c r="H1582" s="837"/>
      <c r="I1582" s="837"/>
      <c r="J1582" s="837"/>
      <c r="K1582" s="839"/>
      <c r="L1582" s="839"/>
      <c r="M1582" s="839"/>
      <c r="N1582" s="837"/>
      <c r="O1582" s="837"/>
    </row>
    <row r="1583" spans="1:15">
      <c r="A1583" s="837">
        <v>64</v>
      </c>
      <c r="B1583" s="900" t="s">
        <v>382</v>
      </c>
      <c r="C1583" s="899" t="s">
        <v>1937</v>
      </c>
      <c r="D1583" s="837" t="s">
        <v>2</v>
      </c>
      <c r="E1583" s="841">
        <v>8513</v>
      </c>
      <c r="F1583" s="837">
        <v>1</v>
      </c>
      <c r="G1583" s="837">
        <f t="shared" si="81"/>
        <v>8513</v>
      </c>
      <c r="H1583" s="837"/>
      <c r="I1583" s="837"/>
      <c r="J1583" s="837"/>
      <c r="K1583" s="839"/>
      <c r="L1583" s="839"/>
      <c r="M1583" s="839"/>
      <c r="N1583" s="837"/>
      <c r="O1583" s="837"/>
    </row>
    <row r="1584" spans="1:15">
      <c r="A1584" s="844">
        <v>81</v>
      </c>
      <c r="B1584" s="901" t="s">
        <v>1306</v>
      </c>
      <c r="C1584" s="902" t="s">
        <v>1938</v>
      </c>
      <c r="D1584" s="837" t="s">
        <v>2</v>
      </c>
      <c r="E1584" s="841">
        <v>5422.1</v>
      </c>
      <c r="F1584" s="837">
        <f>16-11-1-1-1-2</f>
        <v>0</v>
      </c>
      <c r="G1584" s="837">
        <f t="shared" si="81"/>
        <v>0</v>
      </c>
      <c r="H1584" s="837"/>
      <c r="I1584" s="837"/>
      <c r="J1584" s="837"/>
      <c r="K1584" s="839"/>
      <c r="L1584" s="839"/>
      <c r="M1584" s="839"/>
      <c r="N1584" s="837"/>
      <c r="O1584" s="837"/>
    </row>
    <row r="1585" spans="1:15">
      <c r="A1585" s="844">
        <v>90</v>
      </c>
      <c r="B1585" s="901" t="s">
        <v>426</v>
      </c>
      <c r="C1585" s="902" t="s">
        <v>1939</v>
      </c>
      <c r="D1585" s="837" t="s">
        <v>2</v>
      </c>
      <c r="E1585" s="841">
        <v>7074.1</v>
      </c>
      <c r="F1585" s="837">
        <f>7-5-1-1</f>
        <v>0</v>
      </c>
      <c r="G1585" s="837">
        <f t="shared" si="81"/>
        <v>0</v>
      </c>
      <c r="H1585" s="837"/>
      <c r="I1585" s="837"/>
      <c r="J1585" s="837"/>
      <c r="K1585" s="839"/>
      <c r="L1585" s="839"/>
      <c r="M1585" s="839"/>
      <c r="N1585" s="837"/>
      <c r="O1585" s="837"/>
    </row>
    <row r="1586" spans="1:15">
      <c r="A1586" s="844"/>
      <c r="B1586" s="901"/>
      <c r="C1586" s="902" t="s">
        <v>1940</v>
      </c>
      <c r="D1586" s="837" t="s">
        <v>2</v>
      </c>
      <c r="E1586" s="841">
        <v>7664.1</v>
      </c>
      <c r="F1586" s="837">
        <v>6</v>
      </c>
      <c r="G1586" s="837">
        <f t="shared" si="81"/>
        <v>45984.600000000006</v>
      </c>
      <c r="H1586" s="837"/>
      <c r="I1586" s="837"/>
      <c r="J1586" s="837"/>
      <c r="K1586" s="839"/>
      <c r="L1586" s="839"/>
      <c r="M1586" s="839"/>
      <c r="N1586" s="837"/>
      <c r="O1586" s="837"/>
    </row>
    <row r="1587" spans="1:15">
      <c r="A1587" s="844"/>
      <c r="B1587" s="901"/>
      <c r="C1587" s="902" t="s">
        <v>1941</v>
      </c>
      <c r="D1587" s="837" t="s">
        <v>2</v>
      </c>
      <c r="E1587" s="841">
        <v>10024.1</v>
      </c>
      <c r="F1587" s="837">
        <v>4</v>
      </c>
      <c r="G1587" s="837">
        <f t="shared" si="81"/>
        <v>40096.400000000001</v>
      </c>
      <c r="H1587" s="837"/>
      <c r="I1587" s="837"/>
      <c r="J1587" s="837"/>
      <c r="K1587" s="839"/>
      <c r="L1587" s="839"/>
      <c r="M1587" s="839"/>
      <c r="N1587" s="837"/>
      <c r="O1587" s="837"/>
    </row>
    <row r="1588" spans="1:15" ht="31.5">
      <c r="A1588" s="837">
        <v>101</v>
      </c>
      <c r="B1588" s="900" t="s">
        <v>1942</v>
      </c>
      <c r="C1588" s="903" t="s">
        <v>1943</v>
      </c>
      <c r="D1588" s="837" t="s">
        <v>2</v>
      </c>
      <c r="E1588" s="841">
        <v>3534.1</v>
      </c>
      <c r="F1588" s="837">
        <f>4-1-1</f>
        <v>2</v>
      </c>
      <c r="G1588" s="837">
        <f t="shared" si="81"/>
        <v>7068.2</v>
      </c>
      <c r="H1588" s="837"/>
      <c r="I1588" s="837"/>
      <c r="J1588" s="837"/>
      <c r="K1588" s="839"/>
      <c r="L1588" s="839"/>
      <c r="M1588" s="839"/>
      <c r="N1588" s="837"/>
      <c r="O1588" s="837"/>
    </row>
    <row r="1589" spans="1:15">
      <c r="A1589" s="837">
        <v>102</v>
      </c>
      <c r="B1589" s="900" t="s">
        <v>1944</v>
      </c>
      <c r="C1589" s="903" t="s">
        <v>1945</v>
      </c>
      <c r="D1589" s="837" t="s">
        <v>2</v>
      </c>
      <c r="E1589" s="841">
        <v>2904</v>
      </c>
      <c r="F1589" s="837">
        <v>10</v>
      </c>
      <c r="G1589" s="837">
        <f t="shared" si="81"/>
        <v>29040</v>
      </c>
      <c r="H1589" s="837"/>
      <c r="I1589" s="837"/>
      <c r="J1589" s="837"/>
      <c r="K1589" s="839"/>
      <c r="L1589" s="839"/>
      <c r="M1589" s="839"/>
      <c r="N1589" s="837"/>
      <c r="O1589" s="837"/>
    </row>
    <row r="1590" spans="1:15">
      <c r="A1590" s="844">
        <v>106</v>
      </c>
      <c r="B1590" s="901" t="s">
        <v>1946</v>
      </c>
      <c r="C1590" s="902" t="s">
        <v>1947</v>
      </c>
      <c r="D1590" s="837" t="s">
        <v>2</v>
      </c>
      <c r="E1590" s="841">
        <v>2944.1</v>
      </c>
      <c r="F1590" s="837">
        <f>10</f>
        <v>10</v>
      </c>
      <c r="G1590" s="837">
        <f t="shared" si="81"/>
        <v>29441</v>
      </c>
      <c r="H1590" s="837"/>
      <c r="I1590" s="837"/>
      <c r="J1590" s="837"/>
      <c r="K1590" s="839"/>
      <c r="L1590" s="839"/>
      <c r="M1590" s="839"/>
      <c r="N1590" s="837"/>
      <c r="O1590" s="837"/>
    </row>
    <row r="1591" spans="1:15">
      <c r="A1591" s="904">
        <v>107</v>
      </c>
      <c r="B1591" s="905" t="s">
        <v>1948</v>
      </c>
      <c r="C1591" s="906" t="s">
        <v>1949</v>
      </c>
      <c r="D1591" s="837" t="s">
        <v>2</v>
      </c>
      <c r="E1591" s="841">
        <v>1115.0999999999999</v>
      </c>
      <c r="F1591" s="837">
        <f>20-4-3-2</f>
        <v>11</v>
      </c>
      <c r="G1591" s="837">
        <f t="shared" si="81"/>
        <v>12266.099999999999</v>
      </c>
      <c r="H1591" s="837"/>
      <c r="I1591" s="837"/>
      <c r="J1591" s="837"/>
      <c r="K1591" s="839"/>
      <c r="L1591" s="839"/>
      <c r="M1591" s="839"/>
      <c r="N1591" s="837"/>
      <c r="O1591" s="837"/>
    </row>
    <row r="1592" spans="1:15">
      <c r="A1592" s="907"/>
      <c r="B1592" s="900" t="s">
        <v>380</v>
      </c>
      <c r="C1592" s="899" t="s">
        <v>1950</v>
      </c>
      <c r="D1592" s="837" t="s">
        <v>2</v>
      </c>
      <c r="E1592" s="841">
        <v>29323</v>
      </c>
      <c r="F1592" s="837">
        <v>2</v>
      </c>
      <c r="G1592" s="837">
        <f t="shared" si="81"/>
        <v>58646</v>
      </c>
      <c r="H1592" s="837"/>
      <c r="I1592" s="837"/>
      <c r="J1592" s="837"/>
      <c r="K1592" s="839"/>
      <c r="L1592" s="839"/>
      <c r="M1592" s="839"/>
      <c r="N1592" s="837"/>
      <c r="O1592" s="837"/>
    </row>
    <row r="1593" spans="1:15">
      <c r="A1593" s="907"/>
      <c r="B1593" s="900" t="s">
        <v>382</v>
      </c>
      <c r="C1593" s="899" t="s">
        <v>1951</v>
      </c>
      <c r="D1593" s="837" t="s">
        <v>2</v>
      </c>
      <c r="E1593" s="841">
        <v>29323</v>
      </c>
      <c r="F1593" s="837">
        <v>2</v>
      </c>
      <c r="G1593" s="837">
        <f t="shared" si="81"/>
        <v>58646</v>
      </c>
      <c r="H1593" s="837"/>
      <c r="I1593" s="837"/>
      <c r="J1593" s="837"/>
      <c r="K1593" s="839"/>
      <c r="L1593" s="839"/>
      <c r="M1593" s="839"/>
      <c r="N1593" s="837"/>
      <c r="O1593" s="837"/>
    </row>
    <row r="1594" spans="1:15">
      <c r="A1594" s="907"/>
      <c r="B1594" s="908"/>
      <c r="C1594" s="899" t="s">
        <v>1952</v>
      </c>
      <c r="D1594" s="837" t="s">
        <v>2</v>
      </c>
      <c r="E1594" s="837">
        <v>2938.2</v>
      </c>
      <c r="F1594" s="837">
        <f>12-10</f>
        <v>2</v>
      </c>
      <c r="G1594" s="837">
        <f t="shared" si="81"/>
        <v>5876.4</v>
      </c>
      <c r="H1594" s="837"/>
      <c r="I1594" s="837"/>
      <c r="J1594" s="837"/>
      <c r="K1594" s="839"/>
      <c r="L1594" s="839"/>
      <c r="M1594" s="839"/>
      <c r="N1594" s="837"/>
      <c r="O1594" s="837"/>
    </row>
    <row r="1595" spans="1:15">
      <c r="A1595" s="907"/>
      <c r="B1595" s="908"/>
      <c r="C1595" s="899" t="s">
        <v>1953</v>
      </c>
      <c r="D1595" s="837" t="s">
        <v>2</v>
      </c>
      <c r="E1595" s="860">
        <v>2944.1</v>
      </c>
      <c r="F1595" s="837">
        <v>4</v>
      </c>
      <c r="G1595" s="837">
        <f t="shared" si="81"/>
        <v>11776.4</v>
      </c>
      <c r="H1595" s="837"/>
      <c r="I1595" s="837"/>
      <c r="J1595" s="837"/>
      <c r="K1595" s="839"/>
      <c r="L1595" s="839"/>
      <c r="M1595" s="839"/>
      <c r="N1595" s="837"/>
      <c r="O1595" s="837"/>
    </row>
    <row r="1596" spans="1:15">
      <c r="A1596" s="907"/>
      <c r="B1596" s="908"/>
      <c r="C1596" s="903" t="s">
        <v>1954</v>
      </c>
      <c r="D1596" s="837" t="s">
        <v>2</v>
      </c>
      <c r="E1596" s="909">
        <v>11204.1</v>
      </c>
      <c r="F1596" s="27">
        <f>4-3+4</f>
        <v>5</v>
      </c>
      <c r="G1596" s="837">
        <f t="shared" si="81"/>
        <v>56020.5</v>
      </c>
      <c r="H1596" s="910"/>
      <c r="I1596" s="910"/>
      <c r="J1596" s="910"/>
      <c r="K1596" s="911"/>
      <c r="L1596" s="911"/>
      <c r="M1596" s="911"/>
      <c r="N1596" s="910"/>
      <c r="O1596" s="910"/>
    </row>
    <row r="1597" spans="1:15">
      <c r="A1597" s="907"/>
      <c r="B1597" s="908"/>
      <c r="C1597" s="899" t="s">
        <v>1955</v>
      </c>
      <c r="D1597" s="837" t="s">
        <v>2</v>
      </c>
      <c r="E1597" s="909">
        <v>9434.1</v>
      </c>
      <c r="F1597" s="27">
        <v>6</v>
      </c>
      <c r="G1597" s="837">
        <f t="shared" si="81"/>
        <v>56604.600000000006</v>
      </c>
      <c r="H1597" s="910"/>
      <c r="I1597" s="910"/>
      <c r="J1597" s="910"/>
      <c r="K1597" s="911"/>
      <c r="L1597" s="911"/>
      <c r="M1597" s="911"/>
      <c r="N1597" s="910"/>
      <c r="O1597" s="910"/>
    </row>
    <row r="1598" spans="1:15">
      <c r="A1598" s="907"/>
      <c r="B1598" s="908"/>
      <c r="C1598" s="899" t="s">
        <v>1956</v>
      </c>
      <c r="D1598" s="837" t="s">
        <v>2</v>
      </c>
      <c r="E1598" s="909">
        <v>2944.1</v>
      </c>
      <c r="F1598" s="27">
        <f>10-2-1</f>
        <v>7</v>
      </c>
      <c r="G1598" s="837">
        <f t="shared" si="81"/>
        <v>20608.7</v>
      </c>
      <c r="H1598" s="910"/>
      <c r="I1598" s="910"/>
      <c r="J1598" s="910"/>
      <c r="K1598" s="910"/>
      <c r="L1598" s="910"/>
      <c r="M1598" s="910"/>
      <c r="N1598" s="910"/>
      <c r="O1598" s="910"/>
    </row>
    <row r="1599" spans="1:15">
      <c r="A1599" s="907"/>
      <c r="B1599" s="908"/>
      <c r="C1599" s="899" t="s">
        <v>1957</v>
      </c>
      <c r="D1599" s="837" t="s">
        <v>2</v>
      </c>
      <c r="E1599" s="909">
        <v>2944.1</v>
      </c>
      <c r="F1599" s="27">
        <v>6</v>
      </c>
      <c r="G1599" s="837">
        <f t="shared" si="81"/>
        <v>17664.599999999999</v>
      </c>
      <c r="H1599" s="910"/>
      <c r="I1599" s="910"/>
      <c r="J1599" s="910"/>
      <c r="K1599" s="910"/>
      <c r="L1599" s="910"/>
      <c r="M1599" s="910"/>
      <c r="N1599" s="910"/>
      <c r="O1599" s="910"/>
    </row>
    <row r="1600" spans="1:15">
      <c r="A1600" s="907"/>
      <c r="B1600" s="908"/>
      <c r="C1600" s="899" t="s">
        <v>1958</v>
      </c>
      <c r="D1600" s="837" t="s">
        <v>462</v>
      </c>
      <c r="E1600" s="909">
        <v>50</v>
      </c>
      <c r="F1600" s="27"/>
      <c r="G1600" s="837"/>
      <c r="H1600" s="910"/>
      <c r="I1600" s="910"/>
      <c r="J1600" s="910"/>
      <c r="K1600" s="911"/>
      <c r="L1600" s="911">
        <f>80+5</f>
        <v>85</v>
      </c>
      <c r="M1600" s="880">
        <f t="shared" ref="M1600:M1603" si="82">E1600*L1600</f>
        <v>4250</v>
      </c>
      <c r="N1600" s="910"/>
      <c r="O1600" s="910"/>
    </row>
    <row r="1601" spans="1:15">
      <c r="A1601" s="907"/>
      <c r="B1601" s="908"/>
      <c r="C1601" s="899" t="s">
        <v>1959</v>
      </c>
      <c r="D1601" s="837" t="s">
        <v>462</v>
      </c>
      <c r="E1601" s="909">
        <v>50</v>
      </c>
      <c r="F1601" s="27"/>
      <c r="G1601" s="837"/>
      <c r="H1601" s="910"/>
      <c r="I1601" s="910"/>
      <c r="J1601" s="910"/>
      <c r="K1601" s="911"/>
      <c r="L1601" s="911">
        <v>70</v>
      </c>
      <c r="M1601" s="880">
        <f t="shared" si="82"/>
        <v>3500</v>
      </c>
      <c r="N1601" s="910"/>
      <c r="O1601" s="910"/>
    </row>
    <row r="1602" spans="1:15">
      <c r="A1602" s="907"/>
      <c r="B1602" s="908"/>
      <c r="C1602" s="899" t="s">
        <v>1960</v>
      </c>
      <c r="D1602" s="837" t="s">
        <v>462</v>
      </c>
      <c r="E1602" s="909">
        <v>200</v>
      </c>
      <c r="F1602" s="27"/>
      <c r="G1602" s="837"/>
      <c r="H1602" s="910"/>
      <c r="I1602" s="910"/>
      <c r="J1602" s="910"/>
      <c r="K1602" s="911"/>
      <c r="L1602" s="911">
        <f>22+115</f>
        <v>137</v>
      </c>
      <c r="M1602" s="880">
        <f t="shared" si="82"/>
        <v>27400</v>
      </c>
      <c r="N1602" s="910"/>
      <c r="O1602" s="910"/>
    </row>
    <row r="1603" spans="1:15">
      <c r="A1603" s="907"/>
      <c r="B1603" s="908"/>
      <c r="C1603" s="899" t="s">
        <v>1961</v>
      </c>
      <c r="D1603" s="837" t="s">
        <v>462</v>
      </c>
      <c r="E1603" s="909">
        <v>200</v>
      </c>
      <c r="F1603" s="27"/>
      <c r="G1603" s="837"/>
      <c r="H1603" s="910"/>
      <c r="I1603" s="910"/>
      <c r="J1603" s="910"/>
      <c r="K1603" s="911"/>
      <c r="L1603" s="911">
        <v>18</v>
      </c>
      <c r="M1603" s="880">
        <f t="shared" si="82"/>
        <v>3600</v>
      </c>
      <c r="N1603" s="910"/>
      <c r="O1603" s="910"/>
    </row>
    <row r="1604" spans="1:15">
      <c r="A1604" s="907"/>
      <c r="B1604" s="912"/>
      <c r="C1604" s="899"/>
      <c r="D1604" s="837"/>
      <c r="E1604" s="909"/>
      <c r="F1604" s="27"/>
      <c r="G1604" s="27"/>
      <c r="H1604" s="910"/>
      <c r="I1604" s="910"/>
      <c r="J1604" s="910"/>
      <c r="K1604" s="911"/>
      <c r="L1604" s="911"/>
      <c r="M1604" s="911"/>
      <c r="N1604" s="910"/>
      <c r="O1604" s="910"/>
    </row>
    <row r="1605" spans="1:15">
      <c r="A1605" s="837">
        <v>1</v>
      </c>
      <c r="B1605" s="913" t="s">
        <v>1962</v>
      </c>
      <c r="C1605" s="899" t="s">
        <v>1963</v>
      </c>
      <c r="D1605" s="837" t="s">
        <v>2</v>
      </c>
      <c r="E1605" s="841">
        <v>250</v>
      </c>
      <c r="F1605" s="837">
        <v>15</v>
      </c>
      <c r="G1605" s="837">
        <f t="shared" ref="G1605:G1608" si="83">E1605*F1605</f>
        <v>3750</v>
      </c>
      <c r="H1605" s="837"/>
      <c r="I1605" s="837"/>
      <c r="J1605" s="837"/>
      <c r="K1605" s="839"/>
      <c r="L1605" s="839"/>
      <c r="M1605" s="839"/>
      <c r="N1605" s="837"/>
      <c r="O1605" s="837"/>
    </row>
    <row r="1606" spans="1:15">
      <c r="A1606" s="837">
        <v>3</v>
      </c>
      <c r="B1606" s="913" t="s">
        <v>166</v>
      </c>
      <c r="C1606" s="899" t="s">
        <v>1964</v>
      </c>
      <c r="D1606" s="837" t="s">
        <v>2</v>
      </c>
      <c r="E1606" s="841">
        <v>120</v>
      </c>
      <c r="F1606" s="837">
        <f>1060-152-9-350-12</f>
        <v>537</v>
      </c>
      <c r="G1606" s="837">
        <f t="shared" si="83"/>
        <v>64440</v>
      </c>
      <c r="H1606" s="837"/>
      <c r="I1606" s="837"/>
      <c r="J1606" s="837"/>
      <c r="K1606" s="839"/>
      <c r="L1606" s="839"/>
      <c r="M1606" s="839"/>
      <c r="N1606" s="837"/>
      <c r="O1606" s="837"/>
    </row>
    <row r="1607" spans="1:15">
      <c r="A1607" s="837">
        <v>7</v>
      </c>
      <c r="B1607" s="913" t="s">
        <v>294</v>
      </c>
      <c r="C1607" s="914" t="s">
        <v>1965</v>
      </c>
      <c r="D1607" s="837" t="s">
        <v>2</v>
      </c>
      <c r="E1607" s="841">
        <v>0</v>
      </c>
      <c r="F1607" s="837">
        <v>0</v>
      </c>
      <c r="G1607" s="837">
        <f t="shared" si="83"/>
        <v>0</v>
      </c>
      <c r="H1607" s="837"/>
      <c r="I1607" s="837"/>
      <c r="J1607" s="837"/>
      <c r="K1607" s="839"/>
      <c r="L1607" s="839"/>
      <c r="M1607" s="839"/>
      <c r="N1607" s="837"/>
      <c r="O1607" s="837"/>
    </row>
    <row r="1608" spans="1:15">
      <c r="A1608" s="837"/>
      <c r="B1608" s="915"/>
      <c r="C1608" s="914"/>
      <c r="D1608" s="837" t="s">
        <v>2</v>
      </c>
      <c r="E1608" s="841">
        <v>100</v>
      </c>
      <c r="F1608" s="837">
        <f>401+38-9</f>
        <v>430</v>
      </c>
      <c r="G1608" s="837">
        <f t="shared" si="83"/>
        <v>43000</v>
      </c>
      <c r="H1608" s="837"/>
      <c r="I1608" s="837"/>
      <c r="J1608" s="837"/>
      <c r="K1608" s="839"/>
      <c r="L1608" s="839"/>
      <c r="M1608" s="839"/>
      <c r="N1608" s="837"/>
      <c r="O1608" s="837"/>
    </row>
    <row r="1609" spans="1:15">
      <c r="A1609" s="837"/>
      <c r="B1609" s="913" t="s">
        <v>1962</v>
      </c>
      <c r="C1609" s="903" t="s">
        <v>1966</v>
      </c>
      <c r="D1609" s="837" t="s">
        <v>2</v>
      </c>
      <c r="E1609" s="841">
        <v>10</v>
      </c>
      <c r="F1609" s="837"/>
      <c r="G1609" s="837"/>
      <c r="H1609" s="837"/>
      <c r="I1609" s="837"/>
      <c r="J1609" s="837"/>
      <c r="K1609" s="839"/>
      <c r="L1609" s="843">
        <v>832</v>
      </c>
      <c r="M1609" s="880">
        <f>E1609*L1609</f>
        <v>8320</v>
      </c>
      <c r="N1609" s="837"/>
      <c r="O1609" s="837"/>
    </row>
    <row r="1610" spans="1:15">
      <c r="A1610" s="837"/>
      <c r="B1610" s="913" t="s">
        <v>166</v>
      </c>
      <c r="C1610" s="903" t="s">
        <v>1967</v>
      </c>
      <c r="D1610" s="837" t="s">
        <v>2</v>
      </c>
      <c r="E1610" s="841">
        <v>10</v>
      </c>
      <c r="F1610" s="837"/>
      <c r="G1610" s="837"/>
      <c r="H1610" s="837"/>
      <c r="I1610" s="837"/>
      <c r="J1610" s="837"/>
      <c r="K1610" s="839"/>
      <c r="L1610" s="843">
        <v>420</v>
      </c>
      <c r="M1610" s="880">
        <f>E1610*L1610</f>
        <v>4200</v>
      </c>
      <c r="N1610" s="837"/>
      <c r="O1610" s="837"/>
    </row>
    <row r="1611" spans="1:15">
      <c r="A1611" s="837"/>
      <c r="B1611" s="913" t="s">
        <v>1968</v>
      </c>
      <c r="C1611" s="903" t="s">
        <v>1969</v>
      </c>
      <c r="D1611" s="837" t="s">
        <v>9</v>
      </c>
      <c r="E1611" s="841">
        <v>7316</v>
      </c>
      <c r="F1611" s="837">
        <v>4</v>
      </c>
      <c r="G1611" s="837">
        <f t="shared" ref="G1611:G1655" si="84">E1611*F1611</f>
        <v>29264</v>
      </c>
      <c r="H1611" s="837"/>
      <c r="I1611" s="837"/>
      <c r="J1611" s="837"/>
      <c r="K1611" s="839"/>
      <c r="L1611" s="839"/>
      <c r="M1611" s="839"/>
      <c r="N1611" s="837"/>
      <c r="O1611" s="837"/>
    </row>
    <row r="1612" spans="1:15">
      <c r="A1612" s="857">
        <v>15</v>
      </c>
      <c r="B1612" s="913" t="s">
        <v>1970</v>
      </c>
      <c r="C1612" s="863" t="s">
        <v>1971</v>
      </c>
      <c r="D1612" s="857" t="s">
        <v>2</v>
      </c>
      <c r="E1612" s="857">
        <v>1078.25</v>
      </c>
      <c r="F1612" s="857">
        <v>4</v>
      </c>
      <c r="G1612" s="837">
        <f t="shared" si="84"/>
        <v>4313</v>
      </c>
      <c r="H1612" s="857"/>
      <c r="I1612" s="857"/>
      <c r="J1612" s="857"/>
      <c r="K1612" s="857"/>
      <c r="L1612" s="857"/>
      <c r="M1612" s="857"/>
      <c r="N1612" s="857"/>
      <c r="O1612" s="857"/>
    </row>
    <row r="1613" spans="1:15">
      <c r="A1613" s="837">
        <v>48</v>
      </c>
      <c r="B1613" s="916" t="s">
        <v>388</v>
      </c>
      <c r="C1613" s="899" t="s">
        <v>1972</v>
      </c>
      <c r="D1613" s="837" t="s">
        <v>2</v>
      </c>
      <c r="E1613" s="841">
        <v>3652.12</v>
      </c>
      <c r="F1613" s="837">
        <f>8-2-1-3-2</f>
        <v>0</v>
      </c>
      <c r="G1613" s="837">
        <f t="shared" si="84"/>
        <v>0</v>
      </c>
      <c r="H1613" s="837"/>
      <c r="I1613" s="837"/>
      <c r="J1613" s="837"/>
      <c r="K1613" s="839"/>
      <c r="L1613" s="839"/>
      <c r="M1613" s="839"/>
      <c r="N1613" s="837"/>
      <c r="O1613" s="837"/>
    </row>
    <row r="1614" spans="1:15">
      <c r="A1614" s="837"/>
      <c r="B1614" s="916" t="s">
        <v>388</v>
      </c>
      <c r="C1614" s="899" t="s">
        <v>1972</v>
      </c>
      <c r="D1614" s="837" t="s">
        <v>2</v>
      </c>
      <c r="E1614" s="841">
        <v>3030.43</v>
      </c>
      <c r="F1614" s="837">
        <v>16</v>
      </c>
      <c r="G1614" s="837">
        <f t="shared" si="84"/>
        <v>48486.879999999997</v>
      </c>
      <c r="H1614" s="837"/>
      <c r="I1614" s="837"/>
      <c r="J1614" s="837"/>
      <c r="K1614" s="839"/>
      <c r="L1614" s="839"/>
      <c r="M1614" s="839"/>
      <c r="N1614" s="837"/>
      <c r="O1614" s="837"/>
    </row>
    <row r="1615" spans="1:15">
      <c r="A1615" s="917">
        <v>56</v>
      </c>
      <c r="B1615" s="918" t="s">
        <v>331</v>
      </c>
      <c r="C1615" s="919" t="s">
        <v>1973</v>
      </c>
      <c r="D1615" s="837" t="s">
        <v>2</v>
      </c>
      <c r="E1615" s="841">
        <v>2933.64</v>
      </c>
      <c r="F1615" s="837">
        <v>11</v>
      </c>
      <c r="G1615" s="837">
        <f t="shared" si="84"/>
        <v>32270.039999999997</v>
      </c>
      <c r="H1615" s="837"/>
      <c r="I1615" s="837"/>
      <c r="J1615" s="837"/>
      <c r="K1615" s="839"/>
      <c r="L1615" s="839"/>
      <c r="M1615" s="839"/>
      <c r="N1615" s="837"/>
      <c r="O1615" s="837"/>
    </row>
    <row r="1616" spans="1:15">
      <c r="A1616" s="920"/>
      <c r="B1616" s="921"/>
      <c r="C1616" s="922"/>
      <c r="D1616" s="837" t="s">
        <v>2</v>
      </c>
      <c r="E1616" s="841">
        <v>2938.2</v>
      </c>
      <c r="F1616" s="837">
        <f>10-6-4</f>
        <v>0</v>
      </c>
      <c r="G1616" s="837">
        <f t="shared" si="84"/>
        <v>0</v>
      </c>
      <c r="H1616" s="837"/>
      <c r="I1616" s="837"/>
      <c r="J1616" s="837"/>
      <c r="K1616" s="839"/>
      <c r="L1616" s="839"/>
      <c r="M1616" s="839"/>
      <c r="N1616" s="837"/>
      <c r="O1616" s="837"/>
    </row>
    <row r="1617" spans="1:15">
      <c r="A1617" s="837">
        <v>57</v>
      </c>
      <c r="B1617" s="916" t="s">
        <v>303</v>
      </c>
      <c r="C1617" s="899" t="s">
        <v>1974</v>
      </c>
      <c r="D1617" s="837" t="s">
        <v>2</v>
      </c>
      <c r="E1617" s="841">
        <v>2175.5</v>
      </c>
      <c r="F1617" s="837">
        <f>34-17</f>
        <v>17</v>
      </c>
      <c r="G1617" s="837">
        <f t="shared" si="84"/>
        <v>36983.5</v>
      </c>
      <c r="H1617" s="837"/>
      <c r="I1617" s="837"/>
      <c r="J1617" s="837"/>
      <c r="K1617" s="839"/>
      <c r="L1617" s="839"/>
      <c r="M1617" s="839"/>
      <c r="N1617" s="837"/>
      <c r="O1617" s="837"/>
    </row>
    <row r="1618" spans="1:15">
      <c r="A1618" s="837">
        <v>59</v>
      </c>
      <c r="B1618" s="916" t="s">
        <v>635</v>
      </c>
      <c r="C1618" s="899" t="s">
        <v>1975</v>
      </c>
      <c r="D1618" s="837" t="s">
        <v>2</v>
      </c>
      <c r="E1618" s="841">
        <v>2061</v>
      </c>
      <c r="F1618" s="837">
        <f>50-10-22</f>
        <v>18</v>
      </c>
      <c r="G1618" s="837">
        <f t="shared" si="84"/>
        <v>37098</v>
      </c>
      <c r="H1618" s="837"/>
      <c r="I1618" s="837"/>
      <c r="J1618" s="837"/>
      <c r="K1618" s="839"/>
      <c r="L1618" s="839"/>
      <c r="M1618" s="839"/>
      <c r="N1618" s="837"/>
      <c r="O1618" s="837"/>
    </row>
    <row r="1619" spans="1:15">
      <c r="A1619" s="837">
        <v>67</v>
      </c>
      <c r="B1619" s="916" t="s">
        <v>1976</v>
      </c>
      <c r="C1619" s="899" t="s">
        <v>1977</v>
      </c>
      <c r="D1619" s="837" t="s">
        <v>2</v>
      </c>
      <c r="E1619" s="841">
        <v>1469.1</v>
      </c>
      <c r="F1619" s="837">
        <v>5</v>
      </c>
      <c r="G1619" s="837">
        <f t="shared" si="84"/>
        <v>7345.5</v>
      </c>
      <c r="H1619" s="837"/>
      <c r="I1619" s="837"/>
      <c r="J1619" s="837"/>
      <c r="K1619" s="839"/>
      <c r="L1619" s="839"/>
      <c r="M1619" s="839"/>
      <c r="N1619" s="837"/>
      <c r="O1619" s="837"/>
    </row>
    <row r="1620" spans="1:15">
      <c r="A1620" s="837">
        <v>91</v>
      </c>
      <c r="B1620" s="916" t="s">
        <v>1978</v>
      </c>
      <c r="C1620" s="899" t="s">
        <v>1979</v>
      </c>
      <c r="D1620" s="837" t="s">
        <v>2</v>
      </c>
      <c r="E1620" s="841">
        <v>586</v>
      </c>
      <c r="F1620" s="837">
        <v>17</v>
      </c>
      <c r="G1620" s="837">
        <f t="shared" si="84"/>
        <v>9962</v>
      </c>
      <c r="H1620" s="837"/>
      <c r="I1620" s="837"/>
      <c r="J1620" s="837"/>
      <c r="K1620" s="839"/>
      <c r="L1620" s="839"/>
      <c r="M1620" s="839"/>
      <c r="N1620" s="837"/>
      <c r="O1620" s="837"/>
    </row>
    <row r="1621" spans="1:15">
      <c r="A1621" s="837">
        <v>94</v>
      </c>
      <c r="B1621" s="916" t="s">
        <v>1980</v>
      </c>
      <c r="C1621" s="899" t="s">
        <v>1981</v>
      </c>
      <c r="D1621" s="837" t="s">
        <v>2</v>
      </c>
      <c r="E1621" s="841">
        <v>473</v>
      </c>
      <c r="F1621" s="837">
        <v>62</v>
      </c>
      <c r="G1621" s="837">
        <f t="shared" si="84"/>
        <v>29326</v>
      </c>
      <c r="H1621" s="837"/>
      <c r="I1621" s="837"/>
      <c r="J1621" s="837"/>
      <c r="K1621" s="839"/>
      <c r="L1621" s="839"/>
      <c r="M1621" s="839"/>
      <c r="N1621" s="837"/>
      <c r="O1621" s="837"/>
    </row>
    <row r="1622" spans="1:15">
      <c r="A1622" s="837">
        <v>130</v>
      </c>
      <c r="B1622" s="916" t="s">
        <v>1982</v>
      </c>
      <c r="C1622" s="899" t="s">
        <v>1983</v>
      </c>
      <c r="D1622" s="837" t="s">
        <v>2</v>
      </c>
      <c r="E1622" s="841">
        <v>1888</v>
      </c>
      <c r="F1622" s="837">
        <v>20</v>
      </c>
      <c r="G1622" s="837">
        <f t="shared" si="84"/>
        <v>37760</v>
      </c>
      <c r="H1622" s="910"/>
      <c r="I1622" s="910"/>
      <c r="J1622" s="837"/>
      <c r="K1622" s="839"/>
      <c r="L1622" s="839"/>
      <c r="M1622" s="839"/>
      <c r="N1622" s="837"/>
      <c r="O1622" s="837"/>
    </row>
    <row r="1623" spans="1:15">
      <c r="A1623" s="837">
        <v>132</v>
      </c>
      <c r="B1623" s="918" t="s">
        <v>1984</v>
      </c>
      <c r="C1623" s="914" t="s">
        <v>1985</v>
      </c>
      <c r="D1623" s="837" t="s">
        <v>2</v>
      </c>
      <c r="E1623" s="841">
        <v>1298</v>
      </c>
      <c r="F1623" s="837">
        <f>50-6</f>
        <v>44</v>
      </c>
      <c r="G1623" s="837">
        <f t="shared" si="84"/>
        <v>57112</v>
      </c>
      <c r="H1623" s="910"/>
      <c r="I1623" s="910"/>
      <c r="J1623" s="837"/>
      <c r="K1623" s="839"/>
      <c r="L1623" s="839"/>
      <c r="M1623" s="839"/>
      <c r="N1623" s="837"/>
      <c r="O1623" s="837"/>
    </row>
    <row r="1624" spans="1:15">
      <c r="A1624" s="837"/>
      <c r="B1624" s="923"/>
      <c r="C1624" s="914"/>
      <c r="D1624" s="837" t="s">
        <v>2</v>
      </c>
      <c r="E1624" s="841">
        <v>854</v>
      </c>
      <c r="F1624" s="837">
        <v>2</v>
      </c>
      <c r="G1624" s="837">
        <f t="shared" si="84"/>
        <v>1708</v>
      </c>
      <c r="H1624" s="910"/>
      <c r="I1624" s="910"/>
      <c r="J1624" s="837"/>
      <c r="K1624" s="839"/>
      <c r="L1624" s="839"/>
      <c r="M1624" s="839"/>
      <c r="N1624" s="837"/>
      <c r="O1624" s="837"/>
    </row>
    <row r="1625" spans="1:15">
      <c r="A1625" s="837"/>
      <c r="B1625" s="921"/>
      <c r="C1625" s="914"/>
      <c r="D1625" s="837" t="s">
        <v>2</v>
      </c>
      <c r="E1625" s="841">
        <v>1007.7</v>
      </c>
      <c r="F1625" s="837">
        <f>6-3-3</f>
        <v>0</v>
      </c>
      <c r="G1625" s="837">
        <f t="shared" si="84"/>
        <v>0</v>
      </c>
      <c r="H1625" s="910"/>
      <c r="I1625" s="910"/>
      <c r="J1625" s="837"/>
      <c r="K1625" s="839"/>
      <c r="L1625" s="839"/>
      <c r="M1625" s="839"/>
      <c r="N1625" s="837"/>
      <c r="O1625" s="837"/>
    </row>
    <row r="1626" spans="1:15">
      <c r="A1626" s="837">
        <v>133</v>
      </c>
      <c r="B1626" s="918" t="s">
        <v>170</v>
      </c>
      <c r="C1626" s="914" t="s">
        <v>1986</v>
      </c>
      <c r="D1626" s="837" t="s">
        <v>2</v>
      </c>
      <c r="E1626" s="841">
        <v>1298</v>
      </c>
      <c r="F1626" s="837">
        <f>36-10</f>
        <v>26</v>
      </c>
      <c r="G1626" s="837">
        <f t="shared" si="84"/>
        <v>33748</v>
      </c>
      <c r="H1626" s="910"/>
      <c r="I1626" s="910"/>
      <c r="J1626" s="837"/>
      <c r="K1626" s="839"/>
      <c r="L1626" s="839"/>
      <c r="M1626" s="839"/>
      <c r="N1626" s="837"/>
      <c r="O1626" s="837"/>
    </row>
    <row r="1627" spans="1:15">
      <c r="A1627" s="837"/>
      <c r="B1627" s="921"/>
      <c r="C1627" s="914"/>
      <c r="D1627" s="837" t="s">
        <v>2</v>
      </c>
      <c r="E1627" s="841">
        <v>545</v>
      </c>
      <c r="F1627" s="837">
        <v>55</v>
      </c>
      <c r="G1627" s="837">
        <f t="shared" si="84"/>
        <v>29975</v>
      </c>
      <c r="H1627" s="910"/>
      <c r="I1627" s="910"/>
      <c r="J1627" s="837"/>
      <c r="K1627" s="839"/>
      <c r="L1627" s="839"/>
      <c r="M1627" s="839"/>
      <c r="N1627" s="837"/>
      <c r="O1627" s="837"/>
    </row>
    <row r="1628" spans="1:15">
      <c r="A1628" s="837">
        <v>137</v>
      </c>
      <c r="B1628" s="916" t="s">
        <v>1987</v>
      </c>
      <c r="C1628" s="899" t="s">
        <v>1988</v>
      </c>
      <c r="D1628" s="837" t="s">
        <v>2</v>
      </c>
      <c r="E1628" s="841">
        <v>708</v>
      </c>
      <c r="F1628" s="837">
        <f>15</f>
        <v>15</v>
      </c>
      <c r="G1628" s="837">
        <f t="shared" si="84"/>
        <v>10620</v>
      </c>
      <c r="H1628" s="837"/>
      <c r="I1628" s="837"/>
      <c r="J1628" s="837"/>
      <c r="K1628" s="839"/>
      <c r="L1628" s="839"/>
      <c r="M1628" s="839"/>
      <c r="N1628" s="837"/>
      <c r="O1628" s="837"/>
    </row>
    <row r="1629" spans="1:15">
      <c r="A1629" s="837">
        <v>138</v>
      </c>
      <c r="B1629" s="918" t="s">
        <v>172</v>
      </c>
      <c r="C1629" s="919" t="s">
        <v>1989</v>
      </c>
      <c r="D1629" s="837" t="s">
        <v>2</v>
      </c>
      <c r="E1629" s="841">
        <v>531</v>
      </c>
      <c r="F1629" s="837">
        <v>15</v>
      </c>
      <c r="G1629" s="837">
        <f t="shared" si="84"/>
        <v>7965</v>
      </c>
      <c r="H1629" s="837"/>
      <c r="I1629" s="837"/>
      <c r="J1629" s="837"/>
      <c r="K1629" s="839"/>
      <c r="L1629" s="839"/>
      <c r="M1629" s="839"/>
      <c r="N1629" s="837"/>
      <c r="O1629" s="837"/>
    </row>
    <row r="1630" spans="1:15">
      <c r="A1630" s="837"/>
      <c r="B1630" s="921"/>
      <c r="C1630" s="922"/>
      <c r="D1630" s="837" t="s">
        <v>2</v>
      </c>
      <c r="E1630" s="841">
        <v>100</v>
      </c>
      <c r="F1630" s="837">
        <v>18</v>
      </c>
      <c r="G1630" s="837">
        <f t="shared" si="84"/>
        <v>1800</v>
      </c>
      <c r="H1630" s="837"/>
      <c r="I1630" s="837"/>
      <c r="J1630" s="837"/>
      <c r="K1630" s="839"/>
      <c r="L1630" s="839"/>
      <c r="M1630" s="839"/>
      <c r="N1630" s="837"/>
      <c r="O1630" s="837"/>
    </row>
    <row r="1631" spans="1:15">
      <c r="A1631" s="837">
        <v>139</v>
      </c>
      <c r="B1631" s="916" t="s">
        <v>1990</v>
      </c>
      <c r="C1631" s="899" t="s">
        <v>1991</v>
      </c>
      <c r="D1631" s="837" t="s">
        <v>2</v>
      </c>
      <c r="E1631" s="841">
        <v>1298</v>
      </c>
      <c r="F1631" s="837">
        <v>15</v>
      </c>
      <c r="G1631" s="837">
        <f t="shared" si="84"/>
        <v>19470</v>
      </c>
      <c r="H1631" s="837"/>
      <c r="I1631" s="837"/>
      <c r="J1631" s="837"/>
      <c r="K1631" s="839"/>
      <c r="L1631" s="839"/>
      <c r="M1631" s="839"/>
      <c r="N1631" s="837"/>
      <c r="O1631" s="837"/>
    </row>
    <row r="1632" spans="1:15">
      <c r="A1632" s="837">
        <v>141</v>
      </c>
      <c r="B1632" s="918" t="s">
        <v>1992</v>
      </c>
      <c r="C1632" s="914" t="s">
        <v>1993</v>
      </c>
      <c r="D1632" s="837" t="s">
        <v>2</v>
      </c>
      <c r="E1632" s="841">
        <v>1062</v>
      </c>
      <c r="F1632" s="837">
        <f>20-1</f>
        <v>19</v>
      </c>
      <c r="G1632" s="837">
        <f t="shared" si="84"/>
        <v>20178</v>
      </c>
      <c r="H1632" s="837"/>
      <c r="I1632" s="837"/>
      <c r="J1632" s="837"/>
      <c r="K1632" s="839"/>
      <c r="L1632" s="839"/>
      <c r="M1632" s="839"/>
      <c r="N1632" s="837"/>
      <c r="O1632" s="837"/>
    </row>
    <row r="1633" spans="1:15">
      <c r="A1633" s="837"/>
      <c r="B1633" s="921"/>
      <c r="C1633" s="914"/>
      <c r="D1633" s="837" t="s">
        <v>2</v>
      </c>
      <c r="E1633" s="841">
        <v>1209.26</v>
      </c>
      <c r="F1633" s="837">
        <f>6-3</f>
        <v>3</v>
      </c>
      <c r="G1633" s="837">
        <f t="shared" si="84"/>
        <v>3627.7799999999997</v>
      </c>
      <c r="H1633" s="837"/>
      <c r="I1633" s="837"/>
      <c r="J1633" s="837"/>
      <c r="K1633" s="839"/>
      <c r="L1633" s="839"/>
      <c r="M1633" s="839"/>
      <c r="N1633" s="837"/>
      <c r="O1633" s="837"/>
    </row>
    <row r="1634" spans="1:15">
      <c r="A1634" s="837"/>
      <c r="B1634" s="916" t="s">
        <v>1992</v>
      </c>
      <c r="C1634" s="899" t="s">
        <v>1993</v>
      </c>
      <c r="D1634" s="837" t="s">
        <v>2</v>
      </c>
      <c r="E1634" s="841">
        <v>308</v>
      </c>
      <c r="F1634" s="837">
        <v>52</v>
      </c>
      <c r="G1634" s="837">
        <f t="shared" si="84"/>
        <v>16016</v>
      </c>
      <c r="H1634" s="837"/>
      <c r="I1634" s="837"/>
      <c r="J1634" s="837"/>
      <c r="K1634" s="839"/>
      <c r="L1634" s="839"/>
      <c r="M1634" s="839"/>
      <c r="N1634" s="837"/>
      <c r="O1634" s="837"/>
    </row>
    <row r="1635" spans="1:15">
      <c r="A1635" s="857">
        <v>147</v>
      </c>
      <c r="B1635" s="916" t="s">
        <v>561</v>
      </c>
      <c r="C1635" s="863" t="s">
        <v>1994</v>
      </c>
      <c r="D1635" s="924" t="s">
        <v>2</v>
      </c>
      <c r="E1635" s="841">
        <v>531</v>
      </c>
      <c r="F1635" s="924">
        <v>15</v>
      </c>
      <c r="G1635" s="837">
        <f t="shared" si="84"/>
        <v>7965</v>
      </c>
      <c r="H1635" s="857"/>
      <c r="I1635" s="857"/>
      <c r="J1635" s="857"/>
      <c r="K1635" s="857"/>
      <c r="L1635" s="857"/>
      <c r="M1635" s="857"/>
      <c r="N1635" s="857"/>
      <c r="O1635" s="857"/>
    </row>
    <row r="1636" spans="1:15">
      <c r="A1636" s="857">
        <v>150</v>
      </c>
      <c r="B1636" s="916" t="s">
        <v>1995</v>
      </c>
      <c r="C1636" s="863" t="s">
        <v>1996</v>
      </c>
      <c r="D1636" s="27" t="s">
        <v>2</v>
      </c>
      <c r="E1636" s="841">
        <v>1728.7</v>
      </c>
      <c r="F1636" s="924">
        <v>10</v>
      </c>
      <c r="G1636" s="837">
        <f t="shared" si="84"/>
        <v>17287</v>
      </c>
      <c r="H1636" s="857"/>
      <c r="I1636" s="857"/>
      <c r="J1636" s="857"/>
      <c r="K1636" s="857"/>
      <c r="L1636" s="857"/>
      <c r="M1636" s="857"/>
      <c r="N1636" s="857"/>
      <c r="O1636" s="857"/>
    </row>
    <row r="1637" spans="1:15">
      <c r="A1637" s="837">
        <v>151</v>
      </c>
      <c r="B1637" s="916" t="s">
        <v>565</v>
      </c>
      <c r="C1637" s="899" t="s">
        <v>1997</v>
      </c>
      <c r="D1637" s="837" t="s">
        <v>2</v>
      </c>
      <c r="E1637" s="841">
        <v>480</v>
      </c>
      <c r="F1637" s="924">
        <f>100-89-11</f>
        <v>0</v>
      </c>
      <c r="G1637" s="837">
        <f t="shared" si="84"/>
        <v>0</v>
      </c>
      <c r="H1637" s="857"/>
      <c r="I1637" s="857"/>
      <c r="J1637" s="857"/>
      <c r="K1637" s="857"/>
      <c r="L1637" s="857"/>
      <c r="M1637" s="857"/>
      <c r="N1637" s="857"/>
      <c r="O1637" s="857"/>
    </row>
    <row r="1638" spans="1:15">
      <c r="A1638" s="837">
        <v>155</v>
      </c>
      <c r="B1638" s="916" t="s">
        <v>1998</v>
      </c>
      <c r="C1638" s="899" t="s">
        <v>1999</v>
      </c>
      <c r="D1638" s="837" t="s">
        <v>2</v>
      </c>
      <c r="E1638" s="841">
        <v>1298</v>
      </c>
      <c r="F1638" s="837">
        <v>30</v>
      </c>
      <c r="G1638" s="837">
        <f t="shared" si="84"/>
        <v>38940</v>
      </c>
      <c r="H1638" s="837"/>
      <c r="I1638" s="837"/>
      <c r="J1638" s="837"/>
      <c r="K1638" s="839"/>
      <c r="L1638" s="839"/>
      <c r="M1638" s="839"/>
      <c r="N1638" s="837"/>
      <c r="O1638" s="837"/>
    </row>
    <row r="1639" spans="1:15">
      <c r="A1639" s="837">
        <v>156</v>
      </c>
      <c r="B1639" s="916" t="s">
        <v>567</v>
      </c>
      <c r="C1639" s="899" t="s">
        <v>2000</v>
      </c>
      <c r="D1639" s="837" t="s">
        <v>2</v>
      </c>
      <c r="E1639" s="841">
        <v>0</v>
      </c>
      <c r="F1639" s="837">
        <f>30-30</f>
        <v>0</v>
      </c>
      <c r="G1639" s="837">
        <f t="shared" si="84"/>
        <v>0</v>
      </c>
      <c r="H1639" s="837"/>
      <c r="I1639" s="837"/>
      <c r="J1639" s="837"/>
      <c r="K1639" s="839"/>
      <c r="L1639" s="839"/>
      <c r="M1639" s="839"/>
      <c r="N1639" s="837"/>
      <c r="O1639" s="837"/>
    </row>
    <row r="1640" spans="1:15">
      <c r="A1640" s="837">
        <v>160</v>
      </c>
      <c r="B1640" s="916" t="s">
        <v>546</v>
      </c>
      <c r="C1640" s="899" t="s">
        <v>2001</v>
      </c>
      <c r="D1640" s="837" t="s">
        <v>10</v>
      </c>
      <c r="E1640" s="841">
        <v>528.64</v>
      </c>
      <c r="F1640" s="837">
        <f>43-3</f>
        <v>40</v>
      </c>
      <c r="G1640" s="837">
        <f t="shared" si="84"/>
        <v>21145.599999999999</v>
      </c>
      <c r="H1640" s="837"/>
      <c r="I1640" s="837"/>
      <c r="J1640" s="837"/>
      <c r="K1640" s="839"/>
      <c r="L1640" s="839"/>
      <c r="M1640" s="839"/>
      <c r="N1640" s="837"/>
      <c r="O1640" s="837"/>
    </row>
    <row r="1641" spans="1:15">
      <c r="A1641" s="837">
        <v>163</v>
      </c>
      <c r="B1641" s="916" t="s">
        <v>544</v>
      </c>
      <c r="C1641" s="899" t="s">
        <v>2002</v>
      </c>
      <c r="D1641" s="837" t="s">
        <v>2</v>
      </c>
      <c r="E1641" s="841">
        <v>1000</v>
      </c>
      <c r="F1641" s="837">
        <f>19-6</f>
        <v>13</v>
      </c>
      <c r="G1641" s="837">
        <f t="shared" si="84"/>
        <v>13000</v>
      </c>
      <c r="H1641" s="837"/>
      <c r="I1641" s="837"/>
      <c r="J1641" s="837"/>
      <c r="K1641" s="839"/>
      <c r="L1641" s="839"/>
      <c r="M1641" s="839"/>
      <c r="N1641" s="837"/>
      <c r="O1641" s="837"/>
    </row>
    <row r="1642" spans="1:15">
      <c r="A1642" s="837">
        <v>195</v>
      </c>
      <c r="B1642" s="925" t="s">
        <v>2003</v>
      </c>
      <c r="C1642" s="899" t="s">
        <v>2004</v>
      </c>
      <c r="D1642" s="837" t="s">
        <v>2</v>
      </c>
      <c r="E1642" s="841">
        <v>841.34</v>
      </c>
      <c r="F1642" s="837">
        <f>6-6</f>
        <v>0</v>
      </c>
      <c r="G1642" s="837">
        <f t="shared" si="84"/>
        <v>0</v>
      </c>
      <c r="H1642" s="837"/>
      <c r="I1642" s="837"/>
      <c r="J1642" s="837"/>
      <c r="K1642" s="839"/>
      <c r="L1642" s="839"/>
      <c r="M1642" s="839"/>
      <c r="N1642" s="837"/>
      <c r="O1642" s="837"/>
    </row>
    <row r="1643" spans="1:15">
      <c r="A1643" s="837">
        <v>219</v>
      </c>
      <c r="B1643" s="916" t="s">
        <v>628</v>
      </c>
      <c r="C1643" s="903" t="s">
        <v>2005</v>
      </c>
      <c r="D1643" s="837" t="s">
        <v>2006</v>
      </c>
      <c r="E1643" s="841">
        <v>9853</v>
      </c>
      <c r="F1643" s="837">
        <f>11-6-1</f>
        <v>4</v>
      </c>
      <c r="G1643" s="837">
        <f t="shared" si="84"/>
        <v>39412</v>
      </c>
      <c r="H1643" s="837"/>
      <c r="I1643" s="837"/>
      <c r="J1643" s="837"/>
      <c r="K1643" s="839"/>
      <c r="L1643" s="839"/>
      <c r="M1643" s="839"/>
      <c r="N1643" s="837"/>
      <c r="O1643" s="837"/>
    </row>
    <row r="1644" spans="1:15">
      <c r="A1644" s="926">
        <v>220</v>
      </c>
      <c r="B1644" s="916" t="s">
        <v>167</v>
      </c>
      <c r="C1644" s="927" t="s">
        <v>2007</v>
      </c>
      <c r="D1644" s="837" t="s">
        <v>2006</v>
      </c>
      <c r="E1644" s="841">
        <v>5428</v>
      </c>
      <c r="F1644" s="837">
        <v>1</v>
      </c>
      <c r="G1644" s="837">
        <f t="shared" si="84"/>
        <v>5428</v>
      </c>
      <c r="H1644" s="837"/>
      <c r="I1644" s="837"/>
      <c r="J1644" s="837"/>
      <c r="K1644" s="839"/>
      <c r="L1644" s="839"/>
      <c r="M1644" s="839"/>
      <c r="N1644" s="837"/>
      <c r="O1644" s="837"/>
    </row>
    <row r="1645" spans="1:15">
      <c r="A1645" s="837">
        <v>224</v>
      </c>
      <c r="B1645" s="916" t="s">
        <v>2008</v>
      </c>
      <c r="C1645" s="903" t="s">
        <v>2009</v>
      </c>
      <c r="D1645" s="837" t="s">
        <v>2</v>
      </c>
      <c r="E1645" s="841">
        <v>1888</v>
      </c>
      <c r="F1645" s="837">
        <v>25</v>
      </c>
      <c r="G1645" s="837">
        <f t="shared" si="84"/>
        <v>47200</v>
      </c>
      <c r="H1645" s="837"/>
      <c r="I1645" s="837"/>
      <c r="J1645" s="837"/>
      <c r="K1645" s="839"/>
      <c r="L1645" s="839"/>
      <c r="M1645" s="839"/>
      <c r="N1645" s="837"/>
      <c r="O1645" s="837"/>
    </row>
    <row r="1646" spans="1:15">
      <c r="A1646" s="837">
        <v>225</v>
      </c>
      <c r="B1646" s="916" t="s">
        <v>169</v>
      </c>
      <c r="C1646" s="899" t="s">
        <v>2010</v>
      </c>
      <c r="D1646" s="837" t="s">
        <v>2</v>
      </c>
      <c r="E1646" s="841">
        <v>0</v>
      </c>
      <c r="F1646" s="910">
        <f>10-10</f>
        <v>0</v>
      </c>
      <c r="G1646" s="837">
        <f t="shared" si="84"/>
        <v>0</v>
      </c>
      <c r="H1646" s="837"/>
      <c r="I1646" s="837"/>
      <c r="J1646" s="837"/>
      <c r="K1646" s="839"/>
      <c r="L1646" s="839"/>
      <c r="M1646" s="839"/>
      <c r="N1646" s="837"/>
      <c r="O1646" s="837"/>
    </row>
    <row r="1647" spans="1:15">
      <c r="A1647" s="926">
        <v>229</v>
      </c>
      <c r="B1647" s="916" t="s">
        <v>1038</v>
      </c>
      <c r="C1647" s="927" t="s">
        <v>2011</v>
      </c>
      <c r="D1647" s="837" t="s">
        <v>2</v>
      </c>
      <c r="E1647" s="841">
        <v>19942</v>
      </c>
      <c r="F1647" s="910">
        <v>3</v>
      </c>
      <c r="G1647" s="837">
        <f t="shared" si="84"/>
        <v>59826</v>
      </c>
      <c r="H1647" s="837"/>
      <c r="I1647" s="837"/>
      <c r="J1647" s="837"/>
      <c r="K1647" s="839"/>
      <c r="L1647" s="839"/>
      <c r="M1647" s="839"/>
      <c r="N1647" s="837"/>
      <c r="O1647" s="837"/>
    </row>
    <row r="1648" spans="1:15">
      <c r="A1648" s="837">
        <v>230</v>
      </c>
      <c r="B1648" s="916" t="s">
        <v>168</v>
      </c>
      <c r="C1648" s="899" t="s">
        <v>2012</v>
      </c>
      <c r="D1648" s="837" t="s">
        <v>2</v>
      </c>
      <c r="E1648" s="841">
        <v>3500</v>
      </c>
      <c r="F1648" s="910">
        <v>1</v>
      </c>
      <c r="G1648" s="837">
        <f t="shared" si="84"/>
        <v>3500</v>
      </c>
      <c r="H1648" s="837"/>
      <c r="I1648" s="837"/>
      <c r="J1648" s="837"/>
      <c r="K1648" s="839"/>
      <c r="L1648" s="839"/>
      <c r="M1648" s="839"/>
      <c r="N1648" s="837"/>
      <c r="O1648" s="837"/>
    </row>
    <row r="1649" spans="1:15">
      <c r="A1649" s="926">
        <v>242</v>
      </c>
      <c r="B1649" s="916" t="s">
        <v>2013</v>
      </c>
      <c r="C1649" s="927" t="s">
        <v>2014</v>
      </c>
      <c r="D1649" s="837" t="s">
        <v>2</v>
      </c>
      <c r="E1649" s="841">
        <v>9204</v>
      </c>
      <c r="F1649" s="910">
        <v>6</v>
      </c>
      <c r="G1649" s="837">
        <f t="shared" si="84"/>
        <v>55224</v>
      </c>
      <c r="H1649" s="837"/>
      <c r="I1649" s="837"/>
      <c r="J1649" s="837"/>
      <c r="K1649" s="839"/>
      <c r="L1649" s="839"/>
      <c r="M1649" s="839"/>
      <c r="N1649" s="837"/>
      <c r="O1649" s="837"/>
    </row>
    <row r="1650" spans="1:15">
      <c r="A1650" s="857">
        <v>247</v>
      </c>
      <c r="B1650" s="916" t="s">
        <v>570</v>
      </c>
      <c r="C1650" s="899" t="s">
        <v>2015</v>
      </c>
      <c r="D1650" s="837" t="s">
        <v>2</v>
      </c>
      <c r="E1650" s="841">
        <v>1888</v>
      </c>
      <c r="F1650" s="910">
        <v>15</v>
      </c>
      <c r="G1650" s="837">
        <f t="shared" si="84"/>
        <v>28320</v>
      </c>
      <c r="H1650" s="837"/>
      <c r="I1650" s="837"/>
      <c r="J1650" s="837"/>
      <c r="K1650" s="839"/>
      <c r="L1650" s="839"/>
      <c r="M1650" s="839"/>
      <c r="N1650" s="837"/>
      <c r="O1650" s="837"/>
    </row>
    <row r="1651" spans="1:15">
      <c r="A1651" s="837">
        <v>248</v>
      </c>
      <c r="B1651" s="916" t="s">
        <v>570</v>
      </c>
      <c r="C1651" s="899" t="s">
        <v>2015</v>
      </c>
      <c r="D1651" s="837" t="s">
        <v>2</v>
      </c>
      <c r="E1651" s="841">
        <v>1534</v>
      </c>
      <c r="F1651" s="910">
        <v>10</v>
      </c>
      <c r="G1651" s="837">
        <f t="shared" si="84"/>
        <v>15340</v>
      </c>
      <c r="H1651" s="837"/>
      <c r="I1651" s="837"/>
      <c r="J1651" s="837"/>
      <c r="K1651" s="839"/>
      <c r="L1651" s="839"/>
      <c r="M1651" s="839"/>
      <c r="N1651" s="837"/>
      <c r="O1651" s="837"/>
    </row>
    <row r="1652" spans="1:15">
      <c r="A1652" s="837"/>
      <c r="B1652" s="925"/>
      <c r="C1652" s="899" t="s">
        <v>2016</v>
      </c>
      <c r="D1652" s="837" t="s">
        <v>2</v>
      </c>
      <c r="E1652" s="841">
        <v>1713</v>
      </c>
      <c r="F1652" s="910">
        <f>77-3</f>
        <v>74</v>
      </c>
      <c r="G1652" s="837">
        <f t="shared" si="84"/>
        <v>126762</v>
      </c>
      <c r="H1652" s="837"/>
      <c r="I1652" s="837"/>
      <c r="J1652" s="837"/>
      <c r="K1652" s="837"/>
      <c r="L1652" s="837"/>
      <c r="M1652" s="837"/>
      <c r="N1652" s="837"/>
      <c r="O1652" s="837"/>
    </row>
    <row r="1653" spans="1:15">
      <c r="A1653" s="837"/>
      <c r="B1653" s="925"/>
      <c r="C1653" s="899" t="s">
        <v>2017</v>
      </c>
      <c r="D1653" s="837" t="s">
        <v>2</v>
      </c>
      <c r="E1653" s="841">
        <v>9440</v>
      </c>
      <c r="F1653" s="910">
        <v>10</v>
      </c>
      <c r="G1653" s="837">
        <f t="shared" si="84"/>
        <v>94400</v>
      </c>
      <c r="H1653" s="837"/>
      <c r="I1653" s="837"/>
      <c r="J1653" s="837"/>
      <c r="K1653" s="837"/>
      <c r="L1653" s="837"/>
      <c r="M1653" s="837"/>
      <c r="N1653" s="837"/>
      <c r="O1653" s="837"/>
    </row>
    <row r="1654" spans="1:15">
      <c r="A1654" s="837"/>
      <c r="B1654" s="925"/>
      <c r="C1654" s="899" t="s">
        <v>2018</v>
      </c>
      <c r="D1654" s="837" t="s">
        <v>2</v>
      </c>
      <c r="E1654" s="841">
        <v>4720</v>
      </c>
      <c r="F1654" s="910">
        <f>10-4-1</f>
        <v>5</v>
      </c>
      <c r="G1654" s="837">
        <f t="shared" si="84"/>
        <v>23600</v>
      </c>
      <c r="H1654" s="837"/>
      <c r="I1654" s="837"/>
      <c r="J1654" s="837"/>
      <c r="K1654" s="837"/>
      <c r="L1654" s="837"/>
      <c r="M1654" s="837"/>
      <c r="N1654" s="837"/>
      <c r="O1654" s="837"/>
    </row>
    <row r="1655" spans="1:15">
      <c r="A1655" s="837"/>
      <c r="B1655" s="925"/>
      <c r="C1655" s="899" t="s">
        <v>2019</v>
      </c>
      <c r="D1655" s="837" t="s">
        <v>2</v>
      </c>
      <c r="E1655" s="841">
        <v>1038.4000000000001</v>
      </c>
      <c r="F1655" s="910">
        <f>10-6</f>
        <v>4</v>
      </c>
      <c r="G1655" s="837">
        <f t="shared" si="84"/>
        <v>4153.6000000000004</v>
      </c>
      <c r="H1655" s="837"/>
      <c r="I1655" s="837"/>
      <c r="J1655" s="837"/>
      <c r="K1655" s="837"/>
      <c r="L1655" s="837"/>
      <c r="M1655" s="837"/>
      <c r="N1655" s="837"/>
      <c r="O1655" s="837"/>
    </row>
    <row r="1656" spans="1:15">
      <c r="A1656" s="837"/>
      <c r="B1656" s="856"/>
      <c r="C1656" s="899"/>
      <c r="D1656" s="837"/>
      <c r="E1656" s="841"/>
      <c r="F1656" s="910"/>
      <c r="G1656" s="910"/>
      <c r="H1656" s="837"/>
      <c r="I1656" s="837"/>
      <c r="J1656" s="837"/>
      <c r="K1656" s="837"/>
      <c r="L1656" s="837"/>
      <c r="M1656" s="837"/>
      <c r="N1656" s="837"/>
      <c r="O1656" s="837"/>
    </row>
    <row r="1657" spans="1:15">
      <c r="A1657" s="857">
        <v>3</v>
      </c>
      <c r="B1657" s="928" t="s">
        <v>2020</v>
      </c>
      <c r="C1657" s="863" t="s">
        <v>2021</v>
      </c>
      <c r="D1657" s="857" t="s">
        <v>2</v>
      </c>
      <c r="E1657" s="855">
        <v>10000</v>
      </c>
      <c r="F1657" s="857"/>
      <c r="G1657" s="857"/>
      <c r="H1657" s="857">
        <v>7</v>
      </c>
      <c r="I1657" s="857">
        <f>H1657*E1657</f>
        <v>70000</v>
      </c>
      <c r="J1657" s="857"/>
      <c r="K1657" s="857"/>
      <c r="L1657" s="857"/>
      <c r="M1657" s="857"/>
      <c r="N1657" s="857"/>
      <c r="O1657" s="857"/>
    </row>
    <row r="1658" spans="1:15">
      <c r="A1658" s="857">
        <v>11</v>
      </c>
      <c r="B1658" s="928" t="s">
        <v>2022</v>
      </c>
      <c r="C1658" s="863" t="s">
        <v>2023</v>
      </c>
      <c r="D1658" s="857" t="s">
        <v>2</v>
      </c>
      <c r="E1658" s="855">
        <v>5000</v>
      </c>
      <c r="F1658" s="857"/>
      <c r="G1658" s="857"/>
      <c r="H1658" s="857"/>
      <c r="I1658" s="857"/>
      <c r="J1658" s="857"/>
      <c r="K1658" s="857"/>
      <c r="L1658" s="857">
        <f>1+4</f>
        <v>5</v>
      </c>
      <c r="M1658" s="880">
        <f>E1658*L1658</f>
        <v>25000</v>
      </c>
      <c r="N1658" s="857"/>
      <c r="O1658" s="857"/>
    </row>
    <row r="1659" spans="1:15">
      <c r="A1659" s="929">
        <v>12</v>
      </c>
      <c r="B1659" s="928" t="s">
        <v>431</v>
      </c>
      <c r="C1659" s="930" t="s">
        <v>2024</v>
      </c>
      <c r="D1659" s="837" t="s">
        <v>2</v>
      </c>
      <c r="E1659" s="855">
        <v>4500</v>
      </c>
      <c r="F1659" s="931">
        <v>1</v>
      </c>
      <c r="G1659" s="837">
        <f t="shared" ref="G1659:G1677" si="85">E1659*F1659</f>
        <v>4500</v>
      </c>
      <c r="H1659" s="837"/>
      <c r="I1659" s="837"/>
      <c r="J1659" s="837"/>
      <c r="K1659" s="839"/>
      <c r="L1659" s="839">
        <f>1+1</f>
        <v>2</v>
      </c>
      <c r="M1659" s="880">
        <f>E1659*L1659</f>
        <v>9000</v>
      </c>
      <c r="N1659" s="837"/>
      <c r="O1659" s="837"/>
    </row>
    <row r="1660" spans="1:15" ht="31.5">
      <c r="A1660" s="857">
        <v>37</v>
      </c>
      <c r="B1660" s="928" t="s">
        <v>2025</v>
      </c>
      <c r="C1660" s="863" t="s">
        <v>2026</v>
      </c>
      <c r="D1660" s="837" t="s">
        <v>2</v>
      </c>
      <c r="E1660" s="841">
        <v>12685</v>
      </c>
      <c r="F1660" s="897">
        <v>2</v>
      </c>
      <c r="G1660" s="837">
        <f t="shared" si="85"/>
        <v>25370</v>
      </c>
      <c r="H1660" s="837"/>
      <c r="I1660" s="837"/>
      <c r="J1660" s="837"/>
      <c r="K1660" s="839"/>
      <c r="L1660" s="839"/>
      <c r="M1660" s="839"/>
      <c r="N1660" s="837"/>
      <c r="O1660" s="837"/>
    </row>
    <row r="1661" spans="1:15">
      <c r="A1661" s="874">
        <v>37</v>
      </c>
      <c r="B1661" s="928" t="s">
        <v>2025</v>
      </c>
      <c r="C1661" s="865" t="s">
        <v>2027</v>
      </c>
      <c r="D1661" s="837" t="s">
        <v>2</v>
      </c>
      <c r="E1661" s="841">
        <v>14012.5</v>
      </c>
      <c r="F1661" s="897">
        <v>2</v>
      </c>
      <c r="G1661" s="837">
        <f t="shared" si="85"/>
        <v>28025</v>
      </c>
      <c r="H1661" s="837"/>
      <c r="I1661" s="837"/>
      <c r="J1661" s="837"/>
      <c r="K1661" s="839"/>
      <c r="L1661" s="839"/>
      <c r="M1661" s="839"/>
      <c r="N1661" s="837"/>
      <c r="O1661" s="837"/>
    </row>
    <row r="1662" spans="1:15">
      <c r="A1662" s="878"/>
      <c r="B1662" s="928" t="s">
        <v>2025</v>
      </c>
      <c r="C1662" s="869"/>
      <c r="D1662" s="837" t="s">
        <v>2</v>
      </c>
      <c r="E1662" s="841">
        <v>13983</v>
      </c>
      <c r="F1662" s="897">
        <v>1</v>
      </c>
      <c r="G1662" s="837">
        <f t="shared" si="85"/>
        <v>13983</v>
      </c>
      <c r="H1662" s="837"/>
      <c r="I1662" s="837"/>
      <c r="J1662" s="837"/>
      <c r="K1662" s="839"/>
      <c r="L1662" s="839"/>
      <c r="M1662" s="839"/>
      <c r="N1662" s="837"/>
      <c r="O1662" s="837"/>
    </row>
    <row r="1663" spans="1:15" ht="31.5">
      <c r="A1663" s="932">
        <v>40</v>
      </c>
      <c r="B1663" s="928" t="s">
        <v>2028</v>
      </c>
      <c r="C1663" s="863" t="s">
        <v>2029</v>
      </c>
      <c r="D1663" s="837" t="s">
        <v>2</v>
      </c>
      <c r="E1663" s="841">
        <v>8024</v>
      </c>
      <c r="F1663" s="897">
        <v>2</v>
      </c>
      <c r="G1663" s="837">
        <f t="shared" si="85"/>
        <v>16048</v>
      </c>
      <c r="H1663" s="837"/>
      <c r="I1663" s="837"/>
      <c r="J1663" s="837"/>
      <c r="K1663" s="839"/>
      <c r="L1663" s="839"/>
      <c r="M1663" s="839"/>
      <c r="N1663" s="837"/>
      <c r="O1663" s="837"/>
    </row>
    <row r="1664" spans="1:15" ht="31.5">
      <c r="A1664" s="857">
        <v>40</v>
      </c>
      <c r="B1664" s="928" t="s">
        <v>2028</v>
      </c>
      <c r="C1664" s="863" t="s">
        <v>2030</v>
      </c>
      <c r="D1664" s="837" t="s">
        <v>2</v>
      </c>
      <c r="E1664" s="841">
        <v>12626</v>
      </c>
      <c r="F1664" s="897">
        <v>1</v>
      </c>
      <c r="G1664" s="837">
        <f t="shared" si="85"/>
        <v>12626</v>
      </c>
      <c r="H1664" s="837"/>
      <c r="I1664" s="837"/>
      <c r="J1664" s="837"/>
      <c r="K1664" s="839"/>
      <c r="L1664" s="839"/>
      <c r="M1664" s="839"/>
      <c r="N1664" s="837"/>
      <c r="O1664" s="837"/>
    </row>
    <row r="1665" spans="1:15" ht="31.5">
      <c r="A1665" s="932">
        <v>59</v>
      </c>
      <c r="B1665" s="928" t="s">
        <v>2031</v>
      </c>
      <c r="C1665" s="859" t="s">
        <v>2032</v>
      </c>
      <c r="D1665" s="837" t="s">
        <v>2</v>
      </c>
      <c r="E1665" s="841">
        <v>14012.5</v>
      </c>
      <c r="F1665" s="897">
        <f>1+1</f>
        <v>2</v>
      </c>
      <c r="G1665" s="837">
        <f t="shared" si="85"/>
        <v>28025</v>
      </c>
      <c r="H1665" s="837"/>
      <c r="I1665" s="837"/>
      <c r="J1665" s="837"/>
      <c r="K1665" s="839"/>
      <c r="L1665" s="839"/>
      <c r="M1665" s="839"/>
      <c r="N1665" s="837"/>
      <c r="O1665" s="837"/>
    </row>
    <row r="1666" spans="1:15" ht="31.5">
      <c r="A1666" s="857">
        <v>61</v>
      </c>
      <c r="B1666" s="928" t="s">
        <v>2033</v>
      </c>
      <c r="C1666" s="863" t="s">
        <v>2034</v>
      </c>
      <c r="D1666" s="837" t="s">
        <v>2</v>
      </c>
      <c r="E1666" s="841">
        <v>8024</v>
      </c>
      <c r="F1666" s="897">
        <f>2-1</f>
        <v>1</v>
      </c>
      <c r="G1666" s="837">
        <f t="shared" si="85"/>
        <v>8024</v>
      </c>
      <c r="H1666" s="837"/>
      <c r="I1666" s="837"/>
      <c r="J1666" s="837"/>
      <c r="K1666" s="839"/>
      <c r="L1666" s="839"/>
      <c r="M1666" s="839"/>
      <c r="N1666" s="837"/>
      <c r="O1666" s="837"/>
    </row>
    <row r="1667" spans="1:15" ht="31.5">
      <c r="A1667" s="932">
        <v>123</v>
      </c>
      <c r="B1667" s="928" t="s">
        <v>2035</v>
      </c>
      <c r="C1667" s="859" t="s">
        <v>2036</v>
      </c>
      <c r="D1667" s="837" t="s">
        <v>2</v>
      </c>
      <c r="E1667" s="841">
        <v>14012.5</v>
      </c>
      <c r="F1667" s="897">
        <f>2-1-1</f>
        <v>0</v>
      </c>
      <c r="G1667" s="837">
        <f t="shared" si="85"/>
        <v>0</v>
      </c>
      <c r="H1667" s="837"/>
      <c r="I1667" s="837"/>
      <c r="J1667" s="837"/>
      <c r="K1667" s="839"/>
      <c r="L1667" s="839"/>
      <c r="M1667" s="839"/>
      <c r="N1667" s="837"/>
      <c r="O1667" s="837"/>
    </row>
    <row r="1668" spans="1:15" ht="31.5">
      <c r="A1668" s="857">
        <v>125</v>
      </c>
      <c r="B1668" s="928" t="s">
        <v>2037</v>
      </c>
      <c r="C1668" s="863" t="s">
        <v>2038</v>
      </c>
      <c r="D1668" s="837" t="s">
        <v>2</v>
      </c>
      <c r="E1668" s="841">
        <v>8024</v>
      </c>
      <c r="F1668" s="897">
        <f>2-1-1</f>
        <v>0</v>
      </c>
      <c r="G1668" s="837">
        <f t="shared" si="85"/>
        <v>0</v>
      </c>
      <c r="H1668" s="837"/>
      <c r="I1668" s="837"/>
      <c r="J1668" s="837"/>
      <c r="K1668" s="839"/>
      <c r="L1668" s="839"/>
      <c r="M1668" s="839"/>
      <c r="N1668" s="837"/>
      <c r="O1668" s="837"/>
    </row>
    <row r="1669" spans="1:15" ht="31.5">
      <c r="A1669" s="837">
        <v>127</v>
      </c>
      <c r="B1669" s="928" t="s">
        <v>771</v>
      </c>
      <c r="C1669" s="899" t="s">
        <v>2039</v>
      </c>
      <c r="D1669" s="837" t="s">
        <v>9</v>
      </c>
      <c r="E1669" s="841">
        <v>6372</v>
      </c>
      <c r="F1669" s="931">
        <f>1-1</f>
        <v>0</v>
      </c>
      <c r="G1669" s="837">
        <f t="shared" si="85"/>
        <v>0</v>
      </c>
      <c r="H1669" s="837"/>
      <c r="I1669" s="837"/>
      <c r="J1669" s="837"/>
      <c r="K1669" s="839"/>
      <c r="L1669" s="839"/>
      <c r="M1669" s="839"/>
      <c r="N1669" s="837"/>
      <c r="O1669" s="837"/>
    </row>
    <row r="1670" spans="1:15">
      <c r="A1670" s="837">
        <v>191</v>
      </c>
      <c r="B1670" s="928" t="s">
        <v>313</v>
      </c>
      <c r="C1670" s="899" t="s">
        <v>2040</v>
      </c>
      <c r="D1670" s="837" t="s">
        <v>2</v>
      </c>
      <c r="E1670" s="841">
        <v>2926.4</v>
      </c>
      <c r="F1670" s="931">
        <f>1-1</f>
        <v>0</v>
      </c>
      <c r="G1670" s="837">
        <f t="shared" si="85"/>
        <v>0</v>
      </c>
      <c r="H1670" s="837"/>
      <c r="I1670" s="837"/>
      <c r="J1670" s="837"/>
      <c r="K1670" s="839"/>
      <c r="L1670" s="839"/>
      <c r="M1670" s="839"/>
      <c r="N1670" s="837"/>
      <c r="O1670" s="837"/>
    </row>
    <row r="1671" spans="1:15">
      <c r="A1671" s="837">
        <v>196</v>
      </c>
      <c r="B1671" s="928" t="s">
        <v>2041</v>
      </c>
      <c r="C1671" s="899" t="s">
        <v>2042</v>
      </c>
      <c r="D1671" s="837" t="s">
        <v>9</v>
      </c>
      <c r="E1671" s="841">
        <v>0</v>
      </c>
      <c r="F1671" s="931">
        <v>1</v>
      </c>
      <c r="G1671" s="837">
        <f t="shared" si="85"/>
        <v>0</v>
      </c>
      <c r="H1671" s="837"/>
      <c r="I1671" s="837"/>
      <c r="J1671" s="837"/>
      <c r="K1671" s="839"/>
      <c r="L1671" s="839"/>
      <c r="M1671" s="839"/>
      <c r="N1671" s="837"/>
      <c r="O1671" s="837"/>
    </row>
    <row r="1672" spans="1:15">
      <c r="A1672" s="837"/>
      <c r="B1672" s="933"/>
      <c r="C1672" s="903" t="s">
        <v>2043</v>
      </c>
      <c r="D1672" s="837" t="s">
        <v>2</v>
      </c>
      <c r="E1672" s="841">
        <v>4661</v>
      </c>
      <c r="F1672" s="931">
        <v>2</v>
      </c>
      <c r="G1672" s="837">
        <f t="shared" si="85"/>
        <v>9322</v>
      </c>
      <c r="H1672" s="837"/>
      <c r="I1672" s="837"/>
      <c r="J1672" s="837"/>
      <c r="K1672" s="839"/>
      <c r="L1672" s="839"/>
      <c r="M1672" s="839"/>
      <c r="N1672" s="837"/>
      <c r="O1672" s="837"/>
    </row>
    <row r="1673" spans="1:15">
      <c r="A1673" s="844">
        <v>227</v>
      </c>
      <c r="B1673" s="934" t="s">
        <v>2044</v>
      </c>
      <c r="C1673" s="899" t="s">
        <v>2045</v>
      </c>
      <c r="D1673" s="837" t="s">
        <v>2</v>
      </c>
      <c r="E1673" s="841">
        <v>1056.0999999999999</v>
      </c>
      <c r="F1673" s="931">
        <f>15-4-1-2</f>
        <v>8</v>
      </c>
      <c r="G1673" s="837">
        <f t="shared" si="85"/>
        <v>8448.7999999999993</v>
      </c>
      <c r="H1673" s="837"/>
      <c r="I1673" s="837"/>
      <c r="J1673" s="837"/>
      <c r="K1673" s="839"/>
      <c r="L1673" s="839"/>
      <c r="M1673" s="839"/>
      <c r="N1673" s="837"/>
      <c r="O1673" s="837"/>
    </row>
    <row r="1674" spans="1:15">
      <c r="A1674" s="844">
        <v>228</v>
      </c>
      <c r="B1674" s="935" t="s">
        <v>2046</v>
      </c>
      <c r="C1674" s="903" t="s">
        <v>2047</v>
      </c>
      <c r="D1674" s="837" t="s">
        <v>9</v>
      </c>
      <c r="E1674" s="841">
        <v>2944.1</v>
      </c>
      <c r="F1674" s="931">
        <v>10</v>
      </c>
      <c r="G1674" s="837">
        <f t="shared" si="85"/>
        <v>29441</v>
      </c>
      <c r="H1674" s="837"/>
      <c r="I1674" s="837"/>
      <c r="J1674" s="837"/>
      <c r="K1674" s="839"/>
      <c r="L1674" s="839"/>
      <c r="M1674" s="839"/>
      <c r="N1674" s="837"/>
      <c r="O1674" s="837"/>
    </row>
    <row r="1675" spans="1:15">
      <c r="A1675" s="857">
        <v>397</v>
      </c>
      <c r="B1675" s="928" t="s">
        <v>663</v>
      </c>
      <c r="C1675" s="902" t="s">
        <v>2048</v>
      </c>
      <c r="D1675" s="837" t="s">
        <v>462</v>
      </c>
      <c r="E1675" s="841">
        <v>5829.2</v>
      </c>
      <c r="F1675" s="931">
        <f>100-4-2-1-2-4-4-4-4-20-4-3-2-2-5-2-2-2-2-1-2-1-2-1-1-1-1</f>
        <v>21</v>
      </c>
      <c r="G1675" s="860">
        <f t="shared" si="85"/>
        <v>122413.2</v>
      </c>
      <c r="H1675" s="837"/>
      <c r="I1675" s="837"/>
      <c r="J1675" s="837"/>
      <c r="K1675" s="839"/>
      <c r="L1675" s="839"/>
      <c r="M1675" s="839"/>
      <c r="N1675" s="837"/>
      <c r="O1675" s="837"/>
    </row>
    <row r="1676" spans="1:15">
      <c r="A1676" s="837"/>
      <c r="B1676" s="928" t="s">
        <v>2022</v>
      </c>
      <c r="C1676" s="899" t="s">
        <v>2049</v>
      </c>
      <c r="D1676" s="837" t="s">
        <v>2</v>
      </c>
      <c r="E1676" s="841">
        <v>10000</v>
      </c>
      <c r="F1676" s="931"/>
      <c r="G1676" s="837">
        <f t="shared" si="85"/>
        <v>0</v>
      </c>
      <c r="H1676" s="837"/>
      <c r="I1676" s="837"/>
      <c r="J1676" s="837"/>
      <c r="K1676" s="839"/>
      <c r="L1676" s="839">
        <f>1+1-1</f>
        <v>1</v>
      </c>
      <c r="M1676" s="880">
        <f>E1676*L1676</f>
        <v>10000</v>
      </c>
      <c r="N1676" s="837"/>
      <c r="O1676" s="837"/>
    </row>
    <row r="1677" spans="1:15" ht="31.5">
      <c r="A1677" s="837"/>
      <c r="B1677" s="928" t="s">
        <v>2050</v>
      </c>
      <c r="C1677" s="899" t="s">
        <v>2051</v>
      </c>
      <c r="D1677" s="837" t="s">
        <v>2</v>
      </c>
      <c r="E1677" s="841">
        <v>13546.4</v>
      </c>
      <c r="F1677" s="931">
        <f>4-3</f>
        <v>1</v>
      </c>
      <c r="G1677" s="837">
        <f t="shared" si="85"/>
        <v>13546.4</v>
      </c>
      <c r="H1677" s="837"/>
      <c r="I1677" s="837"/>
      <c r="J1677" s="837"/>
      <c r="K1677" s="839"/>
      <c r="L1677" s="839"/>
      <c r="M1677" s="839"/>
      <c r="N1677" s="837"/>
      <c r="O1677" s="837"/>
    </row>
    <row r="1678" spans="1:15">
      <c r="A1678" s="837"/>
      <c r="B1678" s="896"/>
      <c r="C1678" s="899"/>
      <c r="D1678" s="837"/>
      <c r="E1678" s="841"/>
      <c r="F1678" s="931"/>
      <c r="G1678" s="931"/>
      <c r="H1678" s="837"/>
      <c r="I1678" s="837"/>
      <c r="J1678" s="837"/>
      <c r="K1678" s="839"/>
      <c r="L1678" s="839"/>
      <c r="M1678" s="839"/>
      <c r="N1678" s="837"/>
      <c r="O1678" s="837"/>
    </row>
    <row r="1679" spans="1:15">
      <c r="A1679" s="837">
        <v>2</v>
      </c>
      <c r="B1679" s="936" t="s">
        <v>2052</v>
      </c>
      <c r="C1679" s="914" t="s">
        <v>1422</v>
      </c>
      <c r="D1679" s="837" t="s">
        <v>2</v>
      </c>
      <c r="E1679" s="841">
        <v>187956</v>
      </c>
      <c r="F1679" s="837">
        <f>6-3</f>
        <v>3</v>
      </c>
      <c r="G1679" s="837">
        <f t="shared" ref="G1679:G1684" si="86">E1679*F1679</f>
        <v>563868</v>
      </c>
      <c r="H1679" s="837"/>
      <c r="I1679" s="837"/>
      <c r="J1679" s="837"/>
      <c r="K1679" s="839"/>
      <c r="L1679" s="839"/>
      <c r="M1679" s="839"/>
      <c r="N1679" s="837"/>
      <c r="O1679" s="837"/>
    </row>
    <row r="1680" spans="1:15">
      <c r="A1680" s="837"/>
      <c r="B1680" s="936" t="s">
        <v>2052</v>
      </c>
      <c r="C1680" s="914"/>
      <c r="D1680" s="837" t="s">
        <v>2</v>
      </c>
      <c r="E1680" s="841">
        <v>500</v>
      </c>
      <c r="F1680" s="837">
        <f>15+3</f>
        <v>18</v>
      </c>
      <c r="G1680" s="837">
        <f t="shared" si="86"/>
        <v>9000</v>
      </c>
      <c r="H1680" s="837"/>
      <c r="I1680" s="837"/>
      <c r="J1680" s="837"/>
      <c r="K1680" s="839"/>
      <c r="L1680" s="839"/>
      <c r="M1680" s="839"/>
      <c r="N1680" s="837"/>
      <c r="O1680" s="837"/>
    </row>
    <row r="1681" spans="1:15">
      <c r="A1681" s="837">
        <v>3</v>
      </c>
      <c r="B1681" s="936" t="s">
        <v>202</v>
      </c>
      <c r="C1681" s="899" t="s">
        <v>2053</v>
      </c>
      <c r="D1681" s="837" t="s">
        <v>2</v>
      </c>
      <c r="E1681" s="841">
        <v>500</v>
      </c>
      <c r="F1681" s="837">
        <f>3-1-1+12</f>
        <v>13</v>
      </c>
      <c r="G1681" s="837">
        <f t="shared" si="86"/>
        <v>6500</v>
      </c>
      <c r="H1681" s="837"/>
      <c r="I1681" s="837"/>
      <c r="J1681" s="937"/>
      <c r="K1681" s="938"/>
      <c r="L1681" s="938"/>
      <c r="M1681" s="938"/>
      <c r="N1681" s="937"/>
      <c r="O1681" s="937"/>
    </row>
    <row r="1682" spans="1:15">
      <c r="A1682" s="837">
        <v>6</v>
      </c>
      <c r="B1682" s="936" t="s">
        <v>315</v>
      </c>
      <c r="C1682" s="899" t="s">
        <v>1423</v>
      </c>
      <c r="D1682" s="837" t="s">
        <v>2</v>
      </c>
      <c r="E1682" s="841">
        <v>200</v>
      </c>
      <c r="F1682" s="837">
        <v>19</v>
      </c>
      <c r="G1682" s="837">
        <f t="shared" si="86"/>
        <v>3800</v>
      </c>
      <c r="H1682" s="837"/>
      <c r="I1682" s="837"/>
      <c r="J1682" s="910"/>
      <c r="K1682" s="911"/>
      <c r="L1682" s="911"/>
      <c r="M1682" s="911"/>
      <c r="N1682" s="910"/>
      <c r="O1682" s="910"/>
    </row>
    <row r="1683" spans="1:15">
      <c r="A1683" s="857"/>
      <c r="B1683" s="896"/>
      <c r="C1683" s="863"/>
      <c r="D1683" s="837"/>
      <c r="E1683" s="841"/>
      <c r="F1683" s="837"/>
      <c r="G1683" s="837">
        <f t="shared" si="86"/>
        <v>0</v>
      </c>
      <c r="H1683" s="837"/>
      <c r="I1683" s="837"/>
      <c r="J1683" s="837"/>
      <c r="K1683" s="839"/>
      <c r="L1683" s="839"/>
      <c r="M1683" s="839"/>
      <c r="N1683" s="837"/>
      <c r="O1683" s="837"/>
    </row>
    <row r="1684" spans="1:15">
      <c r="A1684" s="837">
        <v>144</v>
      </c>
      <c r="B1684" s="939" t="s">
        <v>2054</v>
      </c>
      <c r="C1684" s="899" t="s">
        <v>2055</v>
      </c>
      <c r="D1684" s="837" t="s">
        <v>2</v>
      </c>
      <c r="E1684" s="841">
        <v>4900.6000000000004</v>
      </c>
      <c r="F1684" s="837">
        <f>5-2</f>
        <v>3</v>
      </c>
      <c r="G1684" s="837">
        <f t="shared" si="86"/>
        <v>14701.800000000001</v>
      </c>
      <c r="H1684" s="837"/>
      <c r="I1684" s="837"/>
      <c r="J1684" s="837"/>
      <c r="K1684" s="837"/>
      <c r="L1684" s="837"/>
      <c r="M1684" s="837"/>
      <c r="N1684" s="837"/>
      <c r="O1684" s="837"/>
    </row>
    <row r="1685" spans="1:15">
      <c r="A1685" s="857"/>
      <c r="B1685" s="851"/>
      <c r="C1685" s="863"/>
      <c r="D1685" s="857"/>
      <c r="E1685" s="940"/>
      <c r="F1685" s="857"/>
      <c r="G1685" s="857"/>
      <c r="H1685" s="857"/>
      <c r="I1685" s="857"/>
      <c r="J1685" s="857"/>
      <c r="K1685" s="861"/>
      <c r="L1685" s="861"/>
      <c r="M1685" s="861"/>
      <c r="N1685" s="857"/>
      <c r="O1685" s="857"/>
    </row>
    <row r="1686" spans="1:15" ht="31.5">
      <c r="A1686" s="857">
        <v>13</v>
      </c>
      <c r="B1686" s="941" t="s">
        <v>2056</v>
      </c>
      <c r="C1686" s="859" t="s">
        <v>2057</v>
      </c>
      <c r="D1686" s="932" t="s">
        <v>2</v>
      </c>
      <c r="E1686" s="857">
        <v>5888</v>
      </c>
      <c r="F1686" s="857">
        <v>0</v>
      </c>
      <c r="G1686" s="837">
        <f t="shared" ref="G1686:G1696" si="87">E1686*F1686</f>
        <v>0</v>
      </c>
      <c r="H1686" s="857"/>
      <c r="I1686" s="857"/>
      <c r="J1686" s="857"/>
      <c r="K1686" s="857"/>
      <c r="L1686" s="857"/>
      <c r="M1686" s="857"/>
      <c r="N1686" s="857"/>
      <c r="O1686" s="857"/>
    </row>
    <row r="1687" spans="1:15" ht="31.5">
      <c r="A1687" s="857">
        <v>13</v>
      </c>
      <c r="B1687" s="942" t="s">
        <v>2058</v>
      </c>
      <c r="C1687" s="863" t="s">
        <v>2059</v>
      </c>
      <c r="D1687" s="857" t="s">
        <v>2</v>
      </c>
      <c r="E1687" s="857">
        <v>8083</v>
      </c>
      <c r="F1687" s="857">
        <f>9-2</f>
        <v>7</v>
      </c>
      <c r="G1687" s="837">
        <f t="shared" si="87"/>
        <v>56581</v>
      </c>
      <c r="H1687" s="857"/>
      <c r="I1687" s="857"/>
      <c r="J1687" s="857"/>
      <c r="K1687" s="857"/>
      <c r="L1687" s="857"/>
      <c r="M1687" s="857"/>
      <c r="N1687" s="857"/>
      <c r="O1687" s="857"/>
    </row>
    <row r="1688" spans="1:15">
      <c r="A1688" s="857"/>
      <c r="B1688" s="942" t="s">
        <v>2060</v>
      </c>
      <c r="C1688" s="863" t="s">
        <v>2061</v>
      </c>
      <c r="D1688" s="857" t="s">
        <v>2</v>
      </c>
      <c r="E1688" s="857">
        <v>100</v>
      </c>
      <c r="F1688" s="857">
        <v>1</v>
      </c>
      <c r="G1688" s="837">
        <f t="shared" si="87"/>
        <v>100</v>
      </c>
      <c r="H1688" s="857"/>
      <c r="I1688" s="857"/>
      <c r="J1688" s="857"/>
      <c r="K1688" s="857"/>
      <c r="L1688" s="857"/>
      <c r="M1688" s="857"/>
      <c r="N1688" s="857"/>
      <c r="O1688" s="857"/>
    </row>
    <row r="1689" spans="1:15" ht="47.25">
      <c r="A1689" s="857">
        <v>17</v>
      </c>
      <c r="B1689" s="942" t="s">
        <v>2062</v>
      </c>
      <c r="C1689" s="863" t="s">
        <v>1428</v>
      </c>
      <c r="D1689" s="857" t="s">
        <v>2</v>
      </c>
      <c r="E1689" s="857">
        <v>2938.2</v>
      </c>
      <c r="F1689" s="857">
        <v>2</v>
      </c>
      <c r="G1689" s="837">
        <f t="shared" si="87"/>
        <v>5876.4</v>
      </c>
      <c r="H1689" s="857"/>
      <c r="I1689" s="857"/>
      <c r="J1689" s="857"/>
      <c r="K1689" s="857"/>
      <c r="L1689" s="857"/>
      <c r="M1689" s="857"/>
      <c r="N1689" s="857"/>
      <c r="O1689" s="857"/>
    </row>
    <row r="1690" spans="1:15">
      <c r="A1690" s="837">
        <v>216</v>
      </c>
      <c r="B1690" s="941" t="s">
        <v>2063</v>
      </c>
      <c r="C1690" s="902" t="s">
        <v>2064</v>
      </c>
      <c r="D1690" s="837" t="s">
        <v>9</v>
      </c>
      <c r="E1690" s="841">
        <v>2584.1999999999998</v>
      </c>
      <c r="F1690" s="931">
        <f>7-1-6</f>
        <v>0</v>
      </c>
      <c r="G1690" s="837">
        <f t="shared" si="87"/>
        <v>0</v>
      </c>
      <c r="H1690" s="837"/>
      <c r="I1690" s="837"/>
      <c r="J1690" s="837"/>
      <c r="K1690" s="839"/>
      <c r="L1690" s="839"/>
      <c r="M1690" s="839"/>
      <c r="N1690" s="837"/>
      <c r="O1690" s="837"/>
    </row>
    <row r="1691" spans="1:15" ht="47.25">
      <c r="A1691" s="857">
        <v>353</v>
      </c>
      <c r="B1691" s="942" t="s">
        <v>2065</v>
      </c>
      <c r="C1691" s="863" t="s">
        <v>2066</v>
      </c>
      <c r="D1691" s="857" t="s">
        <v>2</v>
      </c>
      <c r="E1691" s="940">
        <v>4106.3999999999996</v>
      </c>
      <c r="F1691" s="857">
        <v>3</v>
      </c>
      <c r="G1691" s="837">
        <f t="shared" si="87"/>
        <v>12319.199999999999</v>
      </c>
      <c r="H1691" s="857"/>
      <c r="I1691" s="857"/>
      <c r="J1691" s="857"/>
      <c r="K1691" s="857"/>
      <c r="L1691" s="857"/>
      <c r="M1691" s="857"/>
      <c r="N1691" s="857"/>
      <c r="O1691" s="857"/>
    </row>
    <row r="1692" spans="1:15" ht="47.25">
      <c r="A1692" s="857">
        <v>354</v>
      </c>
      <c r="B1692" s="942" t="s">
        <v>2067</v>
      </c>
      <c r="C1692" s="863" t="s">
        <v>2068</v>
      </c>
      <c r="D1692" s="857" t="s">
        <v>2</v>
      </c>
      <c r="E1692" s="940">
        <v>4106.3999999999996</v>
      </c>
      <c r="F1692" s="857">
        <v>3</v>
      </c>
      <c r="G1692" s="837">
        <f t="shared" si="87"/>
        <v>12319.199999999999</v>
      </c>
      <c r="H1692" s="857"/>
      <c r="I1692" s="857"/>
      <c r="J1692" s="857"/>
      <c r="K1692" s="857"/>
      <c r="L1692" s="857"/>
      <c r="M1692" s="857"/>
      <c r="N1692" s="857"/>
      <c r="O1692" s="857"/>
    </row>
    <row r="1693" spans="1:15" ht="47.25">
      <c r="A1693" s="857"/>
      <c r="B1693" s="942" t="s">
        <v>2069</v>
      </c>
      <c r="C1693" s="863" t="s">
        <v>2070</v>
      </c>
      <c r="D1693" s="857" t="s">
        <v>2</v>
      </c>
      <c r="E1693" s="940">
        <v>4106.3999999999996</v>
      </c>
      <c r="F1693" s="857">
        <v>2</v>
      </c>
      <c r="G1693" s="837">
        <f t="shared" si="87"/>
        <v>8212.7999999999993</v>
      </c>
      <c r="H1693" s="857"/>
      <c r="I1693" s="857"/>
      <c r="J1693" s="857"/>
      <c r="K1693" s="857"/>
      <c r="L1693" s="857"/>
      <c r="M1693" s="857"/>
      <c r="N1693" s="857"/>
      <c r="O1693" s="857"/>
    </row>
    <row r="1694" spans="1:15" ht="63">
      <c r="A1694" s="857"/>
      <c r="B1694" s="942" t="s">
        <v>2071</v>
      </c>
      <c r="C1694" s="863" t="s">
        <v>2072</v>
      </c>
      <c r="D1694" s="857" t="s">
        <v>2</v>
      </c>
      <c r="E1694" s="940">
        <v>4106.3999999999996</v>
      </c>
      <c r="F1694" s="857">
        <f>6+3</f>
        <v>9</v>
      </c>
      <c r="G1694" s="837">
        <f t="shared" si="87"/>
        <v>36957.599999999999</v>
      </c>
      <c r="H1694" s="857"/>
      <c r="I1694" s="857"/>
      <c r="J1694" s="857"/>
      <c r="K1694" s="857"/>
      <c r="L1694" s="857"/>
      <c r="M1694" s="857"/>
      <c r="N1694" s="857"/>
      <c r="O1694" s="857"/>
    </row>
    <row r="1695" spans="1:15" ht="47.25">
      <c r="A1695" s="857"/>
      <c r="B1695" s="942" t="s">
        <v>2073</v>
      </c>
      <c r="C1695" s="863" t="s">
        <v>2074</v>
      </c>
      <c r="D1695" s="857" t="s">
        <v>2</v>
      </c>
      <c r="E1695" s="940">
        <v>7888.3</v>
      </c>
      <c r="F1695" s="857">
        <f>3-1</f>
        <v>2</v>
      </c>
      <c r="G1695" s="837">
        <f t="shared" si="87"/>
        <v>15776.6</v>
      </c>
      <c r="H1695" s="940"/>
      <c r="I1695" s="857"/>
      <c r="J1695" s="857"/>
      <c r="K1695" s="857"/>
      <c r="L1695" s="857"/>
      <c r="M1695" s="857"/>
      <c r="N1695" s="857"/>
      <c r="O1695" s="857"/>
    </row>
    <row r="1696" spans="1:15" ht="47.25">
      <c r="A1696" s="857"/>
      <c r="B1696" s="942" t="s">
        <v>2073</v>
      </c>
      <c r="C1696" s="863" t="s">
        <v>2075</v>
      </c>
      <c r="D1696" s="857" t="s">
        <v>2</v>
      </c>
      <c r="E1696" s="940">
        <v>7888.3</v>
      </c>
      <c r="F1696" s="857">
        <v>3</v>
      </c>
      <c r="G1696" s="837">
        <f t="shared" si="87"/>
        <v>23664.9</v>
      </c>
      <c r="H1696" s="857"/>
      <c r="I1696" s="857"/>
      <c r="J1696" s="857"/>
      <c r="K1696" s="857"/>
      <c r="L1696" s="857"/>
      <c r="M1696" s="857"/>
      <c r="N1696" s="857"/>
      <c r="O1696" s="857"/>
    </row>
    <row r="1697" spans="1:15">
      <c r="A1697" s="857"/>
      <c r="B1697" s="943"/>
      <c r="C1697" s="863"/>
      <c r="D1697" s="857"/>
      <c r="E1697" s="857"/>
      <c r="F1697" s="857"/>
      <c r="G1697" s="837"/>
      <c r="H1697" s="857"/>
      <c r="I1697" s="857"/>
      <c r="J1697" s="857"/>
      <c r="K1697" s="857"/>
      <c r="L1697" s="857"/>
      <c r="M1697" s="857"/>
      <c r="N1697" s="857"/>
      <c r="O1697" s="857"/>
    </row>
    <row r="1698" spans="1:15" ht="31.5">
      <c r="A1698" s="857">
        <v>135</v>
      </c>
      <c r="B1698" s="942" t="s">
        <v>2076</v>
      </c>
      <c r="C1698" s="863" t="s">
        <v>2077</v>
      </c>
      <c r="D1698" s="857" t="s">
        <v>2</v>
      </c>
      <c r="E1698" s="857">
        <v>58.76</v>
      </c>
      <c r="F1698" s="857">
        <f>50-30-5-5</f>
        <v>10</v>
      </c>
      <c r="G1698" s="837">
        <f t="shared" ref="G1698:G1761" si="88">E1698*F1698</f>
        <v>587.6</v>
      </c>
      <c r="H1698" s="857"/>
      <c r="I1698" s="857"/>
      <c r="J1698" s="857"/>
      <c r="K1698" s="857"/>
      <c r="L1698" s="857"/>
      <c r="M1698" s="857"/>
      <c r="N1698" s="857"/>
      <c r="O1698" s="857"/>
    </row>
    <row r="1699" spans="1:15" ht="31.5">
      <c r="A1699" s="857"/>
      <c r="B1699" s="942" t="s">
        <v>2078</v>
      </c>
      <c r="C1699" s="863" t="s">
        <v>2079</v>
      </c>
      <c r="D1699" s="857" t="s">
        <v>2</v>
      </c>
      <c r="E1699" s="857">
        <v>12213</v>
      </c>
      <c r="F1699" s="857">
        <f>6-1-1-1-1-1</f>
        <v>1</v>
      </c>
      <c r="G1699" s="837">
        <f t="shared" si="88"/>
        <v>12213</v>
      </c>
      <c r="H1699" s="857"/>
      <c r="I1699" s="857"/>
      <c r="J1699" s="857"/>
      <c r="K1699" s="857"/>
      <c r="L1699" s="857"/>
      <c r="M1699" s="857"/>
      <c r="N1699" s="857"/>
      <c r="O1699" s="857"/>
    </row>
    <row r="1700" spans="1:15" ht="31.5">
      <c r="A1700" s="857">
        <v>202</v>
      </c>
      <c r="B1700" s="942" t="s">
        <v>2080</v>
      </c>
      <c r="C1700" s="859" t="s">
        <v>2081</v>
      </c>
      <c r="D1700" s="857" t="s">
        <v>2</v>
      </c>
      <c r="E1700" s="857">
        <v>8732</v>
      </c>
      <c r="F1700" s="857">
        <f>5-1-1-1-2</f>
        <v>0</v>
      </c>
      <c r="G1700" s="837">
        <f t="shared" si="88"/>
        <v>0</v>
      </c>
      <c r="H1700" s="857"/>
      <c r="I1700" s="857"/>
      <c r="J1700" s="857"/>
      <c r="K1700" s="857"/>
      <c r="L1700" s="857"/>
      <c r="M1700" s="857"/>
      <c r="N1700" s="857"/>
      <c r="O1700" s="857"/>
    </row>
    <row r="1701" spans="1:15">
      <c r="A1701" s="932">
        <v>475</v>
      </c>
      <c r="B1701" s="942" t="s">
        <v>2082</v>
      </c>
      <c r="C1701" s="944" t="s">
        <v>2083</v>
      </c>
      <c r="D1701" s="857" t="s">
        <v>2</v>
      </c>
      <c r="E1701" s="940">
        <v>2118.1</v>
      </c>
      <c r="F1701" s="857">
        <v>8</v>
      </c>
      <c r="G1701" s="837">
        <f t="shared" si="88"/>
        <v>16944.8</v>
      </c>
      <c r="H1701" s="857"/>
      <c r="I1701" s="857"/>
      <c r="J1701" s="857"/>
      <c r="K1701" s="857"/>
      <c r="L1701" s="857"/>
      <c r="M1701" s="857"/>
      <c r="N1701" s="857"/>
      <c r="O1701" s="857"/>
    </row>
    <row r="1702" spans="1:15">
      <c r="A1702" s="945"/>
      <c r="B1702" s="942" t="s">
        <v>2082</v>
      </c>
      <c r="C1702" s="946" t="s">
        <v>2084</v>
      </c>
      <c r="D1702" s="857" t="s">
        <v>2</v>
      </c>
      <c r="E1702" s="940">
        <v>10608.2</v>
      </c>
      <c r="F1702" s="857">
        <v>6</v>
      </c>
      <c r="G1702" s="837">
        <f t="shared" si="88"/>
        <v>63649.200000000004</v>
      </c>
      <c r="H1702" s="857"/>
      <c r="I1702" s="857"/>
      <c r="J1702" s="857"/>
      <c r="K1702" s="857"/>
      <c r="L1702" s="857"/>
      <c r="M1702" s="857"/>
      <c r="N1702" s="857"/>
      <c r="O1702" s="857"/>
    </row>
    <row r="1703" spans="1:15">
      <c r="A1703" s="945"/>
      <c r="B1703" s="942" t="s">
        <v>2082</v>
      </c>
      <c r="C1703" s="946" t="s">
        <v>2085</v>
      </c>
      <c r="D1703" s="857" t="s">
        <v>2</v>
      </c>
      <c r="E1703" s="940">
        <v>5888.2</v>
      </c>
      <c r="F1703" s="857">
        <v>4</v>
      </c>
      <c r="G1703" s="837">
        <f t="shared" si="88"/>
        <v>23552.799999999999</v>
      </c>
      <c r="H1703" s="857"/>
      <c r="I1703" s="857"/>
      <c r="J1703" s="857"/>
      <c r="K1703" s="857"/>
      <c r="L1703" s="857"/>
      <c r="M1703" s="857"/>
      <c r="N1703" s="857"/>
      <c r="O1703" s="857"/>
    </row>
    <row r="1704" spans="1:15">
      <c r="A1704" s="857">
        <v>483</v>
      </c>
      <c r="B1704" s="942" t="s">
        <v>2086</v>
      </c>
      <c r="C1704" s="863" t="s">
        <v>2087</v>
      </c>
      <c r="D1704" s="857" t="s">
        <v>2</v>
      </c>
      <c r="E1704" s="841">
        <v>1464</v>
      </c>
      <c r="F1704" s="857">
        <v>2</v>
      </c>
      <c r="G1704" s="837">
        <f t="shared" si="88"/>
        <v>2928</v>
      </c>
      <c r="H1704" s="857"/>
      <c r="I1704" s="857"/>
      <c r="J1704" s="857"/>
      <c r="K1704" s="857"/>
      <c r="L1704" s="857"/>
      <c r="M1704" s="857"/>
      <c r="N1704" s="857"/>
      <c r="O1704" s="857"/>
    </row>
    <row r="1705" spans="1:15">
      <c r="A1705" s="857"/>
      <c r="B1705" s="942" t="s">
        <v>2088</v>
      </c>
      <c r="C1705" s="863" t="s">
        <v>2089</v>
      </c>
      <c r="D1705" s="857" t="s">
        <v>2</v>
      </c>
      <c r="E1705" s="841">
        <v>2938.2</v>
      </c>
      <c r="F1705" s="857">
        <f>4-2-2</f>
        <v>0</v>
      </c>
      <c r="G1705" s="837">
        <f t="shared" si="88"/>
        <v>0</v>
      </c>
      <c r="H1705" s="857"/>
      <c r="I1705" s="857"/>
      <c r="J1705" s="857"/>
      <c r="K1705" s="861"/>
      <c r="L1705" s="861"/>
      <c r="M1705" s="861"/>
      <c r="N1705" s="857"/>
      <c r="O1705" s="857"/>
    </row>
    <row r="1706" spans="1:15">
      <c r="A1706" s="857"/>
      <c r="B1706" s="851"/>
      <c r="C1706" s="863"/>
      <c r="D1706" s="857"/>
      <c r="E1706" s="841"/>
      <c r="F1706" s="857"/>
      <c r="G1706" s="837">
        <f t="shared" si="88"/>
        <v>0</v>
      </c>
      <c r="H1706" s="857"/>
      <c r="I1706" s="857"/>
      <c r="J1706" s="857"/>
      <c r="K1706" s="861"/>
      <c r="L1706" s="861"/>
      <c r="M1706" s="861"/>
      <c r="N1706" s="857"/>
      <c r="O1706" s="857"/>
    </row>
    <row r="1707" spans="1:15" ht="31.5">
      <c r="A1707" s="837">
        <v>34</v>
      </c>
      <c r="B1707" s="947" t="s">
        <v>2090</v>
      </c>
      <c r="C1707" s="899" t="s">
        <v>2091</v>
      </c>
      <c r="D1707" s="837" t="s">
        <v>2</v>
      </c>
      <c r="E1707" s="841">
        <v>20000</v>
      </c>
      <c r="F1707" s="837">
        <v>12</v>
      </c>
      <c r="G1707" s="837">
        <f t="shared" si="88"/>
        <v>240000</v>
      </c>
      <c r="H1707" s="837"/>
      <c r="I1707" s="837"/>
      <c r="J1707" s="837"/>
      <c r="K1707" s="839"/>
      <c r="L1707" s="839"/>
      <c r="M1707" s="839"/>
      <c r="N1707" s="837"/>
      <c r="O1707" s="837"/>
    </row>
    <row r="1708" spans="1:15" ht="31.5">
      <c r="A1708" s="857">
        <v>35</v>
      </c>
      <c r="B1708" s="947" t="s">
        <v>2092</v>
      </c>
      <c r="C1708" s="863" t="s">
        <v>2093</v>
      </c>
      <c r="D1708" s="837" t="s">
        <v>2</v>
      </c>
      <c r="E1708" s="841">
        <v>3175.38</v>
      </c>
      <c r="F1708" s="837">
        <f>2+10-6</f>
        <v>6</v>
      </c>
      <c r="G1708" s="837">
        <f t="shared" si="88"/>
        <v>19052.28</v>
      </c>
      <c r="H1708" s="837"/>
      <c r="I1708" s="837"/>
      <c r="J1708" s="837"/>
      <c r="K1708" s="839"/>
      <c r="L1708" s="839"/>
      <c r="M1708" s="839"/>
      <c r="N1708" s="837"/>
      <c r="O1708" s="837"/>
    </row>
    <row r="1709" spans="1:15">
      <c r="A1709" s="837">
        <v>11</v>
      </c>
      <c r="B1709" s="947" t="s">
        <v>2094</v>
      </c>
      <c r="C1709" s="919" t="s">
        <v>2095</v>
      </c>
      <c r="D1709" s="837" t="s">
        <v>2</v>
      </c>
      <c r="E1709" s="841">
        <v>1646.1</v>
      </c>
      <c r="F1709" s="837">
        <f>12-4-5-2-1</f>
        <v>0</v>
      </c>
      <c r="G1709" s="837">
        <f t="shared" si="88"/>
        <v>0</v>
      </c>
      <c r="H1709" s="837"/>
      <c r="I1709" s="837"/>
      <c r="J1709" s="837"/>
      <c r="K1709" s="839"/>
      <c r="L1709" s="839"/>
      <c r="M1709" s="839"/>
      <c r="N1709" s="837"/>
      <c r="O1709" s="837"/>
    </row>
    <row r="1710" spans="1:15">
      <c r="A1710" s="837"/>
      <c r="B1710" s="947" t="s">
        <v>2094</v>
      </c>
      <c r="C1710" s="922"/>
      <c r="D1710" s="837" t="s">
        <v>2</v>
      </c>
      <c r="E1710" s="841">
        <v>2348.1999999999998</v>
      </c>
      <c r="F1710" s="837">
        <f>12-2-4-4-2</f>
        <v>0</v>
      </c>
      <c r="G1710" s="837">
        <f t="shared" si="88"/>
        <v>0</v>
      </c>
      <c r="H1710" s="837"/>
      <c r="I1710" s="837"/>
      <c r="J1710" s="837"/>
      <c r="K1710" s="839"/>
      <c r="L1710" s="839"/>
      <c r="M1710" s="839"/>
      <c r="N1710" s="837"/>
      <c r="O1710" s="837"/>
    </row>
    <row r="1711" spans="1:15" ht="31.5">
      <c r="A1711" s="837">
        <v>18</v>
      </c>
      <c r="B1711" s="948" t="s">
        <v>2096</v>
      </c>
      <c r="C1711" s="899" t="s">
        <v>2097</v>
      </c>
      <c r="D1711" s="837" t="s">
        <v>2</v>
      </c>
      <c r="E1711" s="841">
        <v>0</v>
      </c>
      <c r="F1711" s="837">
        <v>0</v>
      </c>
      <c r="G1711" s="837">
        <f t="shared" si="88"/>
        <v>0</v>
      </c>
      <c r="H1711" s="837"/>
      <c r="I1711" s="837"/>
      <c r="J1711" s="837"/>
      <c r="K1711" s="839"/>
      <c r="L1711" s="839"/>
      <c r="M1711" s="839"/>
      <c r="N1711" s="837"/>
      <c r="O1711" s="837"/>
    </row>
    <row r="1712" spans="1:15">
      <c r="A1712" s="837">
        <v>111</v>
      </c>
      <c r="B1712" s="948" t="s">
        <v>1221</v>
      </c>
      <c r="C1712" s="899" t="s">
        <v>2098</v>
      </c>
      <c r="D1712" s="837" t="s">
        <v>2</v>
      </c>
      <c r="E1712" s="841">
        <v>0</v>
      </c>
      <c r="F1712" s="837">
        <v>0</v>
      </c>
      <c r="G1712" s="837">
        <f t="shared" si="88"/>
        <v>0</v>
      </c>
      <c r="H1712" s="837"/>
      <c r="I1712" s="837"/>
      <c r="J1712" s="837"/>
      <c r="K1712" s="839"/>
      <c r="L1712" s="839"/>
      <c r="M1712" s="839"/>
      <c r="N1712" s="837"/>
      <c r="O1712" s="837"/>
    </row>
    <row r="1713" spans="1:15">
      <c r="A1713" s="837"/>
      <c r="B1713" s="948"/>
      <c r="C1713" s="899" t="s">
        <v>2099</v>
      </c>
      <c r="D1713" s="837" t="s">
        <v>2</v>
      </c>
      <c r="E1713" s="841">
        <v>0</v>
      </c>
      <c r="F1713" s="837">
        <v>0</v>
      </c>
      <c r="G1713" s="837">
        <f t="shared" si="88"/>
        <v>0</v>
      </c>
      <c r="H1713" s="837"/>
      <c r="I1713" s="837"/>
      <c r="J1713" s="837"/>
      <c r="K1713" s="839"/>
      <c r="L1713" s="839"/>
      <c r="M1713" s="839"/>
      <c r="N1713" s="837"/>
      <c r="O1713" s="837"/>
    </row>
    <row r="1714" spans="1:15">
      <c r="A1714" s="837"/>
      <c r="B1714" s="947" t="s">
        <v>2100</v>
      </c>
      <c r="C1714" s="899" t="s">
        <v>2101</v>
      </c>
      <c r="D1714" s="837" t="s">
        <v>2</v>
      </c>
      <c r="E1714" s="841">
        <v>2828.46</v>
      </c>
      <c r="F1714" s="837">
        <v>20</v>
      </c>
      <c r="G1714" s="837">
        <f t="shared" si="88"/>
        <v>56569.2</v>
      </c>
      <c r="H1714" s="837"/>
      <c r="I1714" s="837"/>
      <c r="J1714" s="837"/>
      <c r="K1714" s="839"/>
      <c r="L1714" s="839"/>
      <c r="M1714" s="839"/>
      <c r="N1714" s="837"/>
      <c r="O1714" s="837"/>
    </row>
    <row r="1715" spans="1:15">
      <c r="A1715" s="837">
        <v>113</v>
      </c>
      <c r="B1715" s="947" t="s">
        <v>2102</v>
      </c>
      <c r="C1715" s="899" t="s">
        <v>2103</v>
      </c>
      <c r="D1715" s="837" t="s">
        <v>2</v>
      </c>
      <c r="E1715" s="841">
        <v>2003.64</v>
      </c>
      <c r="F1715" s="837">
        <v>20</v>
      </c>
      <c r="G1715" s="837">
        <f t="shared" si="88"/>
        <v>40072.800000000003</v>
      </c>
      <c r="H1715" s="837"/>
      <c r="I1715" s="837"/>
      <c r="J1715" s="837"/>
      <c r="K1715" s="839"/>
      <c r="L1715" s="839"/>
      <c r="M1715" s="839"/>
      <c r="N1715" s="837"/>
      <c r="O1715" s="837"/>
    </row>
    <row r="1716" spans="1:15">
      <c r="A1716" s="926">
        <v>124</v>
      </c>
      <c r="B1716" s="949" t="s">
        <v>2104</v>
      </c>
      <c r="C1716" s="927" t="s">
        <v>2105</v>
      </c>
      <c r="D1716" s="926" t="s">
        <v>2</v>
      </c>
      <c r="E1716" s="926">
        <v>0</v>
      </c>
      <c r="F1716" s="926">
        <v>0</v>
      </c>
      <c r="G1716" s="837">
        <f t="shared" si="88"/>
        <v>0</v>
      </c>
      <c r="H1716" s="926"/>
      <c r="I1716" s="926"/>
      <c r="J1716" s="926"/>
      <c r="K1716" s="926"/>
      <c r="L1716" s="926"/>
      <c r="M1716" s="926"/>
      <c r="N1716" s="926"/>
      <c r="O1716" s="926"/>
    </row>
    <row r="1717" spans="1:15">
      <c r="A1717" s="926"/>
      <c r="B1717" s="949"/>
      <c r="C1717" s="865" t="s">
        <v>2106</v>
      </c>
      <c r="D1717" s="926" t="s">
        <v>2</v>
      </c>
      <c r="E1717" s="926">
        <v>0</v>
      </c>
      <c r="F1717" s="926">
        <v>0</v>
      </c>
      <c r="G1717" s="837">
        <f t="shared" si="88"/>
        <v>0</v>
      </c>
      <c r="H1717" s="926"/>
      <c r="I1717" s="926"/>
      <c r="J1717" s="926"/>
      <c r="K1717" s="926"/>
      <c r="L1717" s="926"/>
      <c r="M1717" s="926"/>
      <c r="N1717" s="926"/>
      <c r="O1717" s="926"/>
    </row>
    <row r="1718" spans="1:15">
      <c r="A1718" s="926"/>
      <c r="B1718" s="949"/>
      <c r="C1718" s="869"/>
      <c r="D1718" s="926" t="s">
        <v>2</v>
      </c>
      <c r="E1718" s="926">
        <v>979.4</v>
      </c>
      <c r="F1718" s="926">
        <f>6-3-3</f>
        <v>0</v>
      </c>
      <c r="G1718" s="837">
        <f t="shared" si="88"/>
        <v>0</v>
      </c>
      <c r="H1718" s="926"/>
      <c r="I1718" s="926"/>
      <c r="J1718" s="926"/>
      <c r="K1718" s="950"/>
      <c r="L1718" s="950"/>
      <c r="M1718" s="950"/>
      <c r="N1718" s="926"/>
      <c r="O1718" s="926"/>
    </row>
    <row r="1719" spans="1:15">
      <c r="A1719" s="926"/>
      <c r="B1719" s="947" t="s">
        <v>2107</v>
      </c>
      <c r="C1719" s="927" t="s">
        <v>2108</v>
      </c>
      <c r="D1719" s="926" t="s">
        <v>9</v>
      </c>
      <c r="E1719" s="926">
        <v>3528.2</v>
      </c>
      <c r="F1719" s="926">
        <f>10-4-4-2</f>
        <v>0</v>
      </c>
      <c r="G1719" s="837">
        <f t="shared" si="88"/>
        <v>0</v>
      </c>
      <c r="H1719" s="926"/>
      <c r="I1719" s="926"/>
      <c r="J1719" s="926"/>
      <c r="K1719" s="950"/>
      <c r="L1719" s="950"/>
      <c r="M1719" s="950"/>
      <c r="N1719" s="926"/>
      <c r="O1719" s="926"/>
    </row>
    <row r="1720" spans="1:15">
      <c r="A1720" s="926"/>
      <c r="B1720" s="947" t="s">
        <v>2107</v>
      </c>
      <c r="C1720" s="865" t="s">
        <v>2109</v>
      </c>
      <c r="D1720" s="926" t="s">
        <v>2</v>
      </c>
      <c r="E1720" s="926">
        <v>2336.4</v>
      </c>
      <c r="F1720" s="926">
        <f>4-2-1-1</f>
        <v>0</v>
      </c>
      <c r="G1720" s="837">
        <f t="shared" si="88"/>
        <v>0</v>
      </c>
      <c r="H1720" s="926"/>
      <c r="I1720" s="926"/>
      <c r="J1720" s="926"/>
      <c r="K1720" s="950"/>
      <c r="L1720" s="950"/>
      <c r="M1720" s="950"/>
      <c r="N1720" s="926"/>
      <c r="O1720" s="926"/>
    </row>
    <row r="1721" spans="1:15">
      <c r="A1721" s="926"/>
      <c r="B1721" s="947" t="s">
        <v>2107</v>
      </c>
      <c r="C1721" s="869"/>
      <c r="D1721" s="926" t="s">
        <v>2</v>
      </c>
      <c r="E1721" s="926">
        <v>2938.2</v>
      </c>
      <c r="F1721" s="926">
        <f>4-2</f>
        <v>2</v>
      </c>
      <c r="G1721" s="837">
        <f t="shared" si="88"/>
        <v>5876.4</v>
      </c>
      <c r="H1721" s="926"/>
      <c r="I1721" s="926"/>
      <c r="J1721" s="926"/>
      <c r="K1721" s="950"/>
      <c r="L1721" s="950"/>
      <c r="M1721" s="950"/>
      <c r="N1721" s="926"/>
      <c r="O1721" s="926"/>
    </row>
    <row r="1722" spans="1:15">
      <c r="A1722" s="926"/>
      <c r="B1722" s="947" t="s">
        <v>1209</v>
      </c>
      <c r="C1722" s="865" t="s">
        <v>2110</v>
      </c>
      <c r="D1722" s="926" t="s">
        <v>2</v>
      </c>
      <c r="E1722" s="926">
        <v>1528.1</v>
      </c>
      <c r="F1722" s="926">
        <f>4-2</f>
        <v>2</v>
      </c>
      <c r="G1722" s="837">
        <f t="shared" si="88"/>
        <v>3056.2</v>
      </c>
      <c r="H1722" s="926"/>
      <c r="I1722" s="926"/>
      <c r="J1722" s="926"/>
      <c r="K1722" s="950"/>
      <c r="L1722" s="950"/>
      <c r="M1722" s="950"/>
      <c r="N1722" s="926"/>
      <c r="O1722" s="926"/>
    </row>
    <row r="1723" spans="1:15">
      <c r="A1723" s="926"/>
      <c r="B1723" s="947" t="s">
        <v>1209</v>
      </c>
      <c r="C1723" s="869"/>
      <c r="D1723" s="926" t="s">
        <v>2</v>
      </c>
      <c r="E1723" s="926">
        <v>2112.1999999999998</v>
      </c>
      <c r="F1723" s="926">
        <v>4</v>
      </c>
      <c r="G1723" s="837">
        <f t="shared" si="88"/>
        <v>8448.7999999999993</v>
      </c>
      <c r="H1723" s="926"/>
      <c r="I1723" s="926"/>
      <c r="J1723" s="926"/>
      <c r="K1723" s="950"/>
      <c r="L1723" s="950"/>
      <c r="M1723" s="950"/>
      <c r="N1723" s="926"/>
      <c r="O1723" s="926"/>
    </row>
    <row r="1724" spans="1:15">
      <c r="A1724" s="926"/>
      <c r="B1724" s="947" t="s">
        <v>2111</v>
      </c>
      <c r="C1724" s="865" t="s">
        <v>2112</v>
      </c>
      <c r="D1724" s="926" t="s">
        <v>2</v>
      </c>
      <c r="E1724" s="926">
        <v>1463.2</v>
      </c>
      <c r="F1724" s="926">
        <v>4</v>
      </c>
      <c r="G1724" s="837">
        <f t="shared" si="88"/>
        <v>5852.8</v>
      </c>
      <c r="H1724" s="926"/>
      <c r="I1724" s="926"/>
      <c r="J1724" s="926"/>
      <c r="K1724" s="950"/>
      <c r="L1724" s="950"/>
      <c r="M1724" s="950"/>
      <c r="N1724" s="926"/>
      <c r="O1724" s="926"/>
    </row>
    <row r="1725" spans="1:15">
      <c r="A1725" s="926"/>
      <c r="B1725" s="947" t="s">
        <v>2111</v>
      </c>
      <c r="C1725" s="869"/>
      <c r="D1725" s="926" t="s">
        <v>2</v>
      </c>
      <c r="E1725" s="926">
        <v>1875.02</v>
      </c>
      <c r="F1725" s="926">
        <v>4</v>
      </c>
      <c r="G1725" s="837">
        <f t="shared" si="88"/>
        <v>7500.08</v>
      </c>
      <c r="H1725" s="926"/>
      <c r="I1725" s="926"/>
      <c r="J1725" s="926"/>
      <c r="K1725" s="950"/>
      <c r="L1725" s="950"/>
      <c r="M1725" s="950"/>
      <c r="N1725" s="926"/>
      <c r="O1725" s="926"/>
    </row>
    <row r="1726" spans="1:15">
      <c r="A1726" s="926">
        <v>125</v>
      </c>
      <c r="B1726" s="947" t="s">
        <v>2113</v>
      </c>
      <c r="C1726" s="865" t="s">
        <v>2114</v>
      </c>
      <c r="D1726" s="926" t="s">
        <v>2</v>
      </c>
      <c r="E1726" s="926">
        <v>1109.2</v>
      </c>
      <c r="F1726" s="926">
        <v>2</v>
      </c>
      <c r="G1726" s="837">
        <f t="shared" si="88"/>
        <v>2218.4</v>
      </c>
      <c r="H1726" s="926"/>
      <c r="I1726" s="926"/>
      <c r="J1726" s="926"/>
      <c r="K1726" s="950"/>
      <c r="L1726" s="950"/>
      <c r="M1726" s="950"/>
      <c r="N1726" s="926"/>
      <c r="O1726" s="926"/>
    </row>
    <row r="1727" spans="1:15">
      <c r="A1727" s="926"/>
      <c r="B1727" s="947" t="s">
        <v>2113</v>
      </c>
      <c r="C1727" s="869"/>
      <c r="D1727" s="926" t="s">
        <v>2</v>
      </c>
      <c r="E1727" s="926">
        <v>1404.2</v>
      </c>
      <c r="F1727" s="926">
        <v>2</v>
      </c>
      <c r="G1727" s="837">
        <f t="shared" si="88"/>
        <v>2808.4</v>
      </c>
      <c r="H1727" s="926"/>
      <c r="I1727" s="926"/>
      <c r="J1727" s="926"/>
      <c r="K1727" s="950"/>
      <c r="L1727" s="950"/>
      <c r="M1727" s="950"/>
      <c r="N1727" s="926"/>
      <c r="O1727" s="926"/>
    </row>
    <row r="1728" spans="1:15">
      <c r="A1728" s="926"/>
      <c r="B1728" s="947" t="s">
        <v>2115</v>
      </c>
      <c r="C1728" s="927" t="s">
        <v>2116</v>
      </c>
      <c r="D1728" s="926" t="s">
        <v>2</v>
      </c>
      <c r="E1728" s="926">
        <v>1050.2</v>
      </c>
      <c r="F1728" s="926">
        <v>3</v>
      </c>
      <c r="G1728" s="837">
        <f t="shared" si="88"/>
        <v>3150.6000000000004</v>
      </c>
      <c r="H1728" s="926"/>
      <c r="I1728" s="926"/>
      <c r="J1728" s="926"/>
      <c r="K1728" s="950"/>
      <c r="L1728" s="950"/>
      <c r="M1728" s="950"/>
      <c r="N1728" s="926"/>
      <c r="O1728" s="926"/>
    </row>
    <row r="1729" spans="1:15">
      <c r="A1729" s="926">
        <v>140</v>
      </c>
      <c r="B1729" s="947" t="s">
        <v>2117</v>
      </c>
      <c r="C1729" s="927" t="s">
        <v>2118</v>
      </c>
      <c r="D1729" s="926" t="s">
        <v>2</v>
      </c>
      <c r="E1729" s="926">
        <v>1286.2</v>
      </c>
      <c r="F1729" s="926">
        <v>3</v>
      </c>
      <c r="G1729" s="837">
        <f t="shared" si="88"/>
        <v>3858.6000000000004</v>
      </c>
      <c r="H1729" s="926"/>
      <c r="I1729" s="926"/>
      <c r="J1729" s="926"/>
      <c r="K1729" s="950"/>
      <c r="L1729" s="950"/>
      <c r="M1729" s="950"/>
      <c r="N1729" s="926"/>
      <c r="O1729" s="926"/>
    </row>
    <row r="1730" spans="1:15">
      <c r="A1730" s="837">
        <v>156</v>
      </c>
      <c r="B1730" s="947" t="s">
        <v>2119</v>
      </c>
      <c r="C1730" s="899" t="s">
        <v>2120</v>
      </c>
      <c r="D1730" s="837" t="s">
        <v>2</v>
      </c>
      <c r="E1730" s="841">
        <v>3528.2</v>
      </c>
      <c r="F1730" s="837">
        <v>4</v>
      </c>
      <c r="G1730" s="837">
        <f t="shared" si="88"/>
        <v>14112.8</v>
      </c>
      <c r="H1730" s="837"/>
      <c r="I1730" s="837"/>
      <c r="J1730" s="837"/>
      <c r="K1730" s="839"/>
      <c r="L1730" s="839"/>
      <c r="M1730" s="839"/>
      <c r="N1730" s="837"/>
      <c r="O1730" s="837"/>
    </row>
    <row r="1731" spans="1:15">
      <c r="A1731" s="837"/>
      <c r="B1731" s="948"/>
      <c r="C1731" s="899" t="s">
        <v>2121</v>
      </c>
      <c r="D1731" s="837" t="s">
        <v>2</v>
      </c>
      <c r="E1731" s="841">
        <v>2118.1</v>
      </c>
      <c r="F1731" s="837">
        <f>2-2</f>
        <v>0</v>
      </c>
      <c r="G1731" s="837">
        <f t="shared" si="88"/>
        <v>0</v>
      </c>
      <c r="H1731" s="837"/>
      <c r="I1731" s="837"/>
      <c r="J1731" s="837"/>
      <c r="K1731" s="839"/>
      <c r="L1731" s="839"/>
      <c r="M1731" s="839"/>
      <c r="N1731" s="837"/>
      <c r="O1731" s="837"/>
    </row>
    <row r="1732" spans="1:15">
      <c r="A1732" s="837"/>
      <c r="B1732" s="947" t="s">
        <v>2122</v>
      </c>
      <c r="C1732" s="899" t="s">
        <v>2123</v>
      </c>
      <c r="D1732" s="837" t="s">
        <v>2</v>
      </c>
      <c r="E1732" s="841">
        <v>17641</v>
      </c>
      <c r="F1732" s="837">
        <f>2-1</f>
        <v>1</v>
      </c>
      <c r="G1732" s="837">
        <f t="shared" si="88"/>
        <v>17641</v>
      </c>
      <c r="H1732" s="837"/>
      <c r="I1732" s="837"/>
      <c r="J1732" s="837"/>
      <c r="K1732" s="839"/>
      <c r="L1732" s="839"/>
      <c r="M1732" s="839"/>
      <c r="N1732" s="837"/>
      <c r="O1732" s="837"/>
    </row>
    <row r="1733" spans="1:15">
      <c r="A1733" s="837"/>
      <c r="B1733" s="948"/>
      <c r="C1733" s="899" t="s">
        <v>2124</v>
      </c>
      <c r="D1733" s="837" t="s">
        <v>2</v>
      </c>
      <c r="E1733" s="841">
        <v>0</v>
      </c>
      <c r="F1733" s="837">
        <v>0</v>
      </c>
      <c r="G1733" s="837">
        <f t="shared" si="88"/>
        <v>0</v>
      </c>
      <c r="H1733" s="837"/>
      <c r="I1733" s="837"/>
      <c r="J1733" s="837"/>
      <c r="K1733" s="837"/>
      <c r="L1733" s="837"/>
      <c r="M1733" s="837"/>
      <c r="N1733" s="837"/>
      <c r="O1733" s="837"/>
    </row>
    <row r="1734" spans="1:15">
      <c r="A1734" s="837"/>
      <c r="B1734" s="948"/>
      <c r="C1734" s="899" t="s">
        <v>2125</v>
      </c>
      <c r="D1734" s="837" t="s">
        <v>2</v>
      </c>
      <c r="E1734" s="841">
        <v>0</v>
      </c>
      <c r="F1734" s="837">
        <v>0</v>
      </c>
      <c r="G1734" s="837">
        <f t="shared" si="88"/>
        <v>0</v>
      </c>
      <c r="H1734" s="837"/>
      <c r="I1734" s="837"/>
      <c r="J1734" s="837"/>
      <c r="K1734" s="837"/>
      <c r="L1734" s="837"/>
      <c r="M1734" s="837"/>
      <c r="N1734" s="837"/>
      <c r="O1734" s="837"/>
    </row>
    <row r="1735" spans="1:15">
      <c r="A1735" s="837"/>
      <c r="B1735" s="896"/>
      <c r="C1735" s="899"/>
      <c r="D1735" s="837"/>
      <c r="E1735" s="841"/>
      <c r="F1735" s="837"/>
      <c r="G1735" s="837">
        <f t="shared" si="88"/>
        <v>0</v>
      </c>
      <c r="H1735" s="837"/>
      <c r="I1735" s="837"/>
      <c r="J1735" s="837"/>
      <c r="K1735" s="839"/>
      <c r="L1735" s="839"/>
      <c r="M1735" s="839"/>
      <c r="N1735" s="837"/>
      <c r="O1735" s="837"/>
    </row>
    <row r="1736" spans="1:15">
      <c r="A1736" s="837">
        <v>34</v>
      </c>
      <c r="B1736" s="951" t="s">
        <v>2126</v>
      </c>
      <c r="C1736" s="899" t="s">
        <v>2127</v>
      </c>
      <c r="D1736" s="837" t="s">
        <v>9</v>
      </c>
      <c r="E1736" s="841">
        <v>0</v>
      </c>
      <c r="F1736" s="837">
        <v>4</v>
      </c>
      <c r="G1736" s="837">
        <f t="shared" si="88"/>
        <v>0</v>
      </c>
      <c r="H1736" s="837"/>
      <c r="I1736" s="837"/>
      <c r="J1736" s="837"/>
      <c r="K1736" s="839"/>
      <c r="L1736" s="839"/>
      <c r="M1736" s="839"/>
      <c r="N1736" s="837"/>
      <c r="O1736" s="837"/>
    </row>
    <row r="1737" spans="1:15">
      <c r="A1737" s="837">
        <v>35</v>
      </c>
      <c r="B1737" s="951" t="s">
        <v>2128</v>
      </c>
      <c r="C1737" s="899" t="s">
        <v>2129</v>
      </c>
      <c r="D1737" s="837" t="s">
        <v>9</v>
      </c>
      <c r="E1737" s="841">
        <v>0</v>
      </c>
      <c r="F1737" s="837">
        <v>2</v>
      </c>
      <c r="G1737" s="837">
        <f t="shared" si="88"/>
        <v>0</v>
      </c>
      <c r="H1737" s="837"/>
      <c r="I1737" s="837"/>
      <c r="J1737" s="837"/>
      <c r="K1737" s="839"/>
      <c r="L1737" s="839"/>
      <c r="M1737" s="839"/>
      <c r="N1737" s="837"/>
      <c r="O1737" s="837"/>
    </row>
    <row r="1738" spans="1:15">
      <c r="A1738" s="837">
        <v>55</v>
      </c>
      <c r="B1738" s="951" t="s">
        <v>2130</v>
      </c>
      <c r="C1738" s="899" t="s">
        <v>2131</v>
      </c>
      <c r="D1738" s="837" t="s">
        <v>9</v>
      </c>
      <c r="E1738" s="841">
        <v>0</v>
      </c>
      <c r="F1738" s="837">
        <v>2</v>
      </c>
      <c r="G1738" s="837">
        <f t="shared" si="88"/>
        <v>0</v>
      </c>
      <c r="H1738" s="837"/>
      <c r="I1738" s="837"/>
      <c r="J1738" s="837"/>
      <c r="K1738" s="839"/>
      <c r="L1738" s="839"/>
      <c r="M1738" s="839"/>
      <c r="N1738" s="837"/>
      <c r="O1738" s="837"/>
    </row>
    <row r="1739" spans="1:15">
      <c r="A1739" s="837">
        <v>56</v>
      </c>
      <c r="B1739" s="951" t="s">
        <v>2132</v>
      </c>
      <c r="C1739" s="899" t="s">
        <v>2133</v>
      </c>
      <c r="D1739" s="837" t="s">
        <v>9</v>
      </c>
      <c r="E1739" s="841">
        <v>0</v>
      </c>
      <c r="F1739" s="837">
        <v>2</v>
      </c>
      <c r="G1739" s="837">
        <f t="shared" si="88"/>
        <v>0</v>
      </c>
      <c r="H1739" s="837"/>
      <c r="I1739" s="837"/>
      <c r="J1739" s="837"/>
      <c r="K1739" s="839"/>
      <c r="L1739" s="839"/>
      <c r="M1739" s="839"/>
      <c r="N1739" s="837"/>
      <c r="O1739" s="837"/>
    </row>
    <row r="1740" spans="1:15">
      <c r="A1740" s="837">
        <v>57</v>
      </c>
      <c r="B1740" s="951" t="s">
        <v>2134</v>
      </c>
      <c r="C1740" s="899" t="s">
        <v>2135</v>
      </c>
      <c r="D1740" s="837" t="s">
        <v>9</v>
      </c>
      <c r="E1740" s="841">
        <v>0</v>
      </c>
      <c r="F1740" s="837">
        <v>1</v>
      </c>
      <c r="G1740" s="837">
        <f t="shared" si="88"/>
        <v>0</v>
      </c>
      <c r="H1740" s="837"/>
      <c r="I1740" s="837"/>
      <c r="J1740" s="837"/>
      <c r="K1740" s="839"/>
      <c r="L1740" s="839"/>
      <c r="M1740" s="839"/>
      <c r="N1740" s="837"/>
      <c r="O1740" s="837"/>
    </row>
    <row r="1741" spans="1:15" ht="31.5">
      <c r="A1741" s="837">
        <v>94</v>
      </c>
      <c r="B1741" s="951" t="s">
        <v>2136</v>
      </c>
      <c r="C1741" s="903" t="s">
        <v>2137</v>
      </c>
      <c r="D1741" s="837" t="s">
        <v>10</v>
      </c>
      <c r="E1741" s="841">
        <v>0</v>
      </c>
      <c r="F1741" s="837">
        <v>2</v>
      </c>
      <c r="G1741" s="837">
        <f t="shared" si="88"/>
        <v>0</v>
      </c>
      <c r="H1741" s="837"/>
      <c r="I1741" s="837"/>
      <c r="J1741" s="837"/>
      <c r="K1741" s="839"/>
      <c r="L1741" s="839"/>
      <c r="M1741" s="839"/>
      <c r="N1741" s="837"/>
      <c r="O1741" s="837"/>
    </row>
    <row r="1742" spans="1:15">
      <c r="A1742" s="837"/>
      <c r="B1742" s="951" t="s">
        <v>2138</v>
      </c>
      <c r="C1742" s="952" t="s">
        <v>2139</v>
      </c>
      <c r="D1742" s="27" t="s">
        <v>2</v>
      </c>
      <c r="E1742" s="841">
        <v>5894.1</v>
      </c>
      <c r="F1742" s="837">
        <f>6-3</f>
        <v>3</v>
      </c>
      <c r="G1742" s="837">
        <f t="shared" si="88"/>
        <v>17682.300000000003</v>
      </c>
      <c r="H1742" s="837"/>
      <c r="I1742" s="837"/>
      <c r="J1742" s="837"/>
      <c r="K1742" s="839"/>
      <c r="L1742" s="839"/>
      <c r="M1742" s="839"/>
      <c r="N1742" s="837"/>
      <c r="O1742" s="837"/>
    </row>
    <row r="1743" spans="1:15">
      <c r="A1743" s="837">
        <v>118</v>
      </c>
      <c r="B1743" s="951" t="s">
        <v>728</v>
      </c>
      <c r="C1743" s="903" t="s">
        <v>2140</v>
      </c>
      <c r="D1743" s="837" t="s">
        <v>462</v>
      </c>
      <c r="E1743" s="841">
        <v>529.82000000000005</v>
      </c>
      <c r="F1743" s="837">
        <v>0</v>
      </c>
      <c r="G1743" s="837">
        <f t="shared" si="88"/>
        <v>0</v>
      </c>
      <c r="H1743" s="837"/>
      <c r="I1743" s="837"/>
      <c r="J1743" s="837"/>
      <c r="K1743" s="839"/>
      <c r="L1743" s="839"/>
      <c r="M1743" s="839"/>
      <c r="N1743" s="837"/>
      <c r="O1743" s="837"/>
    </row>
    <row r="1744" spans="1:15">
      <c r="A1744" s="837"/>
      <c r="B1744" s="951" t="s">
        <v>2134</v>
      </c>
      <c r="C1744" s="903" t="s">
        <v>2141</v>
      </c>
      <c r="D1744" s="837" t="s">
        <v>2</v>
      </c>
      <c r="E1744" s="841">
        <v>0</v>
      </c>
      <c r="F1744" s="837">
        <v>6</v>
      </c>
      <c r="G1744" s="837">
        <f t="shared" si="88"/>
        <v>0</v>
      </c>
      <c r="H1744" s="837"/>
      <c r="I1744" s="837"/>
      <c r="J1744" s="837"/>
      <c r="K1744" s="839"/>
      <c r="L1744" s="839"/>
      <c r="M1744" s="839"/>
      <c r="N1744" s="837"/>
      <c r="O1744" s="837"/>
    </row>
    <row r="1745" spans="1:15">
      <c r="A1745" s="837">
        <v>169</v>
      </c>
      <c r="B1745" s="951" t="s">
        <v>139</v>
      </c>
      <c r="C1745" s="903" t="s">
        <v>2142</v>
      </c>
      <c r="D1745" s="931" t="s">
        <v>2143</v>
      </c>
      <c r="E1745" s="841">
        <v>73.16</v>
      </c>
      <c r="F1745" s="910">
        <f>18342-836-500-20-1881-1254-627-1254-2299-418-10-3135-50-836-209-627-418-650-30-50-440-418-418-20-418-50-30-418-300-210-80-300-136</f>
        <v>0</v>
      </c>
      <c r="G1745" s="837">
        <f t="shared" si="88"/>
        <v>0</v>
      </c>
      <c r="H1745" s="937"/>
      <c r="I1745" s="937"/>
      <c r="J1745" s="937"/>
      <c r="K1745" s="938"/>
      <c r="L1745" s="938"/>
      <c r="M1745" s="938"/>
      <c r="N1745" s="937"/>
      <c r="O1745" s="937"/>
    </row>
    <row r="1746" spans="1:15">
      <c r="A1746" s="837">
        <v>173</v>
      </c>
      <c r="B1746" s="951" t="s">
        <v>741</v>
      </c>
      <c r="C1746" s="903" t="s">
        <v>2144</v>
      </c>
      <c r="D1746" s="931" t="s">
        <v>2</v>
      </c>
      <c r="E1746" s="841">
        <v>13847</v>
      </c>
      <c r="F1746" s="910">
        <f>3-2</f>
        <v>1</v>
      </c>
      <c r="G1746" s="837">
        <f t="shared" si="88"/>
        <v>13847</v>
      </c>
      <c r="H1746" s="937"/>
      <c r="I1746" s="937"/>
      <c r="J1746" s="937"/>
      <c r="K1746" s="938"/>
      <c r="L1746" s="938"/>
      <c r="M1746" s="938"/>
      <c r="N1746" s="937"/>
      <c r="O1746" s="937"/>
    </row>
    <row r="1747" spans="1:15">
      <c r="A1747" s="837">
        <v>174</v>
      </c>
      <c r="B1747" s="951" t="s">
        <v>2145</v>
      </c>
      <c r="C1747" s="903" t="s">
        <v>2146</v>
      </c>
      <c r="D1747" s="931" t="s">
        <v>2</v>
      </c>
      <c r="E1747" s="841">
        <v>10442</v>
      </c>
      <c r="F1747" s="910">
        <f>4-2</f>
        <v>2</v>
      </c>
      <c r="G1747" s="837">
        <f t="shared" si="88"/>
        <v>20884</v>
      </c>
      <c r="H1747" s="937"/>
      <c r="I1747" s="937"/>
      <c r="J1747" s="937"/>
      <c r="K1747" s="938"/>
      <c r="L1747" s="938"/>
      <c r="M1747" s="938"/>
      <c r="N1747" s="937"/>
      <c r="O1747" s="937"/>
    </row>
    <row r="1748" spans="1:15">
      <c r="A1748" s="837">
        <v>175</v>
      </c>
      <c r="B1748" s="951" t="s">
        <v>738</v>
      </c>
      <c r="C1748" s="903" t="s">
        <v>2147</v>
      </c>
      <c r="D1748" s="931" t="s">
        <v>2</v>
      </c>
      <c r="E1748" s="841">
        <v>250</v>
      </c>
      <c r="F1748" s="910">
        <f>324-75+796-210-411-100</f>
        <v>324</v>
      </c>
      <c r="G1748" s="837">
        <f t="shared" si="88"/>
        <v>81000</v>
      </c>
      <c r="H1748" s="937"/>
      <c r="I1748" s="937"/>
      <c r="J1748" s="937"/>
      <c r="K1748" s="938"/>
      <c r="L1748" s="938"/>
      <c r="M1748" s="938"/>
      <c r="N1748" s="937"/>
      <c r="O1748" s="937"/>
    </row>
    <row r="1749" spans="1:15">
      <c r="A1749" s="837"/>
      <c r="B1749" s="953"/>
      <c r="C1749" s="899" t="s">
        <v>2148</v>
      </c>
      <c r="D1749" s="931" t="s">
        <v>2</v>
      </c>
      <c r="E1749" s="841">
        <v>0</v>
      </c>
      <c r="F1749" s="910">
        <v>1</v>
      </c>
      <c r="G1749" s="837">
        <f t="shared" si="88"/>
        <v>0</v>
      </c>
      <c r="H1749" s="937"/>
      <c r="I1749" s="937"/>
      <c r="J1749" s="937"/>
      <c r="K1749" s="938"/>
      <c r="L1749" s="938"/>
      <c r="M1749" s="938"/>
      <c r="N1749" s="937"/>
      <c r="O1749" s="937"/>
    </row>
    <row r="1750" spans="1:15">
      <c r="A1750" s="837"/>
      <c r="B1750" s="953"/>
      <c r="C1750" s="899" t="s">
        <v>2149</v>
      </c>
      <c r="D1750" s="931" t="s">
        <v>2</v>
      </c>
      <c r="E1750" s="841">
        <v>0</v>
      </c>
      <c r="F1750" s="910">
        <v>2</v>
      </c>
      <c r="G1750" s="837">
        <f t="shared" si="88"/>
        <v>0</v>
      </c>
      <c r="H1750" s="937"/>
      <c r="I1750" s="937"/>
      <c r="J1750" s="937"/>
      <c r="K1750" s="938"/>
      <c r="L1750" s="938"/>
      <c r="M1750" s="938"/>
      <c r="N1750" s="937"/>
      <c r="O1750" s="937"/>
    </row>
    <row r="1751" spans="1:15">
      <c r="A1751" s="837"/>
      <c r="B1751" s="951" t="s">
        <v>2150</v>
      </c>
      <c r="C1751" s="899" t="s">
        <v>2151</v>
      </c>
      <c r="D1751" s="931" t="s">
        <v>2</v>
      </c>
      <c r="E1751" s="841">
        <v>0</v>
      </c>
      <c r="F1751" s="910">
        <v>2</v>
      </c>
      <c r="G1751" s="837">
        <f t="shared" si="88"/>
        <v>0</v>
      </c>
      <c r="H1751" s="937"/>
      <c r="I1751" s="937"/>
      <c r="J1751" s="937"/>
      <c r="K1751" s="938"/>
      <c r="L1751" s="938"/>
      <c r="M1751" s="938"/>
      <c r="N1751" s="937"/>
      <c r="O1751" s="937"/>
    </row>
    <row r="1752" spans="1:15">
      <c r="A1752" s="837"/>
      <c r="B1752" s="951"/>
      <c r="C1752" s="899" t="s">
        <v>2152</v>
      </c>
      <c r="D1752" s="931" t="s">
        <v>2</v>
      </c>
      <c r="E1752" s="841">
        <v>0</v>
      </c>
      <c r="F1752" s="910">
        <v>2</v>
      </c>
      <c r="G1752" s="837">
        <f t="shared" si="88"/>
        <v>0</v>
      </c>
      <c r="H1752" s="937"/>
      <c r="I1752" s="937"/>
      <c r="J1752" s="937"/>
      <c r="K1752" s="938"/>
      <c r="L1752" s="938"/>
      <c r="M1752" s="938"/>
      <c r="N1752" s="937"/>
      <c r="O1752" s="937"/>
    </row>
    <row r="1753" spans="1:15">
      <c r="A1753" s="837"/>
      <c r="B1753" s="951"/>
      <c r="C1753" s="899" t="s">
        <v>2153</v>
      </c>
      <c r="D1753" s="931" t="s">
        <v>2</v>
      </c>
      <c r="E1753" s="841">
        <v>0</v>
      </c>
      <c r="F1753" s="910">
        <v>2</v>
      </c>
      <c r="G1753" s="837">
        <f t="shared" si="88"/>
        <v>0</v>
      </c>
      <c r="H1753" s="937"/>
      <c r="I1753" s="937"/>
      <c r="J1753" s="937"/>
      <c r="K1753" s="938"/>
      <c r="L1753" s="938"/>
      <c r="M1753" s="938"/>
      <c r="N1753" s="937"/>
      <c r="O1753" s="937"/>
    </row>
    <row r="1754" spans="1:15">
      <c r="A1754" s="837"/>
      <c r="B1754" s="953"/>
      <c r="C1754" s="899" t="s">
        <v>2154</v>
      </c>
      <c r="D1754" s="931" t="s">
        <v>2</v>
      </c>
      <c r="E1754" s="841">
        <v>0</v>
      </c>
      <c r="F1754" s="910">
        <v>1</v>
      </c>
      <c r="G1754" s="837">
        <f t="shared" si="88"/>
        <v>0</v>
      </c>
      <c r="H1754" s="937"/>
      <c r="I1754" s="937"/>
      <c r="J1754" s="937"/>
      <c r="K1754" s="938"/>
      <c r="L1754" s="938"/>
      <c r="M1754" s="938"/>
      <c r="N1754" s="937"/>
      <c r="O1754" s="937"/>
    </row>
    <row r="1755" spans="1:15">
      <c r="A1755" s="837"/>
      <c r="B1755" s="951" t="s">
        <v>672</v>
      </c>
      <c r="C1755" s="899" t="s">
        <v>2155</v>
      </c>
      <c r="D1755" s="931" t="s">
        <v>2</v>
      </c>
      <c r="E1755" s="841">
        <v>0</v>
      </c>
      <c r="F1755" s="910">
        <v>2</v>
      </c>
      <c r="G1755" s="837">
        <f t="shared" si="88"/>
        <v>0</v>
      </c>
      <c r="H1755" s="937"/>
      <c r="I1755" s="937"/>
      <c r="J1755" s="937"/>
      <c r="K1755" s="938"/>
      <c r="L1755" s="938"/>
      <c r="M1755" s="938"/>
      <c r="N1755" s="937"/>
      <c r="O1755" s="937"/>
    </row>
    <row r="1756" spans="1:15">
      <c r="A1756" s="837"/>
      <c r="B1756" s="953"/>
      <c r="C1756" s="899" t="s">
        <v>2156</v>
      </c>
      <c r="D1756" s="931" t="s">
        <v>2</v>
      </c>
      <c r="E1756" s="841">
        <v>0</v>
      </c>
      <c r="F1756" s="910">
        <v>2</v>
      </c>
      <c r="G1756" s="837">
        <f t="shared" si="88"/>
        <v>0</v>
      </c>
      <c r="H1756" s="937"/>
      <c r="I1756" s="937"/>
      <c r="J1756" s="937"/>
      <c r="K1756" s="938"/>
      <c r="L1756" s="938"/>
      <c r="M1756" s="938"/>
      <c r="N1756" s="937"/>
      <c r="O1756" s="937"/>
    </row>
    <row r="1757" spans="1:15">
      <c r="A1757" s="837"/>
      <c r="B1757" s="953"/>
      <c r="C1757" s="899" t="s">
        <v>2157</v>
      </c>
      <c r="D1757" s="931" t="s">
        <v>2</v>
      </c>
      <c r="E1757" s="841">
        <v>0</v>
      </c>
      <c r="F1757" s="910">
        <v>2</v>
      </c>
      <c r="G1757" s="837">
        <f t="shared" si="88"/>
        <v>0</v>
      </c>
      <c r="H1757" s="937"/>
      <c r="I1757" s="937"/>
      <c r="J1757" s="937"/>
      <c r="K1757" s="938"/>
      <c r="L1757" s="938"/>
      <c r="M1757" s="938"/>
      <c r="N1757" s="937"/>
      <c r="O1757" s="937"/>
    </row>
    <row r="1758" spans="1:15">
      <c r="A1758" s="837"/>
      <c r="B1758" s="951" t="s">
        <v>2158</v>
      </c>
      <c r="C1758" s="902" t="s">
        <v>2159</v>
      </c>
      <c r="D1758" s="931" t="s">
        <v>2</v>
      </c>
      <c r="E1758" s="841">
        <v>2360</v>
      </c>
      <c r="F1758" s="910">
        <f>4-2-1</f>
        <v>1</v>
      </c>
      <c r="G1758" s="837">
        <f t="shared" si="88"/>
        <v>2360</v>
      </c>
      <c r="H1758" s="937"/>
      <c r="I1758" s="937"/>
      <c r="J1758" s="937"/>
      <c r="K1758" s="938"/>
      <c r="L1758" s="938"/>
      <c r="M1758" s="938"/>
      <c r="N1758" s="937"/>
      <c r="O1758" s="937"/>
    </row>
    <row r="1759" spans="1:15">
      <c r="A1759" s="837"/>
      <c r="B1759" s="951"/>
      <c r="C1759" s="899" t="s">
        <v>2160</v>
      </c>
      <c r="D1759" s="931" t="s">
        <v>2</v>
      </c>
      <c r="E1759" s="841">
        <v>2590.1</v>
      </c>
      <c r="F1759" s="910">
        <v>2</v>
      </c>
      <c r="G1759" s="837">
        <f t="shared" si="88"/>
        <v>5180.2</v>
      </c>
      <c r="H1759" s="937"/>
      <c r="I1759" s="937"/>
      <c r="J1759" s="937"/>
      <c r="K1759" s="938"/>
      <c r="L1759" s="938"/>
      <c r="M1759" s="938"/>
      <c r="N1759" s="937"/>
      <c r="O1759" s="937"/>
    </row>
    <row r="1760" spans="1:15">
      <c r="A1760" s="837"/>
      <c r="B1760" s="953"/>
      <c r="C1760" s="899" t="s">
        <v>2161</v>
      </c>
      <c r="D1760" s="931" t="s">
        <v>2</v>
      </c>
      <c r="E1760" s="841">
        <v>3534.1</v>
      </c>
      <c r="F1760" s="910">
        <v>6</v>
      </c>
      <c r="G1760" s="837">
        <f t="shared" si="88"/>
        <v>21204.6</v>
      </c>
      <c r="H1760" s="937"/>
      <c r="I1760" s="937"/>
      <c r="J1760" s="937"/>
      <c r="K1760" s="938"/>
      <c r="L1760" s="938"/>
      <c r="M1760" s="938"/>
      <c r="N1760" s="937"/>
      <c r="O1760" s="937"/>
    </row>
    <row r="1761" spans="1:15">
      <c r="A1761" s="837"/>
      <c r="B1761" s="953"/>
      <c r="C1761" s="899" t="s">
        <v>2162</v>
      </c>
      <c r="D1761" s="931" t="s">
        <v>2</v>
      </c>
      <c r="E1761" s="841">
        <v>2354.1</v>
      </c>
      <c r="F1761" s="910">
        <v>4</v>
      </c>
      <c r="G1761" s="837">
        <f t="shared" si="88"/>
        <v>9416.4</v>
      </c>
      <c r="H1761" s="937"/>
      <c r="I1761" s="937"/>
      <c r="J1761" s="937"/>
      <c r="K1761" s="938"/>
      <c r="L1761" s="938"/>
      <c r="M1761" s="938"/>
      <c r="N1761" s="937"/>
      <c r="O1761" s="937"/>
    </row>
    <row r="1762" spans="1:15">
      <c r="A1762" s="837"/>
      <c r="B1762" s="953"/>
      <c r="C1762" s="899" t="s">
        <v>2163</v>
      </c>
      <c r="D1762" s="931" t="s">
        <v>2</v>
      </c>
      <c r="E1762" s="841">
        <v>3534.1</v>
      </c>
      <c r="F1762" s="910">
        <f>4-1</f>
        <v>3</v>
      </c>
      <c r="G1762" s="837">
        <f t="shared" ref="G1762:G1778" si="89">E1762*F1762</f>
        <v>10602.3</v>
      </c>
      <c r="H1762" s="937"/>
      <c r="I1762" s="937"/>
      <c r="J1762" s="937"/>
      <c r="K1762" s="938"/>
      <c r="L1762" s="938"/>
      <c r="M1762" s="938"/>
      <c r="N1762" s="937"/>
      <c r="O1762" s="937"/>
    </row>
    <row r="1763" spans="1:15" ht="31.5">
      <c r="A1763" s="837">
        <v>183</v>
      </c>
      <c r="B1763" s="954" t="s">
        <v>724</v>
      </c>
      <c r="C1763" s="899" t="s">
        <v>2164</v>
      </c>
      <c r="D1763" s="931" t="s">
        <v>2</v>
      </c>
      <c r="E1763" s="841">
        <v>200</v>
      </c>
      <c r="F1763" s="910">
        <v>0</v>
      </c>
      <c r="G1763" s="837">
        <f t="shared" si="89"/>
        <v>0</v>
      </c>
      <c r="H1763" s="937"/>
      <c r="I1763" s="937"/>
      <c r="J1763" s="937"/>
      <c r="K1763" s="938"/>
      <c r="L1763" s="938">
        <v>1</v>
      </c>
      <c r="M1763" s="839">
        <f>L1763*E1763</f>
        <v>200</v>
      </c>
      <c r="N1763" s="937"/>
      <c r="O1763" s="937"/>
    </row>
    <row r="1764" spans="1:15">
      <c r="A1764" s="917">
        <v>187</v>
      </c>
      <c r="B1764" s="955" t="s">
        <v>726</v>
      </c>
      <c r="C1764" s="919" t="s">
        <v>2165</v>
      </c>
      <c r="D1764" s="837" t="s">
        <v>2</v>
      </c>
      <c r="E1764" s="841">
        <v>39441</v>
      </c>
      <c r="F1764" s="837">
        <v>1</v>
      </c>
      <c r="G1764" s="837">
        <f t="shared" si="89"/>
        <v>39441</v>
      </c>
      <c r="H1764" s="837"/>
      <c r="I1764" s="837"/>
      <c r="J1764" s="837"/>
      <c r="K1764" s="839"/>
      <c r="L1764" s="839"/>
      <c r="M1764" s="839"/>
      <c r="N1764" s="837"/>
      <c r="O1764" s="837"/>
    </row>
    <row r="1765" spans="1:15">
      <c r="A1765" s="920"/>
      <c r="B1765" s="956"/>
      <c r="C1765" s="922"/>
      <c r="D1765" s="837" t="s">
        <v>2</v>
      </c>
      <c r="E1765" s="841">
        <v>67024</v>
      </c>
      <c r="F1765" s="837">
        <v>1</v>
      </c>
      <c r="G1765" s="837">
        <f t="shared" si="89"/>
        <v>67024</v>
      </c>
      <c r="H1765" s="837"/>
      <c r="I1765" s="837"/>
      <c r="J1765" s="837"/>
      <c r="K1765" s="839"/>
      <c r="L1765" s="839"/>
      <c r="M1765" s="839"/>
      <c r="N1765" s="837"/>
      <c r="O1765" s="837"/>
    </row>
    <row r="1766" spans="1:15">
      <c r="A1766" s="837">
        <v>192</v>
      </c>
      <c r="B1766" s="954" t="s">
        <v>2166</v>
      </c>
      <c r="C1766" s="899" t="s">
        <v>2167</v>
      </c>
      <c r="D1766" s="931" t="s">
        <v>9</v>
      </c>
      <c r="E1766" s="841">
        <v>0</v>
      </c>
      <c r="F1766" s="837">
        <v>3</v>
      </c>
      <c r="G1766" s="837">
        <f t="shared" si="89"/>
        <v>0</v>
      </c>
      <c r="H1766" s="837"/>
      <c r="I1766" s="837"/>
      <c r="J1766" s="837"/>
      <c r="K1766" s="839"/>
      <c r="L1766" s="839"/>
      <c r="M1766" s="839"/>
      <c r="N1766" s="837"/>
      <c r="O1766" s="837"/>
    </row>
    <row r="1767" spans="1:15">
      <c r="A1767" s="837">
        <v>194</v>
      </c>
      <c r="B1767" s="954" t="s">
        <v>1188</v>
      </c>
      <c r="C1767" s="899" t="s">
        <v>2168</v>
      </c>
      <c r="D1767" s="931" t="s">
        <v>9</v>
      </c>
      <c r="E1767" s="841">
        <v>0</v>
      </c>
      <c r="F1767" s="931">
        <v>4</v>
      </c>
      <c r="G1767" s="837">
        <f t="shared" si="89"/>
        <v>0</v>
      </c>
      <c r="H1767" s="837"/>
      <c r="I1767" s="837"/>
      <c r="J1767" s="837"/>
      <c r="K1767" s="839"/>
      <c r="L1767" s="839"/>
      <c r="M1767" s="839"/>
      <c r="N1767" s="837"/>
      <c r="O1767" s="837"/>
    </row>
    <row r="1768" spans="1:15" ht="31.5">
      <c r="A1768" s="837">
        <v>212</v>
      </c>
      <c r="B1768" s="954" t="s">
        <v>2169</v>
      </c>
      <c r="C1768" s="899" t="s">
        <v>2170</v>
      </c>
      <c r="D1768" s="931" t="s">
        <v>9</v>
      </c>
      <c r="E1768" s="841">
        <v>24662</v>
      </c>
      <c r="F1768" s="931">
        <v>2</v>
      </c>
      <c r="G1768" s="837">
        <f t="shared" si="89"/>
        <v>49324</v>
      </c>
      <c r="H1768" s="837"/>
      <c r="I1768" s="837"/>
      <c r="J1768" s="837"/>
      <c r="K1768" s="839"/>
      <c r="L1768" s="839"/>
      <c r="M1768" s="839"/>
      <c r="N1768" s="837"/>
      <c r="O1768" s="837"/>
    </row>
    <row r="1769" spans="1:15" ht="31.5">
      <c r="A1769" s="837">
        <v>264</v>
      </c>
      <c r="B1769" s="954" t="s">
        <v>2171</v>
      </c>
      <c r="C1769" s="899" t="s">
        <v>2172</v>
      </c>
      <c r="D1769" s="931" t="s">
        <v>9</v>
      </c>
      <c r="E1769" s="841">
        <v>281075</v>
      </c>
      <c r="F1769" s="931">
        <v>3</v>
      </c>
      <c r="G1769" s="837">
        <f t="shared" si="89"/>
        <v>843225</v>
      </c>
      <c r="H1769" s="837"/>
      <c r="I1769" s="837"/>
      <c r="J1769" s="837"/>
      <c r="K1769" s="839"/>
      <c r="L1769" s="839"/>
      <c r="M1769" s="839"/>
      <c r="N1769" s="837"/>
      <c r="O1769" s="837"/>
    </row>
    <row r="1770" spans="1:15" ht="31.5">
      <c r="A1770" s="837">
        <v>264</v>
      </c>
      <c r="B1770" s="954" t="s">
        <v>2171</v>
      </c>
      <c r="C1770" s="899" t="s">
        <v>2172</v>
      </c>
      <c r="D1770" s="931" t="s">
        <v>9</v>
      </c>
      <c r="E1770" s="841">
        <v>1000</v>
      </c>
      <c r="F1770" s="931">
        <v>1</v>
      </c>
      <c r="G1770" s="837">
        <f t="shared" si="89"/>
        <v>1000</v>
      </c>
      <c r="H1770" s="837"/>
      <c r="I1770" s="837"/>
      <c r="J1770" s="837"/>
      <c r="K1770" s="839"/>
      <c r="L1770" s="839">
        <f>1+1-1</f>
        <v>1</v>
      </c>
      <c r="M1770" s="839">
        <f>L1770*E1770</f>
        <v>1000</v>
      </c>
      <c r="N1770" s="837"/>
      <c r="O1770" s="837"/>
    </row>
    <row r="1771" spans="1:15" ht="31.5">
      <c r="A1771" s="837"/>
      <c r="B1771" s="954"/>
      <c r="C1771" s="899" t="s">
        <v>2173</v>
      </c>
      <c r="D1771" s="931" t="s">
        <v>9</v>
      </c>
      <c r="E1771" s="841">
        <v>430700</v>
      </c>
      <c r="F1771" s="931">
        <v>1</v>
      </c>
      <c r="G1771" s="837">
        <f t="shared" si="89"/>
        <v>430700</v>
      </c>
      <c r="H1771" s="837"/>
      <c r="I1771" s="837"/>
      <c r="J1771" s="837"/>
      <c r="K1771" s="839"/>
      <c r="L1771" s="839"/>
      <c r="M1771" s="839"/>
      <c r="N1771" s="837"/>
      <c r="O1771" s="837"/>
    </row>
    <row r="1772" spans="1:15" ht="31.5">
      <c r="A1772" s="837">
        <v>269</v>
      </c>
      <c r="B1772" s="954" t="s">
        <v>2174</v>
      </c>
      <c r="C1772" s="899" t="s">
        <v>2175</v>
      </c>
      <c r="D1772" s="931" t="s">
        <v>9</v>
      </c>
      <c r="E1772" s="841">
        <v>354000</v>
      </c>
      <c r="F1772" s="931">
        <v>2</v>
      </c>
      <c r="G1772" s="837">
        <f t="shared" si="89"/>
        <v>708000</v>
      </c>
      <c r="H1772" s="837"/>
      <c r="I1772" s="837"/>
      <c r="J1772" s="837"/>
      <c r="K1772" s="839"/>
      <c r="L1772" s="839"/>
      <c r="M1772" s="839"/>
      <c r="N1772" s="837"/>
      <c r="O1772" s="837"/>
    </row>
    <row r="1773" spans="1:15" ht="31.5">
      <c r="A1773" s="837"/>
      <c r="B1773" s="954"/>
      <c r="C1773" s="899" t="s">
        <v>2176</v>
      </c>
      <c r="D1773" s="931" t="s">
        <v>9</v>
      </c>
      <c r="E1773" s="841">
        <v>354000</v>
      </c>
      <c r="F1773" s="931">
        <f>2-1</f>
        <v>1</v>
      </c>
      <c r="G1773" s="837">
        <f t="shared" si="89"/>
        <v>354000</v>
      </c>
      <c r="H1773" s="837"/>
      <c r="I1773" s="837"/>
      <c r="J1773" s="837"/>
      <c r="K1773" s="839"/>
      <c r="L1773" s="839"/>
      <c r="M1773" s="839"/>
      <c r="N1773" s="837"/>
      <c r="O1773" s="837"/>
    </row>
    <row r="1774" spans="1:15" ht="31.5">
      <c r="A1774" s="837"/>
      <c r="B1774" s="954"/>
      <c r="C1774" s="899" t="s">
        <v>2177</v>
      </c>
      <c r="D1774" s="931" t="s">
        <v>2</v>
      </c>
      <c r="E1774" s="841">
        <v>224200</v>
      </c>
      <c r="F1774" s="931">
        <v>1</v>
      </c>
      <c r="G1774" s="837">
        <f t="shared" si="89"/>
        <v>224200</v>
      </c>
      <c r="H1774" s="837"/>
      <c r="I1774" s="837"/>
      <c r="J1774" s="837"/>
      <c r="K1774" s="839"/>
      <c r="L1774" s="839"/>
      <c r="M1774" s="839"/>
      <c r="N1774" s="837"/>
      <c r="O1774" s="837"/>
    </row>
    <row r="1775" spans="1:15" ht="31.5">
      <c r="A1775" s="837"/>
      <c r="B1775" s="954"/>
      <c r="C1775" s="899" t="s">
        <v>2178</v>
      </c>
      <c r="D1775" s="931" t="s">
        <v>2</v>
      </c>
      <c r="E1775" s="841">
        <v>194700</v>
      </c>
      <c r="F1775" s="931">
        <v>1</v>
      </c>
      <c r="G1775" s="837">
        <f t="shared" si="89"/>
        <v>194700</v>
      </c>
      <c r="H1775" s="837"/>
      <c r="I1775" s="837"/>
      <c r="J1775" s="837"/>
      <c r="K1775" s="839"/>
      <c r="L1775" s="839"/>
      <c r="M1775" s="839"/>
      <c r="N1775" s="837"/>
      <c r="O1775" s="837"/>
    </row>
    <row r="1776" spans="1:15" ht="31.5">
      <c r="A1776" s="837">
        <v>270</v>
      </c>
      <c r="B1776" s="954" t="s">
        <v>832</v>
      </c>
      <c r="C1776" s="899" t="s">
        <v>1497</v>
      </c>
      <c r="D1776" s="931" t="s">
        <v>9</v>
      </c>
      <c r="E1776" s="841">
        <v>325518</v>
      </c>
      <c r="F1776" s="931">
        <f>2-1</f>
        <v>1</v>
      </c>
      <c r="G1776" s="837">
        <f t="shared" si="89"/>
        <v>325518</v>
      </c>
      <c r="H1776" s="837"/>
      <c r="I1776" s="837"/>
      <c r="J1776" s="837"/>
      <c r="K1776" s="839"/>
      <c r="L1776" s="839"/>
      <c r="M1776" s="839"/>
      <c r="N1776" s="837"/>
      <c r="O1776" s="837"/>
    </row>
    <row r="1777" spans="1:15" ht="31.5">
      <c r="A1777" s="837">
        <v>270</v>
      </c>
      <c r="B1777" s="954" t="s">
        <v>832</v>
      </c>
      <c r="C1777" s="899" t="s">
        <v>1497</v>
      </c>
      <c r="D1777" s="931" t="s">
        <v>2</v>
      </c>
      <c r="E1777" s="841">
        <v>1000</v>
      </c>
      <c r="F1777" s="910">
        <v>2</v>
      </c>
      <c r="G1777" s="837">
        <f t="shared" si="89"/>
        <v>2000</v>
      </c>
      <c r="H1777" s="910"/>
      <c r="I1777" s="837"/>
      <c r="J1777" s="910"/>
      <c r="K1777" s="911"/>
      <c r="L1777" s="911"/>
      <c r="M1777" s="911"/>
      <c r="N1777" s="910"/>
      <c r="O1777" s="910"/>
    </row>
    <row r="1778" spans="1:15" ht="31.5">
      <c r="A1778" s="837">
        <v>271</v>
      </c>
      <c r="B1778" s="954" t="s">
        <v>832</v>
      </c>
      <c r="C1778" s="899" t="s">
        <v>2179</v>
      </c>
      <c r="D1778" s="931" t="s">
        <v>9</v>
      </c>
      <c r="E1778" s="841">
        <v>182900</v>
      </c>
      <c r="F1778" s="931">
        <v>1</v>
      </c>
      <c r="G1778" s="837">
        <f t="shared" si="89"/>
        <v>182900</v>
      </c>
      <c r="H1778" s="837"/>
      <c r="I1778" s="837"/>
      <c r="J1778" s="837"/>
      <c r="K1778" s="839"/>
      <c r="L1778" s="839"/>
      <c r="M1778" s="839"/>
      <c r="N1778" s="837"/>
      <c r="O1778" s="837"/>
    </row>
    <row r="1779" spans="1:15" ht="31.5">
      <c r="A1779" s="857">
        <v>274</v>
      </c>
      <c r="B1779" s="954" t="s">
        <v>730</v>
      </c>
      <c r="C1779" s="863" t="s">
        <v>2180</v>
      </c>
      <c r="D1779" s="931" t="s">
        <v>9</v>
      </c>
      <c r="E1779" s="841">
        <v>212400</v>
      </c>
      <c r="F1779" s="931">
        <v>1</v>
      </c>
      <c r="G1779" s="837">
        <v>212400</v>
      </c>
      <c r="H1779" s="837"/>
      <c r="I1779" s="837"/>
      <c r="J1779" s="837"/>
      <c r="K1779" s="839"/>
      <c r="L1779" s="839"/>
      <c r="M1779" s="839"/>
      <c r="N1779" s="837"/>
      <c r="O1779" s="837"/>
    </row>
    <row r="1780" spans="1:15" ht="31.5">
      <c r="A1780" s="837">
        <v>281</v>
      </c>
      <c r="B1780" s="954" t="s">
        <v>2181</v>
      </c>
      <c r="C1780" s="899" t="s">
        <v>2182</v>
      </c>
      <c r="D1780" s="931" t="s">
        <v>9</v>
      </c>
      <c r="E1780" s="841">
        <v>64900</v>
      </c>
      <c r="F1780" s="931">
        <v>4</v>
      </c>
      <c r="G1780" s="837">
        <f t="shared" ref="G1780:G1805" si="90">E1780*F1780</f>
        <v>259600</v>
      </c>
      <c r="H1780" s="837"/>
      <c r="I1780" s="837"/>
      <c r="J1780" s="837"/>
      <c r="K1780" s="839"/>
      <c r="L1780" s="839"/>
      <c r="M1780" s="839"/>
      <c r="N1780" s="837"/>
      <c r="O1780" s="837"/>
    </row>
    <row r="1781" spans="1:15">
      <c r="A1781" s="917">
        <v>285</v>
      </c>
      <c r="B1781" s="954" t="s">
        <v>1047</v>
      </c>
      <c r="C1781" s="919" t="s">
        <v>2183</v>
      </c>
      <c r="D1781" s="931" t="s">
        <v>9</v>
      </c>
      <c r="E1781" s="841">
        <v>500</v>
      </c>
      <c r="F1781" s="931">
        <v>0</v>
      </c>
      <c r="G1781" s="837">
        <f t="shared" si="90"/>
        <v>0</v>
      </c>
      <c r="H1781" s="837"/>
      <c r="I1781" s="837"/>
      <c r="J1781" s="837"/>
      <c r="K1781" s="839"/>
      <c r="L1781" s="839">
        <f>15+1+1-15</f>
        <v>2</v>
      </c>
      <c r="M1781" s="839">
        <f>L1781*E1781</f>
        <v>1000</v>
      </c>
      <c r="N1781" s="837"/>
      <c r="O1781" s="837"/>
    </row>
    <row r="1782" spans="1:15">
      <c r="A1782" s="957"/>
      <c r="B1782" s="954" t="s">
        <v>1047</v>
      </c>
      <c r="C1782" s="958"/>
      <c r="D1782" s="931" t="s">
        <v>9</v>
      </c>
      <c r="E1782" s="841">
        <v>47200</v>
      </c>
      <c r="F1782" s="931">
        <f>2-1</f>
        <v>1</v>
      </c>
      <c r="G1782" s="837">
        <f t="shared" si="90"/>
        <v>47200</v>
      </c>
      <c r="H1782" s="837"/>
      <c r="I1782" s="837"/>
      <c r="J1782" s="837"/>
      <c r="K1782" s="839"/>
      <c r="L1782" s="839"/>
      <c r="M1782" s="839"/>
      <c r="N1782" s="837"/>
      <c r="O1782" s="837"/>
    </row>
    <row r="1783" spans="1:15">
      <c r="A1783" s="874">
        <v>288</v>
      </c>
      <c r="B1783" s="959" t="s">
        <v>801</v>
      </c>
      <c r="C1783" s="865" t="s">
        <v>2184</v>
      </c>
      <c r="D1783" s="931" t="s">
        <v>9</v>
      </c>
      <c r="E1783" s="841">
        <v>47200</v>
      </c>
      <c r="F1783" s="931">
        <v>1</v>
      </c>
      <c r="G1783" s="837">
        <f t="shared" si="90"/>
        <v>47200</v>
      </c>
      <c r="H1783" s="837"/>
      <c r="I1783" s="837"/>
      <c r="J1783" s="837"/>
      <c r="K1783" s="839"/>
      <c r="L1783" s="839"/>
      <c r="M1783" s="839"/>
      <c r="N1783" s="837"/>
      <c r="O1783" s="837"/>
    </row>
    <row r="1784" spans="1:15">
      <c r="A1784" s="878"/>
      <c r="B1784" s="959" t="s">
        <v>801</v>
      </c>
      <c r="C1784" s="867"/>
      <c r="D1784" s="931" t="s">
        <v>9</v>
      </c>
      <c r="E1784" s="841">
        <v>52864</v>
      </c>
      <c r="F1784" s="931">
        <v>1</v>
      </c>
      <c r="G1784" s="837">
        <f t="shared" si="90"/>
        <v>52864</v>
      </c>
      <c r="H1784" s="837"/>
      <c r="I1784" s="837"/>
      <c r="J1784" s="837"/>
      <c r="K1784" s="839"/>
      <c r="L1784" s="839"/>
      <c r="M1784" s="839"/>
      <c r="N1784" s="837"/>
      <c r="O1784" s="837"/>
    </row>
    <row r="1785" spans="1:15">
      <c r="A1785" s="945"/>
      <c r="B1785" s="959" t="s">
        <v>801</v>
      </c>
      <c r="C1785" s="869"/>
      <c r="D1785" s="931" t="s">
        <v>9</v>
      </c>
      <c r="E1785" s="841">
        <v>58646</v>
      </c>
      <c r="F1785" s="931">
        <v>2</v>
      </c>
      <c r="G1785" s="837">
        <f t="shared" si="90"/>
        <v>117292</v>
      </c>
      <c r="H1785" s="837"/>
      <c r="I1785" s="837"/>
      <c r="J1785" s="837"/>
      <c r="K1785" s="839"/>
      <c r="L1785" s="839"/>
      <c r="M1785" s="839"/>
      <c r="N1785" s="837"/>
      <c r="O1785" s="837"/>
    </row>
    <row r="1786" spans="1:15" ht="31.5">
      <c r="A1786" s="857"/>
      <c r="B1786" s="953"/>
      <c r="C1786" s="863" t="s">
        <v>2185</v>
      </c>
      <c r="D1786" s="931" t="s">
        <v>2</v>
      </c>
      <c r="E1786" s="841">
        <v>59000</v>
      </c>
      <c r="F1786" s="931">
        <f>2</f>
        <v>2</v>
      </c>
      <c r="G1786" s="837">
        <f t="shared" si="90"/>
        <v>118000</v>
      </c>
      <c r="H1786" s="837"/>
      <c r="I1786" s="837"/>
      <c r="J1786" s="837"/>
      <c r="K1786" s="839"/>
      <c r="L1786" s="839"/>
      <c r="M1786" s="839"/>
      <c r="N1786" s="837"/>
      <c r="O1786" s="837"/>
    </row>
    <row r="1787" spans="1:15" ht="31.5">
      <c r="A1787" s="857"/>
      <c r="B1787" s="953"/>
      <c r="C1787" s="863" t="s">
        <v>2186</v>
      </c>
      <c r="D1787" s="931" t="s">
        <v>2</v>
      </c>
      <c r="E1787" s="841">
        <v>58882</v>
      </c>
      <c r="F1787" s="931">
        <f>2</f>
        <v>2</v>
      </c>
      <c r="G1787" s="837">
        <f t="shared" si="90"/>
        <v>117764</v>
      </c>
      <c r="H1787" s="837"/>
      <c r="I1787" s="837"/>
      <c r="J1787" s="837"/>
      <c r="K1787" s="839"/>
      <c r="L1787" s="839"/>
      <c r="M1787" s="839"/>
      <c r="N1787" s="837"/>
      <c r="O1787" s="837"/>
    </row>
    <row r="1788" spans="1:15">
      <c r="A1788" s="837">
        <v>328</v>
      </c>
      <c r="B1788" s="953" t="s">
        <v>2187</v>
      </c>
      <c r="C1788" s="863" t="s">
        <v>2188</v>
      </c>
      <c r="D1788" s="837" t="s">
        <v>9</v>
      </c>
      <c r="E1788" s="841">
        <v>2944.1</v>
      </c>
      <c r="F1788" s="837">
        <v>10</v>
      </c>
      <c r="G1788" s="837">
        <f t="shared" si="90"/>
        <v>29441</v>
      </c>
      <c r="H1788" s="837"/>
      <c r="I1788" s="837"/>
      <c r="J1788" s="837"/>
      <c r="K1788" s="839"/>
      <c r="L1788" s="839"/>
      <c r="M1788" s="839"/>
      <c r="N1788" s="837"/>
      <c r="O1788" s="837"/>
    </row>
    <row r="1789" spans="1:15">
      <c r="A1789" s="837">
        <v>329</v>
      </c>
      <c r="B1789" s="953" t="s">
        <v>2189</v>
      </c>
      <c r="C1789" s="863" t="s">
        <v>2190</v>
      </c>
      <c r="D1789" s="837" t="s">
        <v>9</v>
      </c>
      <c r="E1789" s="940">
        <v>1115.0999999999999</v>
      </c>
      <c r="F1789" s="857">
        <f>10-3-2-1</f>
        <v>4</v>
      </c>
      <c r="G1789" s="837">
        <f t="shared" si="90"/>
        <v>4460.3999999999996</v>
      </c>
      <c r="H1789" s="857"/>
      <c r="I1789" s="857"/>
      <c r="J1789" s="857"/>
      <c r="K1789" s="857"/>
      <c r="L1789" s="857"/>
      <c r="M1789" s="857"/>
      <c r="N1789" s="857"/>
      <c r="O1789" s="857"/>
    </row>
    <row r="1790" spans="1:15" ht="31.5">
      <c r="A1790" s="857">
        <v>340</v>
      </c>
      <c r="B1790" s="953" t="s">
        <v>2191</v>
      </c>
      <c r="C1790" s="863" t="s">
        <v>2192</v>
      </c>
      <c r="D1790" s="857" t="s">
        <v>2</v>
      </c>
      <c r="E1790" s="857">
        <v>942.82</v>
      </c>
      <c r="F1790" s="857">
        <f>6-3-3</f>
        <v>0</v>
      </c>
      <c r="G1790" s="837">
        <f t="shared" si="90"/>
        <v>0</v>
      </c>
      <c r="H1790" s="857"/>
      <c r="I1790" s="857"/>
      <c r="J1790" s="857"/>
      <c r="K1790" s="857"/>
      <c r="L1790" s="857"/>
      <c r="M1790" s="857"/>
      <c r="N1790" s="857"/>
      <c r="O1790" s="857"/>
    </row>
    <row r="1791" spans="1:15">
      <c r="A1791" s="837"/>
      <c r="B1791" s="953"/>
      <c r="C1791" s="899" t="s">
        <v>2193</v>
      </c>
      <c r="D1791" s="837" t="s">
        <v>2</v>
      </c>
      <c r="E1791" s="841">
        <v>0</v>
      </c>
      <c r="F1791" s="837">
        <v>0</v>
      </c>
      <c r="G1791" s="837">
        <f t="shared" si="90"/>
        <v>0</v>
      </c>
      <c r="H1791" s="837"/>
      <c r="I1791" s="837"/>
      <c r="J1791" s="837"/>
      <c r="K1791" s="839"/>
      <c r="L1791" s="839"/>
      <c r="M1791" s="839"/>
      <c r="N1791" s="837"/>
      <c r="O1791" s="837"/>
    </row>
    <row r="1792" spans="1:15">
      <c r="A1792" s="837"/>
      <c r="B1792" s="953"/>
      <c r="C1792" s="899" t="s">
        <v>2194</v>
      </c>
      <c r="D1792" s="837" t="s">
        <v>2</v>
      </c>
      <c r="E1792" s="841">
        <v>0</v>
      </c>
      <c r="F1792" s="837">
        <v>0</v>
      </c>
      <c r="G1792" s="837">
        <f t="shared" si="90"/>
        <v>0</v>
      </c>
      <c r="H1792" s="837"/>
      <c r="I1792" s="837"/>
      <c r="J1792" s="837"/>
      <c r="K1792" s="839"/>
      <c r="L1792" s="839"/>
      <c r="M1792" s="839"/>
      <c r="N1792" s="837"/>
      <c r="O1792" s="837"/>
    </row>
    <row r="1793" spans="1:15">
      <c r="A1793" s="837"/>
      <c r="B1793" s="953"/>
      <c r="C1793" s="899" t="s">
        <v>2195</v>
      </c>
      <c r="D1793" s="837" t="s">
        <v>9</v>
      </c>
      <c r="E1793" s="841">
        <v>0</v>
      </c>
      <c r="F1793" s="837">
        <v>0</v>
      </c>
      <c r="G1793" s="837">
        <f t="shared" si="90"/>
        <v>0</v>
      </c>
      <c r="H1793" s="837"/>
      <c r="I1793" s="837"/>
      <c r="J1793" s="837"/>
      <c r="K1793" s="839"/>
      <c r="L1793" s="839"/>
      <c r="M1793" s="839"/>
      <c r="N1793" s="837"/>
      <c r="O1793" s="837"/>
    </row>
    <row r="1794" spans="1:15">
      <c r="A1794" s="837"/>
      <c r="B1794" s="953"/>
      <c r="C1794" s="899" t="s">
        <v>2196</v>
      </c>
      <c r="D1794" s="837" t="s">
        <v>2</v>
      </c>
      <c r="E1794" s="841">
        <v>0</v>
      </c>
      <c r="F1794" s="837">
        <v>0</v>
      </c>
      <c r="G1794" s="837">
        <f t="shared" si="90"/>
        <v>0</v>
      </c>
      <c r="H1794" s="837"/>
      <c r="I1794" s="837"/>
      <c r="J1794" s="837"/>
      <c r="K1794" s="839"/>
      <c r="L1794" s="839"/>
      <c r="M1794" s="839"/>
      <c r="N1794" s="837"/>
      <c r="O1794" s="837"/>
    </row>
    <row r="1795" spans="1:15">
      <c r="A1795" s="837"/>
      <c r="B1795" s="953"/>
      <c r="C1795" s="899" t="s">
        <v>2197</v>
      </c>
      <c r="D1795" s="837" t="s">
        <v>2</v>
      </c>
      <c r="E1795" s="841">
        <v>2566</v>
      </c>
      <c r="F1795" s="837">
        <v>12</v>
      </c>
      <c r="G1795" s="837">
        <f t="shared" si="90"/>
        <v>30792</v>
      </c>
      <c r="H1795" s="837"/>
      <c r="I1795" s="837"/>
      <c r="J1795" s="837"/>
      <c r="K1795" s="839"/>
      <c r="L1795" s="839"/>
      <c r="M1795" s="839"/>
      <c r="N1795" s="837"/>
      <c r="O1795" s="837"/>
    </row>
    <row r="1796" spans="1:15">
      <c r="A1796" s="837"/>
      <c r="B1796" s="953"/>
      <c r="C1796" s="899" t="s">
        <v>2198</v>
      </c>
      <c r="D1796" s="837" t="s">
        <v>2</v>
      </c>
      <c r="E1796" s="841">
        <v>0</v>
      </c>
      <c r="F1796" s="837">
        <v>0</v>
      </c>
      <c r="G1796" s="837">
        <f t="shared" si="90"/>
        <v>0</v>
      </c>
      <c r="H1796" s="837"/>
      <c r="I1796" s="837"/>
      <c r="J1796" s="837"/>
      <c r="K1796" s="839"/>
      <c r="L1796" s="839"/>
      <c r="M1796" s="839"/>
      <c r="N1796" s="837"/>
      <c r="O1796" s="837"/>
    </row>
    <row r="1797" spans="1:15">
      <c r="A1797" s="837"/>
      <c r="B1797" s="953"/>
      <c r="C1797" s="899" t="s">
        <v>2199</v>
      </c>
      <c r="D1797" s="837" t="s">
        <v>2</v>
      </c>
      <c r="E1797" s="841">
        <v>2944.1</v>
      </c>
      <c r="F1797" s="837">
        <v>6</v>
      </c>
      <c r="G1797" s="837">
        <f t="shared" si="90"/>
        <v>17664.599999999999</v>
      </c>
      <c r="H1797" s="837"/>
      <c r="I1797" s="837"/>
      <c r="J1797" s="837"/>
      <c r="K1797" s="839"/>
      <c r="L1797" s="839"/>
      <c r="M1797" s="839"/>
      <c r="N1797" s="837"/>
      <c r="O1797" s="837"/>
    </row>
    <row r="1798" spans="1:15" ht="31.5">
      <c r="A1798" s="837">
        <v>387</v>
      </c>
      <c r="B1798" s="959" t="s">
        <v>2200</v>
      </c>
      <c r="C1798" s="899" t="s">
        <v>2201</v>
      </c>
      <c r="D1798" s="837" t="s">
        <v>9</v>
      </c>
      <c r="E1798" s="857">
        <v>354000</v>
      </c>
      <c r="F1798" s="857">
        <f>2-1</f>
        <v>1</v>
      </c>
      <c r="G1798" s="837">
        <f t="shared" si="90"/>
        <v>354000</v>
      </c>
      <c r="H1798" s="837"/>
      <c r="I1798" s="837"/>
      <c r="J1798" s="837"/>
      <c r="K1798" s="839"/>
      <c r="L1798" s="839"/>
      <c r="M1798" s="839"/>
      <c r="N1798" s="837"/>
      <c r="O1798" s="837"/>
    </row>
    <row r="1799" spans="1:15" ht="31.5">
      <c r="A1799" s="837"/>
      <c r="B1799" s="959" t="s">
        <v>2202</v>
      </c>
      <c r="C1799" s="863" t="s">
        <v>2203</v>
      </c>
      <c r="D1799" s="837" t="s">
        <v>9</v>
      </c>
      <c r="E1799" s="857">
        <v>212400</v>
      </c>
      <c r="F1799" s="857">
        <v>1</v>
      </c>
      <c r="G1799" s="837">
        <f t="shared" si="90"/>
        <v>212400</v>
      </c>
      <c r="H1799" s="837"/>
      <c r="I1799" s="837"/>
      <c r="J1799" s="837"/>
      <c r="K1799" s="839"/>
      <c r="L1799" s="839"/>
      <c r="M1799" s="839"/>
      <c r="N1799" s="837"/>
      <c r="O1799" s="837"/>
    </row>
    <row r="1800" spans="1:15" ht="31.5">
      <c r="A1800" s="857">
        <v>388</v>
      </c>
      <c r="B1800" s="959" t="s">
        <v>1076</v>
      </c>
      <c r="C1800" s="863" t="s">
        <v>2204</v>
      </c>
      <c r="D1800" s="837" t="s">
        <v>9</v>
      </c>
      <c r="E1800" s="857">
        <v>212400</v>
      </c>
      <c r="F1800" s="857">
        <v>1</v>
      </c>
      <c r="G1800" s="837">
        <f t="shared" si="90"/>
        <v>212400</v>
      </c>
      <c r="H1800" s="837"/>
      <c r="I1800" s="837"/>
      <c r="J1800" s="837"/>
      <c r="K1800" s="839"/>
      <c r="L1800" s="839"/>
      <c r="M1800" s="839"/>
      <c r="N1800" s="837"/>
      <c r="O1800" s="837"/>
    </row>
    <row r="1801" spans="1:15">
      <c r="A1801" s="917">
        <v>392</v>
      </c>
      <c r="B1801" s="955" t="s">
        <v>809</v>
      </c>
      <c r="C1801" s="919" t="s">
        <v>2205</v>
      </c>
      <c r="D1801" s="931" t="s">
        <v>2</v>
      </c>
      <c r="E1801" s="841">
        <v>52784.800000000003</v>
      </c>
      <c r="F1801" s="931">
        <v>5</v>
      </c>
      <c r="G1801" s="837">
        <f t="shared" si="90"/>
        <v>263924</v>
      </c>
      <c r="H1801" s="910"/>
      <c r="I1801" s="910"/>
      <c r="J1801" s="910"/>
      <c r="K1801" s="911"/>
      <c r="L1801" s="911"/>
      <c r="M1801" s="911"/>
      <c r="N1801" s="910"/>
      <c r="O1801" s="910"/>
    </row>
    <row r="1802" spans="1:15">
      <c r="A1802" s="920"/>
      <c r="B1802" s="956"/>
      <c r="C1802" s="922"/>
      <c r="D1802" s="931" t="s">
        <v>2</v>
      </c>
      <c r="E1802" s="841">
        <v>53153.1</v>
      </c>
      <c r="F1802" s="931">
        <v>7</v>
      </c>
      <c r="G1802" s="837">
        <f t="shared" si="90"/>
        <v>372071.7</v>
      </c>
      <c r="H1802" s="910"/>
      <c r="I1802" s="910"/>
      <c r="J1802" s="910"/>
      <c r="K1802" s="911"/>
      <c r="L1802" s="911"/>
      <c r="M1802" s="911"/>
      <c r="N1802" s="910"/>
      <c r="O1802" s="910"/>
    </row>
    <row r="1803" spans="1:15">
      <c r="A1803" s="837">
        <v>396</v>
      </c>
      <c r="B1803" s="959" t="s">
        <v>2206</v>
      </c>
      <c r="C1803" s="914" t="s">
        <v>2207</v>
      </c>
      <c r="D1803" s="931" t="s">
        <v>2</v>
      </c>
      <c r="E1803" s="841">
        <v>206750</v>
      </c>
      <c r="F1803" s="931">
        <v>1</v>
      </c>
      <c r="G1803" s="837">
        <f t="shared" si="90"/>
        <v>206750</v>
      </c>
      <c r="H1803" s="910"/>
      <c r="I1803" s="910"/>
      <c r="J1803" s="910"/>
      <c r="K1803" s="911"/>
      <c r="L1803" s="911"/>
      <c r="M1803" s="911"/>
      <c r="N1803" s="910"/>
      <c r="O1803" s="910"/>
    </row>
    <row r="1804" spans="1:15">
      <c r="A1804" s="837"/>
      <c r="B1804" s="959" t="s">
        <v>2206</v>
      </c>
      <c r="C1804" s="914"/>
      <c r="D1804" s="931" t="s">
        <v>2</v>
      </c>
      <c r="E1804" s="841">
        <v>1000</v>
      </c>
      <c r="F1804" s="931">
        <f>6-2+3</f>
        <v>7</v>
      </c>
      <c r="G1804" s="837">
        <f t="shared" si="90"/>
        <v>7000</v>
      </c>
      <c r="H1804" s="910"/>
      <c r="I1804" s="910"/>
      <c r="J1804" s="910"/>
      <c r="K1804" s="911"/>
      <c r="L1804" s="911"/>
      <c r="M1804" s="911"/>
      <c r="N1804" s="910"/>
      <c r="O1804" s="910"/>
    </row>
    <row r="1805" spans="1:15">
      <c r="A1805" s="837">
        <v>397</v>
      </c>
      <c r="B1805" s="959" t="s">
        <v>206</v>
      </c>
      <c r="C1805" s="906" t="s">
        <v>2208</v>
      </c>
      <c r="D1805" s="960" t="s">
        <v>2</v>
      </c>
      <c r="E1805" s="961">
        <v>1000</v>
      </c>
      <c r="F1805" s="962">
        <f>6+3</f>
        <v>9</v>
      </c>
      <c r="G1805" s="844">
        <f t="shared" si="90"/>
        <v>9000</v>
      </c>
      <c r="H1805" s="962"/>
      <c r="I1805" s="962"/>
      <c r="J1805" s="962"/>
      <c r="K1805" s="963"/>
      <c r="L1805" s="963"/>
      <c r="M1805" s="963"/>
      <c r="N1805" s="962"/>
      <c r="O1805" s="962"/>
    </row>
    <row r="1806" spans="1:15">
      <c r="A1806" s="837"/>
      <c r="B1806" s="856"/>
      <c r="C1806" s="899"/>
      <c r="D1806" s="931"/>
      <c r="E1806" s="841"/>
      <c r="F1806" s="910"/>
      <c r="G1806" s="910"/>
      <c r="H1806" s="910"/>
      <c r="I1806" s="910"/>
      <c r="J1806" s="910"/>
      <c r="K1806" s="911"/>
      <c r="L1806" s="911"/>
      <c r="M1806" s="911"/>
      <c r="N1806" s="910"/>
      <c r="O1806" s="910"/>
    </row>
    <row r="1807" spans="1:15">
      <c r="A1807" s="837">
        <v>12</v>
      </c>
      <c r="B1807" s="964" t="s">
        <v>2209</v>
      </c>
      <c r="C1807" s="899" t="s">
        <v>2210</v>
      </c>
      <c r="D1807" s="837" t="s">
        <v>2</v>
      </c>
      <c r="E1807" s="855">
        <v>200</v>
      </c>
      <c r="F1807" s="837"/>
      <c r="G1807" s="837"/>
      <c r="H1807" s="837"/>
      <c r="I1807" s="837"/>
      <c r="J1807" s="837"/>
      <c r="K1807" s="839"/>
      <c r="L1807" s="839">
        <f>3+109-3</f>
        <v>109</v>
      </c>
      <c r="M1807" s="839">
        <f>L1807*E1807</f>
        <v>21800</v>
      </c>
      <c r="N1807" s="837"/>
      <c r="O1807" s="837"/>
    </row>
    <row r="1808" spans="1:15">
      <c r="A1808" s="837">
        <v>33</v>
      </c>
      <c r="B1808" s="964" t="s">
        <v>2211</v>
      </c>
      <c r="C1808" s="899" t="s">
        <v>2212</v>
      </c>
      <c r="D1808" s="837" t="s">
        <v>2</v>
      </c>
      <c r="E1808" s="855">
        <v>10000</v>
      </c>
      <c r="F1808" s="837">
        <v>2</v>
      </c>
      <c r="G1808" s="965">
        <f>E1808*F1808</f>
        <v>20000</v>
      </c>
      <c r="H1808" s="837"/>
      <c r="I1808" s="837"/>
      <c r="J1808" s="837"/>
      <c r="K1808" s="839"/>
      <c r="L1808" s="839"/>
      <c r="M1808" s="839"/>
      <c r="N1808" s="837"/>
      <c r="O1808" s="837"/>
    </row>
    <row r="1809" spans="1:15">
      <c r="A1809" s="837"/>
      <c r="B1809" s="896"/>
      <c r="C1809" s="899"/>
      <c r="D1809" s="837"/>
      <c r="E1809" s="855"/>
      <c r="F1809" s="837"/>
      <c r="G1809" s="837"/>
      <c r="H1809" s="837"/>
      <c r="I1809" s="837"/>
      <c r="J1809" s="837"/>
      <c r="K1809" s="839"/>
      <c r="L1809" s="839"/>
      <c r="M1809" s="839"/>
      <c r="N1809" s="837"/>
      <c r="O1809" s="837"/>
    </row>
    <row r="1810" spans="1:15">
      <c r="A1810" s="837">
        <v>1</v>
      </c>
      <c r="B1810" s="966" t="s">
        <v>140</v>
      </c>
      <c r="C1810" s="899" t="s">
        <v>2213</v>
      </c>
      <c r="D1810" s="837" t="s">
        <v>2</v>
      </c>
      <c r="E1810" s="855">
        <v>100</v>
      </c>
      <c r="F1810" s="837">
        <v>8</v>
      </c>
      <c r="G1810" s="837">
        <f>E1810*F1810</f>
        <v>800</v>
      </c>
      <c r="H1810" s="837"/>
      <c r="I1810" s="837"/>
      <c r="J1810" s="837"/>
      <c r="K1810" s="839"/>
      <c r="L1810" s="839"/>
      <c r="M1810" s="839"/>
      <c r="N1810" s="837"/>
      <c r="O1810" s="837"/>
    </row>
    <row r="1811" spans="1:15">
      <c r="A1811" s="967" t="s">
        <v>2214</v>
      </c>
      <c r="B1811" s="968"/>
      <c r="C1811" s="969"/>
      <c r="D1811" s="969"/>
      <c r="E1811" s="970"/>
      <c r="F1811" s="971"/>
      <c r="G1811" s="972">
        <f t="shared" ref="G1811:K1811" si="91">SUM(G1529:G1810)</f>
        <v>12852153.0911</v>
      </c>
      <c r="H1811" s="971"/>
      <c r="I1811" s="972">
        <f t="shared" si="91"/>
        <v>70000</v>
      </c>
      <c r="J1811" s="971"/>
      <c r="K1811" s="972">
        <f t="shared" si="91"/>
        <v>0</v>
      </c>
      <c r="L1811" s="971"/>
      <c r="M1811" s="972">
        <f>SUM(M1529:M1810)</f>
        <v>2904475.2252000002</v>
      </c>
      <c r="N1811" s="971"/>
      <c r="O1811" s="972">
        <f>SUM(O1529:O1810)</f>
        <v>0</v>
      </c>
    </row>
    <row r="1812" spans="1:15">
      <c r="A1812" s="973"/>
      <c r="B1812" s="974"/>
      <c r="C1812" s="975"/>
      <c r="D1812" s="973"/>
      <c r="E1812" s="976"/>
      <c r="F1812" s="973"/>
      <c r="G1812" s="973"/>
      <c r="H1812" s="973"/>
      <c r="I1812" s="973"/>
      <c r="J1812" s="973"/>
      <c r="K1812" s="973"/>
      <c r="L1812" s="973"/>
      <c r="M1812" s="973"/>
      <c r="N1812" s="973"/>
      <c r="O1812" s="973"/>
    </row>
    <row r="1813" spans="1:15">
      <c r="A1813" s="973"/>
      <c r="B1813" s="974"/>
      <c r="C1813" s="975"/>
      <c r="D1813" s="973"/>
      <c r="E1813" s="976"/>
      <c r="F1813" s="973"/>
      <c r="G1813" s="973"/>
      <c r="H1813" s="973"/>
      <c r="I1813" s="973"/>
      <c r="J1813" s="973"/>
      <c r="K1813" s="973"/>
      <c r="L1813" s="973"/>
      <c r="M1813" s="973"/>
      <c r="N1813" s="973"/>
      <c r="O1813" s="973"/>
    </row>
    <row r="1814" spans="1:15">
      <c r="A1814" s="973"/>
      <c r="B1814" s="974"/>
      <c r="C1814" s="975"/>
      <c r="D1814" s="973"/>
      <c r="E1814" s="976"/>
      <c r="F1814" s="973"/>
      <c r="G1814" s="973"/>
      <c r="H1814" s="973"/>
      <c r="I1814" s="973"/>
      <c r="J1814" s="973"/>
      <c r="K1814" s="973"/>
      <c r="L1814" s="973"/>
      <c r="M1814" s="977"/>
      <c r="N1814" s="977"/>
      <c r="O1814" s="978"/>
    </row>
    <row r="1815" spans="1:15">
      <c r="A1815" s="973"/>
      <c r="B1815" s="974"/>
      <c r="C1815" s="975"/>
      <c r="D1815" s="973"/>
      <c r="E1815" s="973"/>
      <c r="F1815" s="973"/>
      <c r="G1815" s="973"/>
      <c r="H1815" s="973"/>
      <c r="I1815" s="973"/>
      <c r="J1815" s="973"/>
      <c r="K1815" s="973"/>
      <c r="L1815" s="973"/>
      <c r="M1815" s="973"/>
      <c r="N1815" s="973"/>
      <c r="O1815" s="973"/>
    </row>
    <row r="1816" spans="1:15">
      <c r="A1816" s="973"/>
      <c r="B1816" s="974"/>
      <c r="C1816" s="975"/>
      <c r="D1816" s="973"/>
      <c r="E1816" s="973"/>
      <c r="F1816" s="973"/>
      <c r="G1816" s="973"/>
      <c r="H1816" s="973"/>
      <c r="I1816" s="973"/>
      <c r="J1816" s="973"/>
      <c r="K1816" s="973"/>
      <c r="L1816" s="973"/>
      <c r="M1816" s="973"/>
      <c r="N1816" s="973"/>
      <c r="O1816" s="973"/>
    </row>
    <row r="1817" spans="1:15">
      <c r="A1817" s="973"/>
      <c r="B1817" s="974"/>
      <c r="C1817" s="975"/>
      <c r="D1817" s="973"/>
      <c r="E1817" s="973"/>
      <c r="F1817" s="973"/>
      <c r="G1817" s="973"/>
      <c r="H1817" s="973"/>
      <c r="I1817" s="973"/>
      <c r="J1817" s="973"/>
      <c r="K1817" s="973"/>
      <c r="L1817" s="973"/>
      <c r="M1817" s="973"/>
      <c r="N1817" s="973"/>
      <c r="O1817" s="973"/>
    </row>
    <row r="1818" spans="1:15">
      <c r="A1818" s="828" t="s">
        <v>1016</v>
      </c>
      <c r="B1818" s="979" t="s">
        <v>262</v>
      </c>
      <c r="C1818" s="828" t="s">
        <v>1017</v>
      </c>
      <c r="D1818" s="818" t="s">
        <v>8</v>
      </c>
      <c r="E1818" s="820" t="s">
        <v>1149</v>
      </c>
      <c r="F1818" s="821" t="s">
        <v>18</v>
      </c>
      <c r="G1818" s="822"/>
      <c r="H1818" s="823" t="s">
        <v>1882</v>
      </c>
      <c r="I1818" s="824"/>
      <c r="J1818" s="821" t="s">
        <v>11</v>
      </c>
      <c r="K1818" s="825"/>
      <c r="L1818" s="826" t="s">
        <v>1</v>
      </c>
      <c r="M1818" s="827"/>
      <c r="N1818" s="828" t="s">
        <v>21</v>
      </c>
      <c r="O1818" s="828"/>
    </row>
    <row r="1819" spans="1:15" ht="47.25">
      <c r="A1819" s="828"/>
      <c r="B1819" s="979"/>
      <c r="C1819" s="828"/>
      <c r="D1819" s="829"/>
      <c r="E1819" s="831"/>
      <c r="F1819" s="832" t="s">
        <v>1156</v>
      </c>
      <c r="G1819" s="833" t="s">
        <v>1157</v>
      </c>
      <c r="H1819" s="832" t="s">
        <v>1156</v>
      </c>
      <c r="I1819" s="833" t="s">
        <v>1157</v>
      </c>
      <c r="J1819" s="832" t="s">
        <v>1156</v>
      </c>
      <c r="K1819" s="833" t="s">
        <v>1157</v>
      </c>
      <c r="L1819" s="832" t="s">
        <v>1156</v>
      </c>
      <c r="M1819" s="833" t="s">
        <v>1157</v>
      </c>
      <c r="N1819" s="832" t="s">
        <v>1156</v>
      </c>
      <c r="O1819" s="833" t="s">
        <v>1157</v>
      </c>
    </row>
    <row r="1820" spans="1:15">
      <c r="A1820" s="980" t="s">
        <v>2215</v>
      </c>
      <c r="B1820" s="981"/>
      <c r="C1820" s="980"/>
      <c r="D1820" s="980"/>
      <c r="E1820" s="980"/>
      <c r="F1820" s="980"/>
      <c r="G1820" s="980"/>
      <c r="H1820" s="980"/>
      <c r="I1820" s="980"/>
      <c r="J1820" s="980"/>
      <c r="K1820" s="982"/>
      <c r="L1820" s="982"/>
      <c r="M1820" s="983"/>
      <c r="N1820" s="984"/>
      <c r="O1820" s="984"/>
    </row>
    <row r="1821" spans="1:15">
      <c r="A1821" s="929">
        <v>1</v>
      </c>
      <c r="B1821" s="985" t="s">
        <v>208</v>
      </c>
      <c r="C1821" s="899" t="s">
        <v>2216</v>
      </c>
      <c r="D1821" s="837" t="s">
        <v>2</v>
      </c>
      <c r="E1821" s="986">
        <v>14057.9</v>
      </c>
      <c r="F1821" s="837">
        <v>8</v>
      </c>
      <c r="G1821" s="837">
        <f t="shared" ref="G1821:G1830" si="92">E1821*F1821</f>
        <v>112463.2</v>
      </c>
      <c r="H1821" s="837"/>
      <c r="I1821" s="837"/>
      <c r="J1821" s="837"/>
      <c r="K1821" s="839"/>
      <c r="L1821" s="839"/>
      <c r="M1821" s="839"/>
      <c r="N1821" s="837"/>
      <c r="O1821" s="837"/>
    </row>
    <row r="1822" spans="1:15">
      <c r="A1822" s="929">
        <v>2</v>
      </c>
      <c r="B1822" s="985" t="s">
        <v>2217</v>
      </c>
      <c r="C1822" s="899" t="s">
        <v>2218</v>
      </c>
      <c r="D1822" s="837" t="s">
        <v>2</v>
      </c>
      <c r="E1822" s="986">
        <v>1250</v>
      </c>
      <c r="F1822" s="837">
        <v>1</v>
      </c>
      <c r="G1822" s="837">
        <f t="shared" si="92"/>
        <v>1250</v>
      </c>
      <c r="H1822" s="837"/>
      <c r="I1822" s="837"/>
      <c r="J1822" s="837"/>
      <c r="K1822" s="839"/>
      <c r="L1822" s="839"/>
      <c r="M1822" s="839"/>
      <c r="N1822" s="837"/>
      <c r="O1822" s="837"/>
    </row>
    <row r="1823" spans="1:15">
      <c r="A1823" s="929"/>
      <c r="B1823" s="985"/>
      <c r="C1823" s="987" t="s">
        <v>2219</v>
      </c>
      <c r="D1823" s="837"/>
      <c r="E1823" s="986"/>
      <c r="F1823" s="837"/>
      <c r="G1823" s="837"/>
      <c r="H1823" s="837"/>
      <c r="I1823" s="837"/>
      <c r="J1823" s="837"/>
      <c r="K1823" s="839"/>
      <c r="L1823" s="839"/>
      <c r="M1823" s="839"/>
      <c r="N1823" s="837"/>
      <c r="O1823" s="837"/>
    </row>
    <row r="1824" spans="1:15">
      <c r="A1824" s="929">
        <v>5</v>
      </c>
      <c r="B1824" s="985" t="s">
        <v>2220</v>
      </c>
      <c r="C1824" s="899" t="s">
        <v>2221</v>
      </c>
      <c r="D1824" s="837" t="s">
        <v>2</v>
      </c>
      <c r="E1824" s="986">
        <v>7665</v>
      </c>
      <c r="F1824" s="837">
        <v>7</v>
      </c>
      <c r="G1824" s="837">
        <f t="shared" si="92"/>
        <v>53655</v>
      </c>
      <c r="H1824" s="837"/>
      <c r="I1824" s="837"/>
      <c r="J1824" s="837"/>
      <c r="K1824" s="839"/>
      <c r="L1824" s="839"/>
      <c r="M1824" s="839"/>
      <c r="N1824" s="837"/>
      <c r="O1824" s="837"/>
    </row>
    <row r="1825" spans="1:15">
      <c r="A1825" s="929">
        <v>7</v>
      </c>
      <c r="B1825" s="985" t="s">
        <v>2222</v>
      </c>
      <c r="C1825" s="899" t="s">
        <v>2223</v>
      </c>
      <c r="D1825" s="837" t="s">
        <v>2</v>
      </c>
      <c r="E1825" s="986">
        <v>4945</v>
      </c>
      <c r="F1825" s="837">
        <v>2</v>
      </c>
      <c r="G1825" s="837">
        <f t="shared" si="92"/>
        <v>9890</v>
      </c>
      <c r="H1825" s="837"/>
      <c r="I1825" s="837"/>
      <c r="J1825" s="837"/>
      <c r="K1825" s="839"/>
      <c r="L1825" s="839"/>
      <c r="M1825" s="839"/>
      <c r="N1825" s="837"/>
      <c r="O1825" s="837"/>
    </row>
    <row r="1826" spans="1:15">
      <c r="A1826" s="929">
        <v>9</v>
      </c>
      <c r="B1826" s="985" t="s">
        <v>2224</v>
      </c>
      <c r="C1826" s="899" t="s">
        <v>1785</v>
      </c>
      <c r="D1826" s="837" t="s">
        <v>2</v>
      </c>
      <c r="E1826" s="986">
        <v>3436.43</v>
      </c>
      <c r="F1826" s="837">
        <v>1</v>
      </c>
      <c r="G1826" s="837">
        <f t="shared" si="92"/>
        <v>3436.43</v>
      </c>
      <c r="H1826" s="837"/>
      <c r="I1826" s="837"/>
      <c r="J1826" s="837"/>
      <c r="K1826" s="839"/>
      <c r="L1826" s="839"/>
      <c r="M1826" s="839"/>
      <c r="N1826" s="837"/>
      <c r="O1826" s="837"/>
    </row>
    <row r="1827" spans="1:15">
      <c r="A1827" s="929"/>
      <c r="B1827" s="985" t="s">
        <v>2225</v>
      </c>
      <c r="C1827" s="899" t="s">
        <v>2226</v>
      </c>
      <c r="D1827" s="837" t="s">
        <v>2</v>
      </c>
      <c r="E1827" s="986">
        <v>2225</v>
      </c>
      <c r="F1827" s="837">
        <v>11</v>
      </c>
      <c r="G1827" s="837">
        <f t="shared" si="92"/>
        <v>24475</v>
      </c>
      <c r="H1827" s="837"/>
      <c r="I1827" s="837"/>
      <c r="J1827" s="837"/>
      <c r="K1827" s="839"/>
      <c r="L1827" s="839">
        <v>3</v>
      </c>
      <c r="M1827" s="839">
        <f>L1827*E1827</f>
        <v>6675</v>
      </c>
      <c r="N1827" s="837"/>
      <c r="O1827" s="837"/>
    </row>
    <row r="1828" spans="1:15">
      <c r="A1828" s="929"/>
      <c r="B1828" s="985" t="s">
        <v>2225</v>
      </c>
      <c r="C1828" s="899" t="s">
        <v>2227</v>
      </c>
      <c r="D1828" s="837" t="s">
        <v>2</v>
      </c>
      <c r="E1828" s="986">
        <v>10447.5</v>
      </c>
      <c r="F1828" s="837">
        <v>2</v>
      </c>
      <c r="G1828" s="837">
        <f t="shared" si="92"/>
        <v>20895</v>
      </c>
      <c r="H1828" s="837"/>
      <c r="I1828" s="837"/>
      <c r="J1828" s="837"/>
      <c r="K1828" s="839"/>
      <c r="L1828" s="839"/>
      <c r="M1828" s="839"/>
      <c r="N1828" s="837"/>
      <c r="O1828" s="837"/>
    </row>
    <row r="1829" spans="1:15">
      <c r="A1829" s="929"/>
      <c r="B1829" s="985" t="s">
        <v>223</v>
      </c>
      <c r="C1829" s="899" t="s">
        <v>2228</v>
      </c>
      <c r="D1829" s="837" t="s">
        <v>2</v>
      </c>
      <c r="E1829" s="986">
        <v>12769.42</v>
      </c>
      <c r="F1829" s="837">
        <v>4</v>
      </c>
      <c r="G1829" s="837">
        <f t="shared" si="92"/>
        <v>51077.68</v>
      </c>
      <c r="H1829" s="837"/>
      <c r="I1829" s="837"/>
      <c r="J1829" s="837"/>
      <c r="K1829" s="839"/>
      <c r="L1829" s="839"/>
      <c r="M1829" s="839"/>
      <c r="N1829" s="837"/>
      <c r="O1829" s="837"/>
    </row>
    <row r="1830" spans="1:15">
      <c r="A1830" s="929"/>
      <c r="B1830" s="985" t="s">
        <v>2229</v>
      </c>
      <c r="C1830" s="899" t="s">
        <v>2230</v>
      </c>
      <c r="D1830" s="837" t="s">
        <v>2</v>
      </c>
      <c r="E1830" s="986">
        <v>6913.17</v>
      </c>
      <c r="F1830" s="837">
        <v>8</v>
      </c>
      <c r="G1830" s="837">
        <f t="shared" si="92"/>
        <v>55305.36</v>
      </c>
      <c r="H1830" s="837"/>
      <c r="I1830" s="837"/>
      <c r="J1830" s="837"/>
      <c r="K1830" s="839"/>
      <c r="L1830" s="839"/>
      <c r="M1830" s="839"/>
      <c r="N1830" s="837"/>
      <c r="O1830" s="837"/>
    </row>
    <row r="1831" spans="1:15">
      <c r="A1831" s="929"/>
      <c r="B1831" s="985"/>
      <c r="C1831" s="987" t="s">
        <v>2231</v>
      </c>
      <c r="D1831" s="837"/>
      <c r="E1831" s="986"/>
      <c r="F1831" s="837"/>
      <c r="G1831" s="837"/>
      <c r="H1831" s="837"/>
      <c r="I1831" s="837"/>
      <c r="J1831" s="837"/>
      <c r="K1831" s="839"/>
      <c r="L1831" s="839"/>
      <c r="M1831" s="839"/>
      <c r="N1831" s="837"/>
      <c r="O1831" s="837"/>
    </row>
    <row r="1832" spans="1:15">
      <c r="A1832" s="929">
        <v>10</v>
      </c>
      <c r="B1832" s="985" t="s">
        <v>2232</v>
      </c>
      <c r="C1832" s="899" t="s">
        <v>83</v>
      </c>
      <c r="D1832" s="837" t="s">
        <v>2</v>
      </c>
      <c r="E1832" s="986">
        <v>5693</v>
      </c>
      <c r="F1832" s="837">
        <v>4</v>
      </c>
      <c r="G1832" s="837">
        <f t="shared" ref="G1832:G1840" si="93">E1832*F1832</f>
        <v>22772</v>
      </c>
      <c r="H1832" s="837"/>
      <c r="I1832" s="837"/>
      <c r="J1832" s="837"/>
      <c r="K1832" s="839"/>
      <c r="L1832" s="839"/>
      <c r="M1832" s="839"/>
      <c r="N1832" s="837"/>
      <c r="O1832" s="837"/>
    </row>
    <row r="1833" spans="1:15">
      <c r="A1833" s="929">
        <v>11</v>
      </c>
      <c r="B1833" s="985" t="s">
        <v>2233</v>
      </c>
      <c r="C1833" s="899" t="s">
        <v>1786</v>
      </c>
      <c r="D1833" s="837" t="s">
        <v>2</v>
      </c>
      <c r="E1833" s="986">
        <v>8987</v>
      </c>
      <c r="F1833" s="837">
        <v>3</v>
      </c>
      <c r="G1833" s="837">
        <f t="shared" si="93"/>
        <v>26961</v>
      </c>
      <c r="H1833" s="837"/>
      <c r="I1833" s="837"/>
      <c r="J1833" s="837"/>
      <c r="K1833" s="839"/>
      <c r="L1833" s="839"/>
      <c r="M1833" s="839"/>
      <c r="N1833" s="837"/>
      <c r="O1833" s="837"/>
    </row>
    <row r="1834" spans="1:15">
      <c r="A1834" s="929">
        <v>13</v>
      </c>
      <c r="B1834" s="985" t="s">
        <v>2234</v>
      </c>
      <c r="C1834" s="899" t="s">
        <v>2235</v>
      </c>
      <c r="D1834" s="837" t="s">
        <v>2</v>
      </c>
      <c r="E1834" s="986">
        <v>1250</v>
      </c>
      <c r="F1834" s="837">
        <v>1</v>
      </c>
      <c r="G1834" s="837">
        <f t="shared" si="93"/>
        <v>1250</v>
      </c>
      <c r="H1834" s="837"/>
      <c r="I1834" s="837"/>
      <c r="J1834" s="837"/>
      <c r="K1834" s="839"/>
      <c r="L1834" s="839"/>
      <c r="M1834" s="839"/>
      <c r="N1834" s="837"/>
      <c r="O1834" s="837"/>
    </row>
    <row r="1835" spans="1:15">
      <c r="A1835" s="929">
        <v>14</v>
      </c>
      <c r="B1835" s="985" t="s">
        <v>214</v>
      </c>
      <c r="C1835" s="899" t="s">
        <v>1787</v>
      </c>
      <c r="D1835" s="837" t="s">
        <v>2</v>
      </c>
      <c r="E1835" s="986">
        <v>7524.85</v>
      </c>
      <c r="F1835" s="837">
        <v>2</v>
      </c>
      <c r="G1835" s="837">
        <f t="shared" si="93"/>
        <v>15049.7</v>
      </c>
      <c r="H1835" s="837"/>
      <c r="I1835" s="837"/>
      <c r="J1835" s="837"/>
      <c r="K1835" s="839"/>
      <c r="L1835" s="839"/>
      <c r="M1835" s="839"/>
      <c r="N1835" s="837"/>
      <c r="O1835" s="837"/>
    </row>
    <row r="1836" spans="1:15">
      <c r="A1836" s="929">
        <v>15</v>
      </c>
      <c r="B1836" s="985" t="s">
        <v>2236</v>
      </c>
      <c r="C1836" s="899" t="s">
        <v>2237</v>
      </c>
      <c r="D1836" s="837" t="s">
        <v>2</v>
      </c>
      <c r="E1836" s="986">
        <v>11640</v>
      </c>
      <c r="F1836" s="837">
        <v>6</v>
      </c>
      <c r="G1836" s="837">
        <f t="shared" si="93"/>
        <v>69840</v>
      </c>
      <c r="H1836" s="837"/>
      <c r="I1836" s="837"/>
      <c r="J1836" s="837"/>
      <c r="K1836" s="839"/>
      <c r="L1836" s="839"/>
      <c r="M1836" s="839"/>
      <c r="N1836" s="837"/>
      <c r="O1836" s="837"/>
    </row>
    <row r="1837" spans="1:15">
      <c r="A1837" s="929"/>
      <c r="B1837" s="985" t="s">
        <v>2238</v>
      </c>
      <c r="C1837" s="899" t="s">
        <v>2239</v>
      </c>
      <c r="D1837" s="837" t="s">
        <v>2</v>
      </c>
      <c r="E1837" s="986">
        <v>11497</v>
      </c>
      <c r="F1837" s="837">
        <v>2</v>
      </c>
      <c r="G1837" s="837">
        <f t="shared" si="93"/>
        <v>22994</v>
      </c>
      <c r="H1837" s="837"/>
      <c r="I1837" s="837"/>
      <c r="J1837" s="837"/>
      <c r="K1837" s="839"/>
      <c r="L1837" s="839"/>
      <c r="M1837" s="839"/>
      <c r="N1837" s="837"/>
      <c r="O1837" s="837"/>
    </row>
    <row r="1838" spans="1:15">
      <c r="A1838" s="929"/>
      <c r="B1838" s="985" t="s">
        <v>2240</v>
      </c>
      <c r="C1838" s="899" t="s">
        <v>2241</v>
      </c>
      <c r="D1838" s="837" t="s">
        <v>2</v>
      </c>
      <c r="E1838" s="986">
        <v>11361</v>
      </c>
      <c r="F1838" s="837">
        <v>1</v>
      </c>
      <c r="G1838" s="837">
        <f t="shared" si="93"/>
        <v>11361</v>
      </c>
      <c r="H1838" s="837"/>
      <c r="I1838" s="837"/>
      <c r="J1838" s="837"/>
      <c r="K1838" s="839"/>
      <c r="L1838" s="839"/>
      <c r="M1838" s="839"/>
      <c r="N1838" s="837"/>
      <c r="O1838" s="837"/>
    </row>
    <row r="1839" spans="1:15">
      <c r="A1839" s="929"/>
      <c r="B1839" s="985" t="s">
        <v>2242</v>
      </c>
      <c r="C1839" s="899" t="s">
        <v>2243</v>
      </c>
      <c r="D1839" s="837" t="s">
        <v>2</v>
      </c>
      <c r="E1839" s="986">
        <v>46712</v>
      </c>
      <c r="F1839" s="837">
        <v>1</v>
      </c>
      <c r="G1839" s="837">
        <f t="shared" si="93"/>
        <v>46712</v>
      </c>
      <c r="H1839" s="837"/>
      <c r="I1839" s="837"/>
      <c r="J1839" s="837"/>
      <c r="K1839" s="839"/>
      <c r="L1839" s="839"/>
      <c r="M1839" s="839"/>
      <c r="N1839" s="837"/>
      <c r="O1839" s="837"/>
    </row>
    <row r="1840" spans="1:15">
      <c r="A1840" s="929"/>
      <c r="B1840" s="985" t="s">
        <v>2244</v>
      </c>
      <c r="C1840" s="899" t="s">
        <v>2245</v>
      </c>
      <c r="D1840" s="837" t="s">
        <v>2</v>
      </c>
      <c r="E1840" s="986">
        <v>13623</v>
      </c>
      <c r="F1840" s="837">
        <v>1</v>
      </c>
      <c r="G1840" s="837">
        <f t="shared" si="93"/>
        <v>13623</v>
      </c>
      <c r="H1840" s="837"/>
      <c r="I1840" s="837"/>
      <c r="J1840" s="837"/>
      <c r="K1840" s="839"/>
      <c r="L1840" s="839"/>
      <c r="M1840" s="839"/>
      <c r="N1840" s="837"/>
      <c r="O1840" s="837"/>
    </row>
    <row r="1841" spans="1:15">
      <c r="A1841" s="929"/>
      <c r="B1841" s="988"/>
      <c r="C1841" s="987" t="s">
        <v>2246</v>
      </c>
      <c r="D1841" s="837"/>
      <c r="E1841" s="986"/>
      <c r="F1841" s="837"/>
      <c r="G1841" s="837"/>
      <c r="H1841" s="837"/>
      <c r="I1841" s="837"/>
      <c r="J1841" s="837"/>
      <c r="K1841" s="839"/>
      <c r="L1841" s="839"/>
      <c r="M1841" s="839"/>
      <c r="N1841" s="837"/>
      <c r="O1841" s="837"/>
    </row>
    <row r="1842" spans="1:15">
      <c r="A1842" s="929"/>
      <c r="B1842" s="985"/>
      <c r="C1842" s="899" t="s">
        <v>2247</v>
      </c>
      <c r="D1842" s="837"/>
      <c r="E1842" s="986"/>
      <c r="F1842" s="837"/>
      <c r="G1842" s="837"/>
      <c r="H1842" s="837"/>
      <c r="I1842" s="837"/>
      <c r="J1842" s="837"/>
      <c r="K1842" s="839"/>
      <c r="L1842" s="839"/>
      <c r="M1842" s="839"/>
      <c r="N1842" s="837"/>
      <c r="O1842" s="837"/>
    </row>
    <row r="1843" spans="1:15" ht="31.5">
      <c r="A1843" s="929">
        <v>22</v>
      </c>
      <c r="B1843" s="985" t="s">
        <v>2248</v>
      </c>
      <c r="C1843" s="899" t="s">
        <v>2249</v>
      </c>
      <c r="D1843" s="837" t="s">
        <v>2</v>
      </c>
      <c r="E1843" s="986">
        <v>53727.25</v>
      </c>
      <c r="F1843" s="837">
        <v>2</v>
      </c>
      <c r="G1843" s="837">
        <f t="shared" ref="G1843:G1846" si="94">E1843*F1843</f>
        <v>107454.5</v>
      </c>
      <c r="H1843" s="837"/>
      <c r="I1843" s="837"/>
      <c r="J1843" s="837"/>
      <c r="K1843" s="839"/>
      <c r="L1843" s="839"/>
      <c r="M1843" s="839"/>
      <c r="N1843" s="837"/>
      <c r="O1843" s="837"/>
    </row>
    <row r="1844" spans="1:15">
      <c r="A1844" s="929">
        <v>23</v>
      </c>
      <c r="B1844" s="985" t="s">
        <v>2250</v>
      </c>
      <c r="C1844" s="899" t="s">
        <v>2251</v>
      </c>
      <c r="D1844" s="837" t="s">
        <v>2</v>
      </c>
      <c r="E1844" s="986">
        <v>43584</v>
      </c>
      <c r="F1844" s="837">
        <v>1</v>
      </c>
      <c r="G1844" s="837">
        <f t="shared" si="94"/>
        <v>43584</v>
      </c>
      <c r="H1844" s="837"/>
      <c r="I1844" s="837"/>
      <c r="J1844" s="837"/>
      <c r="K1844" s="839"/>
      <c r="L1844" s="839"/>
      <c r="M1844" s="839"/>
      <c r="N1844" s="837"/>
      <c r="O1844" s="837"/>
    </row>
    <row r="1845" spans="1:15">
      <c r="A1845" s="929"/>
      <c r="B1845" s="988"/>
      <c r="C1845" s="987" t="s">
        <v>2252</v>
      </c>
      <c r="D1845" s="837"/>
      <c r="E1845" s="986"/>
      <c r="F1845" s="837"/>
      <c r="G1845" s="837"/>
      <c r="H1845" s="837"/>
      <c r="I1845" s="837"/>
      <c r="J1845" s="837"/>
      <c r="K1845" s="839"/>
      <c r="L1845" s="839"/>
      <c r="M1845" s="839"/>
      <c r="N1845" s="837"/>
      <c r="O1845" s="837"/>
    </row>
    <row r="1846" spans="1:15">
      <c r="A1846" s="929"/>
      <c r="B1846" s="988" t="s">
        <v>238</v>
      </c>
      <c r="C1846" s="899" t="s">
        <v>2253</v>
      </c>
      <c r="D1846" s="837" t="s">
        <v>1024</v>
      </c>
      <c r="E1846" s="986">
        <v>60.072727</v>
      </c>
      <c r="F1846" s="837">
        <v>220</v>
      </c>
      <c r="G1846" s="860">
        <f t="shared" si="94"/>
        <v>13215.99994</v>
      </c>
      <c r="H1846" s="837"/>
      <c r="I1846" s="837"/>
      <c r="J1846" s="837"/>
      <c r="K1846" s="839"/>
      <c r="L1846" s="839"/>
      <c r="M1846" s="839"/>
      <c r="N1846" s="837"/>
      <c r="O1846" s="837"/>
    </row>
    <row r="1847" spans="1:15">
      <c r="A1847" s="929"/>
      <c r="B1847" s="988"/>
      <c r="C1847" s="987" t="s">
        <v>2254</v>
      </c>
      <c r="D1847" s="837"/>
      <c r="E1847" s="986"/>
      <c r="F1847" s="837"/>
      <c r="G1847" s="837"/>
      <c r="H1847" s="837"/>
      <c r="I1847" s="837"/>
      <c r="J1847" s="837"/>
      <c r="K1847" s="839"/>
      <c r="L1847" s="839"/>
      <c r="M1847" s="839"/>
      <c r="N1847" s="837"/>
      <c r="O1847" s="837"/>
    </row>
    <row r="1848" spans="1:15">
      <c r="A1848" s="929">
        <v>94</v>
      </c>
      <c r="B1848" s="988" t="s">
        <v>2255</v>
      </c>
      <c r="C1848" s="899" t="s">
        <v>2256</v>
      </c>
      <c r="D1848" s="837" t="s">
        <v>2</v>
      </c>
      <c r="E1848" s="986">
        <v>9200</v>
      </c>
      <c r="F1848" s="837">
        <v>1</v>
      </c>
      <c r="G1848" s="860">
        <f t="shared" ref="G1848:G1866" si="95">E1848*F1848</f>
        <v>9200</v>
      </c>
      <c r="H1848" s="837"/>
      <c r="I1848" s="837"/>
      <c r="J1848" s="837"/>
      <c r="K1848" s="839"/>
      <c r="L1848" s="839"/>
      <c r="M1848" s="839"/>
      <c r="N1848" s="837"/>
      <c r="O1848" s="837"/>
    </row>
    <row r="1849" spans="1:15">
      <c r="A1849" s="929">
        <v>103</v>
      </c>
      <c r="B1849" s="988" t="s">
        <v>2257</v>
      </c>
      <c r="C1849" s="899" t="s">
        <v>2258</v>
      </c>
      <c r="D1849" s="837" t="s">
        <v>2</v>
      </c>
      <c r="E1849" s="986">
        <v>0</v>
      </c>
      <c r="F1849" s="837">
        <v>1</v>
      </c>
      <c r="G1849" s="860">
        <f t="shared" si="95"/>
        <v>0</v>
      </c>
      <c r="H1849" s="837"/>
      <c r="I1849" s="837"/>
      <c r="J1849" s="837"/>
      <c r="K1849" s="839"/>
      <c r="L1849" s="839"/>
      <c r="M1849" s="839"/>
      <c r="N1849" s="837"/>
      <c r="O1849" s="837"/>
    </row>
    <row r="1850" spans="1:15">
      <c r="A1850" s="929">
        <v>104</v>
      </c>
      <c r="B1850" s="988" t="s">
        <v>2259</v>
      </c>
      <c r="C1850" s="899" t="s">
        <v>2260</v>
      </c>
      <c r="D1850" s="837" t="s">
        <v>2</v>
      </c>
      <c r="E1850" s="986">
        <v>0</v>
      </c>
      <c r="F1850" s="837">
        <v>4</v>
      </c>
      <c r="G1850" s="860">
        <f t="shared" si="95"/>
        <v>0</v>
      </c>
      <c r="H1850" s="837"/>
      <c r="I1850" s="837"/>
      <c r="J1850" s="837"/>
      <c r="K1850" s="839"/>
      <c r="L1850" s="839"/>
      <c r="M1850" s="839"/>
      <c r="N1850" s="837"/>
      <c r="O1850" s="837"/>
    </row>
    <row r="1851" spans="1:15">
      <c r="A1851" s="929">
        <v>108</v>
      </c>
      <c r="B1851" s="988" t="s">
        <v>2261</v>
      </c>
      <c r="C1851" s="899" t="s">
        <v>2262</v>
      </c>
      <c r="D1851" s="837" t="s">
        <v>2</v>
      </c>
      <c r="E1851" s="986">
        <v>0</v>
      </c>
      <c r="F1851" s="837">
        <v>2</v>
      </c>
      <c r="G1851" s="860">
        <f t="shared" si="95"/>
        <v>0</v>
      </c>
      <c r="H1851" s="837"/>
      <c r="I1851" s="837"/>
      <c r="J1851" s="837"/>
      <c r="K1851" s="839"/>
      <c r="L1851" s="839"/>
      <c r="M1851" s="839"/>
      <c r="N1851" s="837"/>
      <c r="O1851" s="837"/>
    </row>
    <row r="1852" spans="1:15">
      <c r="A1852" s="929">
        <v>125</v>
      </c>
      <c r="B1852" s="988" t="s">
        <v>2263</v>
      </c>
      <c r="C1852" s="899" t="s">
        <v>2264</v>
      </c>
      <c r="D1852" s="837" t="s">
        <v>2</v>
      </c>
      <c r="E1852" s="986">
        <v>11340</v>
      </c>
      <c r="F1852" s="837">
        <v>1</v>
      </c>
      <c r="G1852" s="860">
        <f t="shared" si="95"/>
        <v>11340</v>
      </c>
      <c r="H1852" s="837"/>
      <c r="I1852" s="837"/>
      <c r="J1852" s="837"/>
      <c r="K1852" s="839"/>
      <c r="L1852" s="839"/>
      <c r="M1852" s="839"/>
      <c r="N1852" s="837"/>
      <c r="O1852" s="837"/>
    </row>
    <row r="1853" spans="1:15">
      <c r="A1853" s="929">
        <v>134</v>
      </c>
      <c r="B1853" s="988" t="s">
        <v>224</v>
      </c>
      <c r="C1853" s="899" t="s">
        <v>2265</v>
      </c>
      <c r="D1853" s="837" t="s">
        <v>2</v>
      </c>
      <c r="E1853" s="986">
        <v>806.25</v>
      </c>
      <c r="F1853" s="837">
        <v>8</v>
      </c>
      <c r="G1853" s="860">
        <f t="shared" si="95"/>
        <v>6450</v>
      </c>
      <c r="H1853" s="837"/>
      <c r="I1853" s="837"/>
      <c r="J1853" s="837"/>
      <c r="K1853" s="839"/>
      <c r="L1853" s="839"/>
      <c r="M1853" s="839"/>
      <c r="N1853" s="837"/>
      <c r="O1853" s="837"/>
    </row>
    <row r="1854" spans="1:15">
      <c r="A1854" s="929">
        <v>144</v>
      </c>
      <c r="B1854" s="988" t="s">
        <v>149</v>
      </c>
      <c r="C1854" s="899" t="s">
        <v>2266</v>
      </c>
      <c r="D1854" s="837" t="s">
        <v>2</v>
      </c>
      <c r="E1854" s="986">
        <v>0</v>
      </c>
      <c r="F1854" s="837">
        <v>1</v>
      </c>
      <c r="G1854" s="860">
        <f t="shared" si="95"/>
        <v>0</v>
      </c>
      <c r="H1854" s="837"/>
      <c r="I1854" s="837"/>
      <c r="J1854" s="837"/>
      <c r="K1854" s="839"/>
      <c r="L1854" s="839"/>
      <c r="M1854" s="839"/>
      <c r="N1854" s="837"/>
      <c r="O1854" s="837"/>
    </row>
    <row r="1855" spans="1:15">
      <c r="A1855" s="929">
        <v>146</v>
      </c>
      <c r="B1855" s="988" t="s">
        <v>2267</v>
      </c>
      <c r="C1855" s="899" t="s">
        <v>2268</v>
      </c>
      <c r="D1855" s="837" t="s">
        <v>2</v>
      </c>
      <c r="E1855" s="986">
        <v>0</v>
      </c>
      <c r="F1855" s="837">
        <v>4</v>
      </c>
      <c r="G1855" s="860">
        <f t="shared" si="95"/>
        <v>0</v>
      </c>
      <c r="H1855" s="837"/>
      <c r="I1855" s="837"/>
      <c r="J1855" s="837"/>
      <c r="K1855" s="839"/>
      <c r="L1855" s="839"/>
      <c r="M1855" s="839"/>
      <c r="N1855" s="837"/>
      <c r="O1855" s="837"/>
    </row>
    <row r="1856" spans="1:15">
      <c r="A1856" s="929">
        <v>147</v>
      </c>
      <c r="B1856" s="988" t="s">
        <v>2269</v>
      </c>
      <c r="C1856" s="899" t="s">
        <v>2270</v>
      </c>
      <c r="D1856" s="837" t="s">
        <v>2</v>
      </c>
      <c r="E1856" s="986">
        <v>0</v>
      </c>
      <c r="F1856" s="837">
        <v>6</v>
      </c>
      <c r="G1856" s="860">
        <f t="shared" si="95"/>
        <v>0</v>
      </c>
      <c r="H1856" s="837"/>
      <c r="I1856" s="837"/>
      <c r="J1856" s="837"/>
      <c r="K1856" s="839"/>
      <c r="L1856" s="839"/>
      <c r="M1856" s="839"/>
      <c r="N1856" s="837"/>
      <c r="O1856" s="837"/>
    </row>
    <row r="1857" spans="1:15">
      <c r="A1857" s="929">
        <f t="shared" ref="A1857:A1885" si="96">A1856+1</f>
        <v>148</v>
      </c>
      <c r="B1857" s="988" t="s">
        <v>2271</v>
      </c>
      <c r="C1857" s="899" t="s">
        <v>2272</v>
      </c>
      <c r="D1857" s="837" t="s">
        <v>2</v>
      </c>
      <c r="E1857" s="986">
        <v>0</v>
      </c>
      <c r="F1857" s="837">
        <v>1</v>
      </c>
      <c r="G1857" s="860">
        <f t="shared" si="95"/>
        <v>0</v>
      </c>
      <c r="H1857" s="837"/>
      <c r="I1857" s="837"/>
      <c r="J1857" s="837"/>
      <c r="K1857" s="839"/>
      <c r="L1857" s="839"/>
      <c r="M1857" s="839"/>
      <c r="N1857" s="837"/>
      <c r="O1857" s="837"/>
    </row>
    <row r="1858" spans="1:15">
      <c r="A1858" s="929">
        <f t="shared" si="96"/>
        <v>149</v>
      </c>
      <c r="B1858" s="988" t="s">
        <v>2273</v>
      </c>
      <c r="C1858" s="899" t="s">
        <v>2274</v>
      </c>
      <c r="D1858" s="837" t="s">
        <v>2</v>
      </c>
      <c r="E1858" s="986">
        <v>0</v>
      </c>
      <c r="F1858" s="837">
        <v>1</v>
      </c>
      <c r="G1858" s="860">
        <f t="shared" si="95"/>
        <v>0</v>
      </c>
      <c r="H1858" s="837"/>
      <c r="I1858" s="837"/>
      <c r="J1858" s="837"/>
      <c r="K1858" s="839"/>
      <c r="L1858" s="839"/>
      <c r="M1858" s="839"/>
      <c r="N1858" s="837"/>
      <c r="O1858" s="837"/>
    </row>
    <row r="1859" spans="1:15">
      <c r="A1859" s="929">
        <f t="shared" si="96"/>
        <v>150</v>
      </c>
      <c r="B1859" s="988" t="s">
        <v>2275</v>
      </c>
      <c r="C1859" s="899" t="s">
        <v>2276</v>
      </c>
      <c r="D1859" s="837" t="s">
        <v>2</v>
      </c>
      <c r="E1859" s="986">
        <v>0</v>
      </c>
      <c r="F1859" s="837">
        <v>2</v>
      </c>
      <c r="G1859" s="860">
        <f t="shared" si="95"/>
        <v>0</v>
      </c>
      <c r="H1859" s="837"/>
      <c r="I1859" s="837"/>
      <c r="J1859" s="837"/>
      <c r="K1859" s="839"/>
      <c r="L1859" s="839"/>
      <c r="M1859" s="839"/>
      <c r="N1859" s="837"/>
      <c r="O1859" s="837"/>
    </row>
    <row r="1860" spans="1:15">
      <c r="A1860" s="929">
        <f t="shared" si="96"/>
        <v>151</v>
      </c>
      <c r="B1860" s="988" t="s">
        <v>2277</v>
      </c>
      <c r="C1860" s="899" t="s">
        <v>2278</v>
      </c>
      <c r="D1860" s="837" t="s">
        <v>2</v>
      </c>
      <c r="E1860" s="986">
        <v>0</v>
      </c>
      <c r="F1860" s="837">
        <v>1</v>
      </c>
      <c r="G1860" s="860">
        <f t="shared" si="95"/>
        <v>0</v>
      </c>
      <c r="H1860" s="837"/>
      <c r="I1860" s="837"/>
      <c r="J1860" s="837"/>
      <c r="K1860" s="839"/>
      <c r="L1860" s="839"/>
      <c r="M1860" s="839"/>
      <c r="N1860" s="837"/>
      <c r="O1860" s="837"/>
    </row>
    <row r="1861" spans="1:15">
      <c r="A1861" s="929">
        <f t="shared" si="96"/>
        <v>152</v>
      </c>
      <c r="B1861" s="988" t="s">
        <v>924</v>
      </c>
      <c r="C1861" s="899" t="s">
        <v>2279</v>
      </c>
      <c r="D1861" s="837" t="s">
        <v>2</v>
      </c>
      <c r="E1861" s="986">
        <v>0</v>
      </c>
      <c r="F1861" s="837">
        <v>1</v>
      </c>
      <c r="G1861" s="860">
        <f t="shared" si="95"/>
        <v>0</v>
      </c>
      <c r="H1861" s="837"/>
      <c r="I1861" s="837"/>
      <c r="J1861" s="837"/>
      <c r="K1861" s="839"/>
      <c r="L1861" s="839"/>
      <c r="M1861" s="839"/>
      <c r="N1861" s="837"/>
      <c r="O1861" s="837"/>
    </row>
    <row r="1862" spans="1:15">
      <c r="A1862" s="929">
        <f t="shared" si="96"/>
        <v>153</v>
      </c>
      <c r="B1862" s="988" t="s">
        <v>2280</v>
      </c>
      <c r="C1862" s="899" t="s">
        <v>2281</v>
      </c>
      <c r="D1862" s="837" t="s">
        <v>2</v>
      </c>
      <c r="E1862" s="986">
        <v>0</v>
      </c>
      <c r="F1862" s="837">
        <v>2</v>
      </c>
      <c r="G1862" s="860">
        <f t="shared" si="95"/>
        <v>0</v>
      </c>
      <c r="H1862" s="837"/>
      <c r="I1862" s="837"/>
      <c r="J1862" s="837"/>
      <c r="K1862" s="839"/>
      <c r="L1862" s="839"/>
      <c r="M1862" s="839"/>
      <c r="N1862" s="837"/>
      <c r="O1862" s="837"/>
    </row>
    <row r="1863" spans="1:15">
      <c r="A1863" s="929">
        <f t="shared" si="96"/>
        <v>154</v>
      </c>
      <c r="B1863" s="988" t="s">
        <v>2282</v>
      </c>
      <c r="C1863" s="899" t="s">
        <v>2283</v>
      </c>
      <c r="D1863" s="837" t="s">
        <v>2</v>
      </c>
      <c r="E1863" s="986">
        <v>0</v>
      </c>
      <c r="F1863" s="837">
        <v>1</v>
      </c>
      <c r="G1863" s="860">
        <f t="shared" si="95"/>
        <v>0</v>
      </c>
      <c r="H1863" s="837"/>
      <c r="I1863" s="837"/>
      <c r="J1863" s="837"/>
      <c r="K1863" s="839"/>
      <c r="L1863" s="839"/>
      <c r="M1863" s="839"/>
      <c r="N1863" s="837"/>
      <c r="O1863" s="837"/>
    </row>
    <row r="1864" spans="1:15">
      <c r="A1864" s="929">
        <f t="shared" si="96"/>
        <v>155</v>
      </c>
      <c r="B1864" s="988" t="s">
        <v>2284</v>
      </c>
      <c r="C1864" s="899" t="s">
        <v>2285</v>
      </c>
      <c r="D1864" s="837" t="s">
        <v>2</v>
      </c>
      <c r="E1864" s="986">
        <v>618</v>
      </c>
      <c r="F1864" s="837">
        <v>1</v>
      </c>
      <c r="G1864" s="860">
        <f t="shared" si="95"/>
        <v>618</v>
      </c>
      <c r="H1864" s="837"/>
      <c r="I1864" s="837"/>
      <c r="J1864" s="837"/>
      <c r="K1864" s="839"/>
      <c r="L1864" s="839"/>
      <c r="M1864" s="839"/>
      <c r="N1864" s="837"/>
      <c r="O1864" s="837"/>
    </row>
    <row r="1865" spans="1:15">
      <c r="A1865" s="929">
        <f t="shared" si="96"/>
        <v>156</v>
      </c>
      <c r="B1865" s="988" t="s">
        <v>495</v>
      </c>
      <c r="C1865" s="899" t="s">
        <v>2286</v>
      </c>
      <c r="D1865" s="837" t="s">
        <v>2</v>
      </c>
      <c r="E1865" s="986">
        <v>7316</v>
      </c>
      <c r="F1865" s="837">
        <v>2</v>
      </c>
      <c r="G1865" s="860">
        <f t="shared" si="95"/>
        <v>14632</v>
      </c>
      <c r="H1865" s="837"/>
      <c r="I1865" s="837"/>
      <c r="J1865" s="837"/>
      <c r="K1865" s="839"/>
      <c r="L1865" s="839"/>
      <c r="M1865" s="839"/>
      <c r="N1865" s="837"/>
      <c r="O1865" s="837"/>
    </row>
    <row r="1866" spans="1:15">
      <c r="A1866" s="929">
        <f t="shared" si="96"/>
        <v>157</v>
      </c>
      <c r="B1866" s="988" t="s">
        <v>2287</v>
      </c>
      <c r="C1866" s="899" t="s">
        <v>2288</v>
      </c>
      <c r="D1866" s="837" t="s">
        <v>2</v>
      </c>
      <c r="E1866" s="986">
        <v>17231.2</v>
      </c>
      <c r="F1866" s="837">
        <v>1</v>
      </c>
      <c r="G1866" s="860">
        <f t="shared" si="95"/>
        <v>17231.2</v>
      </c>
      <c r="H1866" s="837"/>
      <c r="I1866" s="837"/>
      <c r="J1866" s="837"/>
      <c r="K1866" s="839"/>
      <c r="L1866" s="839"/>
      <c r="M1866" s="839"/>
      <c r="N1866" s="837"/>
      <c r="O1866" s="837"/>
    </row>
    <row r="1867" spans="1:15">
      <c r="A1867" s="929">
        <f t="shared" si="96"/>
        <v>158</v>
      </c>
      <c r="B1867" s="988" t="s">
        <v>2289</v>
      </c>
      <c r="C1867" s="899" t="s">
        <v>2290</v>
      </c>
      <c r="D1867" s="837" t="s">
        <v>2</v>
      </c>
      <c r="E1867" s="986">
        <v>29290</v>
      </c>
      <c r="F1867" s="27"/>
      <c r="G1867" s="27"/>
      <c r="H1867" s="837"/>
      <c r="I1867" s="837"/>
      <c r="J1867" s="837"/>
      <c r="K1867" s="837"/>
      <c r="L1867" s="837">
        <v>2</v>
      </c>
      <c r="M1867" s="880">
        <f t="shared" ref="M1867:M1871" si="97">L1867*E1867</f>
        <v>58580</v>
      </c>
      <c r="N1867" s="837"/>
      <c r="O1867" s="837"/>
    </row>
    <row r="1868" spans="1:15">
      <c r="A1868" s="929">
        <f t="shared" si="96"/>
        <v>159</v>
      </c>
      <c r="B1868" s="988" t="s">
        <v>2291</v>
      </c>
      <c r="C1868" s="899" t="s">
        <v>2292</v>
      </c>
      <c r="D1868" s="837" t="s">
        <v>2</v>
      </c>
      <c r="E1868" s="986">
        <v>3700</v>
      </c>
      <c r="F1868" s="27"/>
      <c r="G1868" s="27"/>
      <c r="H1868" s="837"/>
      <c r="I1868" s="837"/>
      <c r="J1868" s="837"/>
      <c r="K1868" s="837"/>
      <c r="L1868" s="837">
        <v>2</v>
      </c>
      <c r="M1868" s="880">
        <f t="shared" si="97"/>
        <v>7400</v>
      </c>
      <c r="N1868" s="837"/>
      <c r="O1868" s="837"/>
    </row>
    <row r="1869" spans="1:15">
      <c r="A1869" s="929">
        <f t="shared" si="96"/>
        <v>160</v>
      </c>
      <c r="B1869" s="988" t="s">
        <v>895</v>
      </c>
      <c r="C1869" s="899" t="s">
        <v>2293</v>
      </c>
      <c r="D1869" s="837" t="s">
        <v>2</v>
      </c>
      <c r="E1869" s="986">
        <v>6864</v>
      </c>
      <c r="F1869" s="27"/>
      <c r="G1869" s="27"/>
      <c r="H1869" s="837"/>
      <c r="I1869" s="837"/>
      <c r="J1869" s="837"/>
      <c r="K1869" s="837"/>
      <c r="L1869" s="837">
        <v>2</v>
      </c>
      <c r="M1869" s="880">
        <f t="shared" si="97"/>
        <v>13728</v>
      </c>
      <c r="N1869" s="837"/>
      <c r="O1869" s="837"/>
    </row>
    <row r="1870" spans="1:15">
      <c r="A1870" s="929">
        <f t="shared" si="96"/>
        <v>161</v>
      </c>
      <c r="B1870" s="988" t="s">
        <v>913</v>
      </c>
      <c r="C1870" s="899" t="s">
        <v>2294</v>
      </c>
      <c r="D1870" s="837" t="s">
        <v>2</v>
      </c>
      <c r="E1870" s="986">
        <v>5250</v>
      </c>
      <c r="F1870" s="27"/>
      <c r="G1870" s="27"/>
      <c r="H1870" s="837"/>
      <c r="I1870" s="837"/>
      <c r="J1870" s="837"/>
      <c r="K1870" s="837"/>
      <c r="L1870" s="837">
        <v>1</v>
      </c>
      <c r="M1870" s="880">
        <f t="shared" si="97"/>
        <v>5250</v>
      </c>
      <c r="N1870" s="837"/>
      <c r="O1870" s="837"/>
    </row>
    <row r="1871" spans="1:15">
      <c r="A1871" s="929">
        <f t="shared" si="96"/>
        <v>162</v>
      </c>
      <c r="B1871" s="988" t="s">
        <v>2295</v>
      </c>
      <c r="C1871" s="899" t="s">
        <v>2296</v>
      </c>
      <c r="D1871" s="837" t="s">
        <v>2</v>
      </c>
      <c r="E1871" s="986">
        <v>18200</v>
      </c>
      <c r="F1871" s="27"/>
      <c r="G1871" s="27"/>
      <c r="H1871" s="837"/>
      <c r="I1871" s="837"/>
      <c r="J1871" s="837"/>
      <c r="K1871" s="837"/>
      <c r="L1871" s="837">
        <v>1</v>
      </c>
      <c r="M1871" s="880">
        <f t="shared" si="97"/>
        <v>18200</v>
      </c>
      <c r="N1871" s="837"/>
      <c r="O1871" s="837"/>
    </row>
    <row r="1872" spans="1:15">
      <c r="A1872" s="929">
        <f t="shared" si="96"/>
        <v>163</v>
      </c>
      <c r="B1872" s="988" t="s">
        <v>2297</v>
      </c>
      <c r="C1872" s="899" t="s">
        <v>2298</v>
      </c>
      <c r="D1872" s="837" t="s">
        <v>2</v>
      </c>
      <c r="E1872" s="986">
        <v>26105</v>
      </c>
      <c r="F1872" s="837">
        <v>1</v>
      </c>
      <c r="G1872" s="860">
        <f t="shared" ref="G1872:G1886" si="98">E1872*F1872</f>
        <v>26105</v>
      </c>
      <c r="H1872" s="837"/>
      <c r="I1872" s="837"/>
      <c r="J1872" s="837"/>
      <c r="K1872" s="839"/>
      <c r="L1872" s="839"/>
      <c r="M1872" s="839"/>
      <c r="N1872" s="837"/>
      <c r="O1872" s="837"/>
    </row>
    <row r="1873" spans="1:15">
      <c r="A1873" s="929">
        <f t="shared" si="96"/>
        <v>164</v>
      </c>
      <c r="B1873" s="988" t="s">
        <v>2299</v>
      </c>
      <c r="C1873" s="899" t="s">
        <v>2300</v>
      </c>
      <c r="D1873" s="837" t="s">
        <v>2</v>
      </c>
      <c r="E1873" s="986">
        <v>1350</v>
      </c>
      <c r="F1873" s="837">
        <v>3</v>
      </c>
      <c r="G1873" s="860">
        <f t="shared" si="98"/>
        <v>4050</v>
      </c>
      <c r="H1873" s="837"/>
      <c r="I1873" s="837"/>
      <c r="J1873" s="837"/>
      <c r="K1873" s="839"/>
      <c r="L1873" s="839"/>
      <c r="M1873" s="839"/>
      <c r="N1873" s="837"/>
      <c r="O1873" s="837"/>
    </row>
    <row r="1874" spans="1:15">
      <c r="A1874" s="929">
        <f t="shared" si="96"/>
        <v>165</v>
      </c>
      <c r="B1874" s="988" t="s">
        <v>2301</v>
      </c>
      <c r="C1874" s="899" t="s">
        <v>2302</v>
      </c>
      <c r="D1874" s="837" t="s">
        <v>2</v>
      </c>
      <c r="E1874" s="986">
        <v>1800</v>
      </c>
      <c r="F1874" s="837">
        <v>3</v>
      </c>
      <c r="G1874" s="860">
        <f t="shared" si="98"/>
        <v>5400</v>
      </c>
      <c r="H1874" s="837"/>
      <c r="I1874" s="837"/>
      <c r="J1874" s="837"/>
      <c r="K1874" s="839"/>
      <c r="L1874" s="839"/>
      <c r="M1874" s="839"/>
      <c r="N1874" s="837"/>
      <c r="O1874" s="837"/>
    </row>
    <row r="1875" spans="1:15">
      <c r="A1875" s="929">
        <f t="shared" si="96"/>
        <v>166</v>
      </c>
      <c r="B1875" s="988" t="s">
        <v>2303</v>
      </c>
      <c r="C1875" s="899" t="s">
        <v>2304</v>
      </c>
      <c r="D1875" s="837" t="s">
        <v>2</v>
      </c>
      <c r="E1875" s="986">
        <v>3375</v>
      </c>
      <c r="F1875" s="837">
        <v>2</v>
      </c>
      <c r="G1875" s="860">
        <f t="shared" si="98"/>
        <v>6750</v>
      </c>
      <c r="H1875" s="837"/>
      <c r="I1875" s="837"/>
      <c r="J1875" s="837"/>
      <c r="K1875" s="839"/>
      <c r="L1875" s="839"/>
      <c r="M1875" s="839"/>
      <c r="N1875" s="837"/>
      <c r="O1875" s="837"/>
    </row>
    <row r="1876" spans="1:15">
      <c r="A1876" s="929">
        <f t="shared" si="96"/>
        <v>167</v>
      </c>
      <c r="B1876" s="988" t="s">
        <v>884</v>
      </c>
      <c r="C1876" s="899" t="s">
        <v>2305</v>
      </c>
      <c r="D1876" s="837" t="s">
        <v>2</v>
      </c>
      <c r="E1876" s="986">
        <v>5107.5</v>
      </c>
      <c r="F1876" s="837">
        <v>1</v>
      </c>
      <c r="G1876" s="860">
        <f t="shared" si="98"/>
        <v>5107.5</v>
      </c>
      <c r="H1876" s="837"/>
      <c r="I1876" s="837"/>
      <c r="J1876" s="837"/>
      <c r="K1876" s="839"/>
      <c r="L1876" s="839"/>
      <c r="M1876" s="839"/>
      <c r="N1876" s="837"/>
      <c r="O1876" s="837"/>
    </row>
    <row r="1877" spans="1:15">
      <c r="A1877" s="929">
        <f t="shared" si="96"/>
        <v>168</v>
      </c>
      <c r="B1877" s="988" t="s">
        <v>2306</v>
      </c>
      <c r="C1877" s="899" t="s">
        <v>2307</v>
      </c>
      <c r="D1877" s="837" t="s">
        <v>2</v>
      </c>
      <c r="E1877" s="986">
        <v>14755</v>
      </c>
      <c r="F1877" s="837">
        <v>1</v>
      </c>
      <c r="G1877" s="860">
        <f t="shared" si="98"/>
        <v>14755</v>
      </c>
      <c r="H1877" s="837"/>
      <c r="I1877" s="837"/>
      <c r="J1877" s="837"/>
      <c r="K1877" s="839"/>
      <c r="L1877" s="839"/>
      <c r="M1877" s="839"/>
      <c r="N1877" s="837"/>
      <c r="O1877" s="837"/>
    </row>
    <row r="1878" spans="1:15">
      <c r="A1878" s="929">
        <f t="shared" si="96"/>
        <v>169</v>
      </c>
      <c r="B1878" s="988" t="s">
        <v>2308</v>
      </c>
      <c r="C1878" s="899" t="s">
        <v>2309</v>
      </c>
      <c r="D1878" s="837" t="s">
        <v>2</v>
      </c>
      <c r="E1878" s="986">
        <v>12733</v>
      </c>
      <c r="F1878" s="837">
        <v>1</v>
      </c>
      <c r="G1878" s="860">
        <f t="shared" si="98"/>
        <v>12733</v>
      </c>
      <c r="H1878" s="837"/>
      <c r="I1878" s="837"/>
      <c r="J1878" s="837"/>
      <c r="K1878" s="839"/>
      <c r="L1878" s="839"/>
      <c r="M1878" s="839"/>
      <c r="N1878" s="837"/>
      <c r="O1878" s="837"/>
    </row>
    <row r="1879" spans="1:15">
      <c r="A1879" s="929">
        <f t="shared" si="96"/>
        <v>170</v>
      </c>
      <c r="B1879" s="988" t="s">
        <v>2310</v>
      </c>
      <c r="C1879" s="899" t="s">
        <v>2311</v>
      </c>
      <c r="D1879" s="837" t="s">
        <v>2</v>
      </c>
      <c r="E1879" s="986">
        <v>7393</v>
      </c>
      <c r="F1879" s="837">
        <v>5</v>
      </c>
      <c r="G1879" s="860">
        <f t="shared" si="98"/>
        <v>36965</v>
      </c>
      <c r="H1879" s="837"/>
      <c r="I1879" s="837"/>
      <c r="J1879" s="837"/>
      <c r="K1879" s="839"/>
      <c r="L1879" s="839"/>
      <c r="M1879" s="839"/>
      <c r="N1879" s="837"/>
      <c r="O1879" s="837"/>
    </row>
    <row r="1880" spans="1:15">
      <c r="A1880" s="929">
        <f t="shared" si="96"/>
        <v>171</v>
      </c>
      <c r="B1880" s="988" t="s">
        <v>2312</v>
      </c>
      <c r="C1880" s="899" t="s">
        <v>2313</v>
      </c>
      <c r="D1880" s="837" t="s">
        <v>2</v>
      </c>
      <c r="E1880" s="986">
        <v>3198.5</v>
      </c>
      <c r="F1880" s="837">
        <v>4</v>
      </c>
      <c r="G1880" s="860">
        <f t="shared" si="98"/>
        <v>12794</v>
      </c>
      <c r="H1880" s="837"/>
      <c r="I1880" s="837"/>
      <c r="J1880" s="837"/>
      <c r="K1880" s="839"/>
      <c r="L1880" s="839"/>
      <c r="M1880" s="839"/>
      <c r="N1880" s="837"/>
      <c r="O1880" s="837"/>
    </row>
    <row r="1881" spans="1:15">
      <c r="A1881" s="929">
        <f t="shared" si="96"/>
        <v>172</v>
      </c>
      <c r="B1881" s="988" t="s">
        <v>225</v>
      </c>
      <c r="C1881" s="899" t="s">
        <v>2314</v>
      </c>
      <c r="D1881" s="837" t="s">
        <v>2</v>
      </c>
      <c r="E1881" s="986">
        <v>11852.7</v>
      </c>
      <c r="F1881" s="837">
        <v>1</v>
      </c>
      <c r="G1881" s="860">
        <f t="shared" si="98"/>
        <v>11852.7</v>
      </c>
      <c r="H1881" s="837"/>
      <c r="I1881" s="837"/>
      <c r="J1881" s="837"/>
      <c r="K1881" s="839"/>
      <c r="L1881" s="839"/>
      <c r="M1881" s="839"/>
      <c r="N1881" s="837"/>
      <c r="O1881" s="837"/>
    </row>
    <row r="1882" spans="1:15">
      <c r="A1882" s="929">
        <f t="shared" si="96"/>
        <v>173</v>
      </c>
      <c r="B1882" s="988" t="s">
        <v>2315</v>
      </c>
      <c r="C1882" s="899" t="s">
        <v>2316</v>
      </c>
      <c r="D1882" s="837" t="s">
        <v>2</v>
      </c>
      <c r="E1882" s="986">
        <v>3784.2</v>
      </c>
      <c r="F1882" s="837">
        <v>1</v>
      </c>
      <c r="G1882" s="860">
        <f t="shared" si="98"/>
        <v>3784.2</v>
      </c>
      <c r="H1882" s="837"/>
      <c r="I1882" s="837"/>
      <c r="J1882" s="837"/>
      <c r="K1882" s="839"/>
      <c r="L1882" s="839"/>
      <c r="M1882" s="839"/>
      <c r="N1882" s="837"/>
      <c r="O1882" s="837"/>
    </row>
    <row r="1883" spans="1:15">
      <c r="A1883" s="929">
        <f t="shared" si="96"/>
        <v>174</v>
      </c>
      <c r="B1883" s="988" t="s">
        <v>950</v>
      </c>
      <c r="C1883" s="899" t="s">
        <v>2317</v>
      </c>
      <c r="D1883" s="837" t="s">
        <v>2</v>
      </c>
      <c r="E1883" s="986">
        <v>111684</v>
      </c>
      <c r="F1883" s="837">
        <v>1</v>
      </c>
      <c r="G1883" s="860">
        <f t="shared" si="98"/>
        <v>111684</v>
      </c>
      <c r="H1883" s="837"/>
      <c r="I1883" s="837"/>
      <c r="J1883" s="837"/>
      <c r="K1883" s="839"/>
      <c r="L1883" s="839"/>
      <c r="M1883" s="839"/>
      <c r="N1883" s="837"/>
      <c r="O1883" s="837"/>
    </row>
    <row r="1884" spans="1:15">
      <c r="A1884" s="929">
        <f t="shared" si="96"/>
        <v>175</v>
      </c>
      <c r="B1884" s="988" t="s">
        <v>216</v>
      </c>
      <c r="C1884" s="899" t="s">
        <v>2318</v>
      </c>
      <c r="D1884" s="837" t="s">
        <v>2</v>
      </c>
      <c r="E1884" s="986">
        <v>108415</v>
      </c>
      <c r="F1884" s="837">
        <v>1</v>
      </c>
      <c r="G1884" s="860">
        <f t="shared" si="98"/>
        <v>108415</v>
      </c>
      <c r="H1884" s="837"/>
      <c r="I1884" s="837"/>
      <c r="J1884" s="837"/>
      <c r="K1884" s="839"/>
      <c r="L1884" s="839"/>
      <c r="M1884" s="839"/>
      <c r="N1884" s="837"/>
      <c r="O1884" s="837"/>
    </row>
    <row r="1885" spans="1:15">
      <c r="A1885" s="929">
        <f t="shared" si="96"/>
        <v>176</v>
      </c>
      <c r="B1885" s="988" t="s">
        <v>2319</v>
      </c>
      <c r="C1885" s="899" t="s">
        <v>2320</v>
      </c>
      <c r="D1885" s="837" t="s">
        <v>2</v>
      </c>
      <c r="E1885" s="986">
        <v>10760</v>
      </c>
      <c r="F1885" s="837">
        <v>5</v>
      </c>
      <c r="G1885" s="860">
        <f t="shared" si="98"/>
        <v>53800</v>
      </c>
      <c r="H1885" s="837"/>
      <c r="I1885" s="837"/>
      <c r="J1885" s="837"/>
      <c r="K1885" s="839"/>
      <c r="L1885" s="839"/>
      <c r="M1885" s="839"/>
      <c r="N1885" s="837"/>
      <c r="O1885" s="837"/>
    </row>
    <row r="1886" spans="1:15">
      <c r="A1886" s="929"/>
      <c r="B1886" s="988" t="s">
        <v>2321</v>
      </c>
      <c r="C1886" s="899" t="s">
        <v>2322</v>
      </c>
      <c r="D1886" s="837" t="s">
        <v>2</v>
      </c>
      <c r="E1886" s="986">
        <v>56523</v>
      </c>
      <c r="F1886" s="837">
        <v>1</v>
      </c>
      <c r="G1886" s="860">
        <f t="shared" si="98"/>
        <v>56523</v>
      </c>
      <c r="H1886" s="837"/>
      <c r="I1886" s="837"/>
      <c r="J1886" s="837"/>
      <c r="K1886" s="839"/>
      <c r="L1886" s="839"/>
      <c r="M1886" s="839"/>
      <c r="N1886" s="837"/>
      <c r="O1886" s="837"/>
    </row>
    <row r="1887" spans="1:15">
      <c r="A1887" s="929"/>
      <c r="B1887" s="988" t="s">
        <v>2323</v>
      </c>
      <c r="C1887" s="899" t="s">
        <v>2324</v>
      </c>
      <c r="D1887" s="837" t="s">
        <v>2</v>
      </c>
      <c r="E1887" s="986">
        <v>4500</v>
      </c>
      <c r="F1887" s="837"/>
      <c r="G1887" s="837"/>
      <c r="H1887" s="837"/>
      <c r="I1887" s="837"/>
      <c r="J1887" s="837"/>
      <c r="K1887" s="839"/>
      <c r="L1887" s="839">
        <v>1</v>
      </c>
      <c r="M1887" s="880">
        <f t="shared" ref="M1887:M1892" si="99">L1887*E1887</f>
        <v>4500</v>
      </c>
      <c r="N1887" s="837"/>
      <c r="O1887" s="837"/>
    </row>
    <row r="1888" spans="1:15">
      <c r="A1888" s="929"/>
      <c r="B1888" s="988" t="s">
        <v>886</v>
      </c>
      <c r="C1888" s="899" t="s">
        <v>2325</v>
      </c>
      <c r="D1888" s="837" t="s">
        <v>2</v>
      </c>
      <c r="E1888" s="986">
        <v>4550</v>
      </c>
      <c r="F1888" s="837"/>
      <c r="G1888" s="837"/>
      <c r="H1888" s="837"/>
      <c r="I1888" s="837"/>
      <c r="J1888" s="837"/>
      <c r="K1888" s="839"/>
      <c r="L1888" s="839">
        <v>1</v>
      </c>
      <c r="M1888" s="880">
        <f t="shared" si="99"/>
        <v>4550</v>
      </c>
      <c r="N1888" s="837"/>
      <c r="O1888" s="837"/>
    </row>
    <row r="1889" spans="1:15">
      <c r="A1889" s="929"/>
      <c r="B1889" s="988" t="s">
        <v>886</v>
      </c>
      <c r="C1889" s="899" t="s">
        <v>2326</v>
      </c>
      <c r="D1889" s="837" t="s">
        <v>2</v>
      </c>
      <c r="E1889" s="986">
        <v>3000</v>
      </c>
      <c r="F1889" s="837"/>
      <c r="G1889" s="837"/>
      <c r="H1889" s="837"/>
      <c r="I1889" s="837"/>
      <c r="J1889" s="837"/>
      <c r="K1889" s="839"/>
      <c r="L1889" s="839">
        <v>1</v>
      </c>
      <c r="M1889" s="880">
        <f t="shared" si="99"/>
        <v>3000</v>
      </c>
      <c r="N1889" s="837"/>
      <c r="O1889" s="837"/>
    </row>
    <row r="1890" spans="1:15">
      <c r="A1890" s="929">
        <f>A1885+1</f>
        <v>177</v>
      </c>
      <c r="B1890" s="988" t="s">
        <v>2327</v>
      </c>
      <c r="C1890" s="899" t="s">
        <v>2328</v>
      </c>
      <c r="D1890" s="837" t="s">
        <v>2</v>
      </c>
      <c r="E1890" s="986">
        <v>7500</v>
      </c>
      <c r="F1890" s="837"/>
      <c r="G1890" s="837"/>
      <c r="H1890" s="837"/>
      <c r="I1890" s="837"/>
      <c r="J1890" s="837"/>
      <c r="K1890" s="839"/>
      <c r="L1890" s="839">
        <v>1</v>
      </c>
      <c r="M1890" s="880">
        <f t="shared" si="99"/>
        <v>7500</v>
      </c>
      <c r="N1890" s="837"/>
      <c r="O1890" s="837"/>
    </row>
    <row r="1891" spans="1:15">
      <c r="A1891" s="929">
        <f t="shared" ref="A1891:A1895" si="100">A1890+1</f>
        <v>178</v>
      </c>
      <c r="B1891" s="988" t="s">
        <v>2329</v>
      </c>
      <c r="C1891" s="899" t="s">
        <v>2330</v>
      </c>
      <c r="D1891" s="837" t="s">
        <v>2</v>
      </c>
      <c r="E1891" s="986">
        <v>5300</v>
      </c>
      <c r="F1891" s="837"/>
      <c r="G1891" s="837"/>
      <c r="H1891" s="837"/>
      <c r="I1891" s="837"/>
      <c r="J1891" s="837"/>
      <c r="K1891" s="839"/>
      <c r="L1891" s="839">
        <v>1</v>
      </c>
      <c r="M1891" s="880">
        <f t="shared" si="99"/>
        <v>5300</v>
      </c>
      <c r="N1891" s="837"/>
      <c r="O1891" s="837"/>
    </row>
    <row r="1892" spans="1:15">
      <c r="A1892" s="929">
        <f t="shared" si="100"/>
        <v>179</v>
      </c>
      <c r="B1892" s="988" t="s">
        <v>2331</v>
      </c>
      <c r="C1892" s="899" t="s">
        <v>2332</v>
      </c>
      <c r="D1892" s="837" t="s">
        <v>2</v>
      </c>
      <c r="E1892" s="986">
        <v>10000</v>
      </c>
      <c r="F1892" s="837"/>
      <c r="G1892" s="837"/>
      <c r="H1892" s="837"/>
      <c r="I1892" s="837"/>
      <c r="J1892" s="837"/>
      <c r="K1892" s="839"/>
      <c r="L1892" s="839">
        <v>1</v>
      </c>
      <c r="M1892" s="880">
        <f t="shared" si="99"/>
        <v>10000</v>
      </c>
      <c r="N1892" s="837"/>
      <c r="O1892" s="837"/>
    </row>
    <row r="1893" spans="1:15">
      <c r="A1893" s="929">
        <f t="shared" si="100"/>
        <v>180</v>
      </c>
      <c r="B1893" s="988" t="s">
        <v>891</v>
      </c>
      <c r="C1893" s="899" t="s">
        <v>2333</v>
      </c>
      <c r="D1893" s="837" t="s">
        <v>2</v>
      </c>
      <c r="E1893" s="986">
        <v>36102</v>
      </c>
      <c r="F1893" s="837">
        <v>2</v>
      </c>
      <c r="G1893" s="860">
        <f t="shared" ref="G1893:G1914" si="101">E1893*F1893</f>
        <v>72204</v>
      </c>
      <c r="H1893" s="837"/>
      <c r="I1893" s="837"/>
      <c r="J1893" s="837"/>
      <c r="K1893" s="839"/>
      <c r="L1893" s="839"/>
      <c r="M1893" s="839"/>
      <c r="N1893" s="837"/>
      <c r="O1893" s="837"/>
    </row>
    <row r="1894" spans="1:15">
      <c r="A1894" s="929">
        <f t="shared" si="100"/>
        <v>181</v>
      </c>
      <c r="B1894" s="988" t="s">
        <v>2334</v>
      </c>
      <c r="C1894" s="899" t="s">
        <v>2335</v>
      </c>
      <c r="D1894" s="837" t="s">
        <v>2</v>
      </c>
      <c r="E1894" s="986">
        <v>8644</v>
      </c>
      <c r="F1894" s="989"/>
      <c r="G1894" s="27"/>
      <c r="H1894" s="837"/>
      <c r="I1894" s="837"/>
      <c r="J1894" s="837"/>
      <c r="K1894" s="837"/>
      <c r="L1894" s="837">
        <v>1</v>
      </c>
      <c r="M1894" s="880">
        <f>L1894*E1894</f>
        <v>8644</v>
      </c>
      <c r="N1894" s="837"/>
      <c r="O1894" s="837"/>
    </row>
    <row r="1895" spans="1:15">
      <c r="A1895" s="929">
        <f t="shared" si="100"/>
        <v>182</v>
      </c>
      <c r="B1895" s="988" t="s">
        <v>2336</v>
      </c>
      <c r="C1895" s="899" t="s">
        <v>2337</v>
      </c>
      <c r="D1895" s="837" t="s">
        <v>2</v>
      </c>
      <c r="E1895" s="986">
        <v>2775</v>
      </c>
      <c r="F1895" s="837">
        <v>1</v>
      </c>
      <c r="G1895" s="860">
        <f t="shared" si="101"/>
        <v>2775</v>
      </c>
      <c r="H1895" s="837"/>
      <c r="I1895" s="837"/>
      <c r="J1895" s="837"/>
      <c r="K1895" s="839"/>
      <c r="L1895" s="839"/>
      <c r="M1895" s="839"/>
      <c r="N1895" s="837"/>
      <c r="O1895" s="837"/>
    </row>
    <row r="1896" spans="1:15">
      <c r="A1896" s="929"/>
      <c r="B1896" s="988" t="s">
        <v>2338</v>
      </c>
      <c r="C1896" s="899" t="s">
        <v>2339</v>
      </c>
      <c r="D1896" s="837" t="s">
        <v>2</v>
      </c>
      <c r="E1896" s="986">
        <v>86111</v>
      </c>
      <c r="F1896" s="837">
        <v>1</v>
      </c>
      <c r="G1896" s="860">
        <f t="shared" si="101"/>
        <v>86111</v>
      </c>
      <c r="H1896" s="837"/>
      <c r="I1896" s="837"/>
      <c r="J1896" s="837"/>
      <c r="K1896" s="839"/>
      <c r="L1896" s="839"/>
      <c r="M1896" s="839"/>
      <c r="N1896" s="837"/>
      <c r="O1896" s="837"/>
    </row>
    <row r="1897" spans="1:15">
      <c r="A1897" s="929">
        <f>A1895+1</f>
        <v>183</v>
      </c>
      <c r="B1897" s="988" t="s">
        <v>2340</v>
      </c>
      <c r="C1897" s="899" t="s">
        <v>2341</v>
      </c>
      <c r="D1897" s="837" t="s">
        <v>2</v>
      </c>
      <c r="E1897" s="986">
        <v>77172</v>
      </c>
      <c r="F1897" s="837">
        <v>1</v>
      </c>
      <c r="G1897" s="860">
        <f t="shared" si="101"/>
        <v>77172</v>
      </c>
      <c r="H1897" s="837"/>
      <c r="I1897" s="837"/>
      <c r="J1897" s="837"/>
      <c r="K1897" s="839"/>
      <c r="L1897" s="839"/>
      <c r="M1897" s="839"/>
      <c r="N1897" s="837"/>
      <c r="O1897" s="837"/>
    </row>
    <row r="1898" spans="1:15" ht="31.5">
      <c r="A1898" s="929">
        <f t="shared" ref="A1898:A1903" si="102">A1897+1</f>
        <v>184</v>
      </c>
      <c r="B1898" s="988" t="s">
        <v>2342</v>
      </c>
      <c r="C1898" s="899" t="s">
        <v>2343</v>
      </c>
      <c r="D1898" s="837" t="s">
        <v>2</v>
      </c>
      <c r="E1898" s="986">
        <v>7994.5</v>
      </c>
      <c r="F1898" s="837">
        <v>1</v>
      </c>
      <c r="G1898" s="860">
        <f t="shared" si="101"/>
        <v>7994.5</v>
      </c>
      <c r="H1898" s="837"/>
      <c r="I1898" s="837"/>
      <c r="J1898" s="837"/>
      <c r="K1898" s="839"/>
      <c r="L1898" s="839"/>
      <c r="M1898" s="839"/>
      <c r="N1898" s="837"/>
      <c r="O1898" s="837"/>
    </row>
    <row r="1899" spans="1:15" ht="31.5">
      <c r="A1899" s="929">
        <f t="shared" si="102"/>
        <v>185</v>
      </c>
      <c r="B1899" s="988" t="s">
        <v>2344</v>
      </c>
      <c r="C1899" s="899" t="s">
        <v>2345</v>
      </c>
      <c r="D1899" s="837" t="s">
        <v>2</v>
      </c>
      <c r="E1899" s="986">
        <v>7994.5</v>
      </c>
      <c r="F1899" s="837">
        <v>1</v>
      </c>
      <c r="G1899" s="860">
        <f t="shared" si="101"/>
        <v>7994.5</v>
      </c>
      <c r="H1899" s="837"/>
      <c r="I1899" s="837"/>
      <c r="J1899" s="837"/>
      <c r="K1899" s="839"/>
      <c r="L1899" s="839"/>
      <c r="M1899" s="839"/>
      <c r="N1899" s="837"/>
      <c r="O1899" s="837"/>
    </row>
    <row r="1900" spans="1:15" ht="31.5">
      <c r="A1900" s="929">
        <f t="shared" si="102"/>
        <v>186</v>
      </c>
      <c r="B1900" s="988" t="s">
        <v>1199</v>
      </c>
      <c r="C1900" s="899" t="s">
        <v>2346</v>
      </c>
      <c r="D1900" s="837" t="s">
        <v>2</v>
      </c>
      <c r="E1900" s="986">
        <v>3953</v>
      </c>
      <c r="F1900" s="837">
        <v>2</v>
      </c>
      <c r="G1900" s="860">
        <f t="shared" si="101"/>
        <v>7906</v>
      </c>
      <c r="H1900" s="837"/>
      <c r="I1900" s="837"/>
      <c r="J1900" s="837"/>
      <c r="K1900" s="839"/>
      <c r="L1900" s="839"/>
      <c r="M1900" s="839"/>
      <c r="N1900" s="837"/>
      <c r="O1900" s="837"/>
    </row>
    <row r="1901" spans="1:15">
      <c r="A1901" s="929">
        <f t="shared" si="102"/>
        <v>187</v>
      </c>
      <c r="B1901" s="988" t="s">
        <v>237</v>
      </c>
      <c r="C1901" s="899" t="s">
        <v>2347</v>
      </c>
      <c r="D1901" s="837" t="s">
        <v>2</v>
      </c>
      <c r="E1901" s="986">
        <v>206.5</v>
      </c>
      <c r="F1901" s="837">
        <v>2</v>
      </c>
      <c r="G1901" s="860">
        <f t="shared" si="101"/>
        <v>413</v>
      </c>
      <c r="H1901" s="837"/>
      <c r="I1901" s="837"/>
      <c r="J1901" s="837"/>
      <c r="K1901" s="839"/>
      <c r="L1901" s="839"/>
      <c r="M1901" s="839"/>
      <c r="N1901" s="837"/>
      <c r="O1901" s="837"/>
    </row>
    <row r="1902" spans="1:15">
      <c r="A1902" s="929">
        <f t="shared" si="102"/>
        <v>188</v>
      </c>
      <c r="B1902" s="988" t="s">
        <v>2348</v>
      </c>
      <c r="C1902" s="899" t="s">
        <v>2349</v>
      </c>
      <c r="D1902" s="837" t="s">
        <v>2</v>
      </c>
      <c r="E1902" s="986">
        <v>413</v>
      </c>
      <c r="F1902" s="837">
        <v>2</v>
      </c>
      <c r="G1902" s="860">
        <f t="shared" si="101"/>
        <v>826</v>
      </c>
      <c r="H1902" s="837"/>
      <c r="I1902" s="837"/>
      <c r="J1902" s="837"/>
      <c r="K1902" s="839"/>
      <c r="L1902" s="839"/>
      <c r="M1902" s="839"/>
      <c r="N1902" s="837"/>
      <c r="O1902" s="837"/>
    </row>
    <row r="1903" spans="1:15">
      <c r="A1903" s="929">
        <f t="shared" si="102"/>
        <v>189</v>
      </c>
      <c r="B1903" s="988" t="s">
        <v>122</v>
      </c>
      <c r="C1903" s="899" t="s">
        <v>2350</v>
      </c>
      <c r="D1903" s="837" t="s">
        <v>2</v>
      </c>
      <c r="E1903" s="986">
        <v>171.1</v>
      </c>
      <c r="F1903" s="837">
        <v>10</v>
      </c>
      <c r="G1903" s="860">
        <f t="shared" si="101"/>
        <v>1711</v>
      </c>
      <c r="H1903" s="837"/>
      <c r="I1903" s="837"/>
      <c r="J1903" s="837"/>
      <c r="K1903" s="839"/>
      <c r="L1903" s="839"/>
      <c r="M1903" s="839"/>
      <c r="N1903" s="837"/>
      <c r="O1903" s="837"/>
    </row>
    <row r="1904" spans="1:15">
      <c r="A1904" s="929">
        <v>190</v>
      </c>
      <c r="B1904" s="988" t="s">
        <v>2351</v>
      </c>
      <c r="C1904" s="899" t="s">
        <v>2352</v>
      </c>
      <c r="D1904" s="837" t="s">
        <v>2</v>
      </c>
      <c r="E1904" s="986">
        <v>0</v>
      </c>
      <c r="F1904" s="837">
        <v>1</v>
      </c>
      <c r="G1904" s="860">
        <f t="shared" si="101"/>
        <v>0</v>
      </c>
      <c r="H1904" s="837"/>
      <c r="I1904" s="837"/>
      <c r="J1904" s="837"/>
      <c r="K1904" s="839"/>
      <c r="L1904" s="839"/>
      <c r="M1904" s="839"/>
      <c r="N1904" s="837"/>
      <c r="O1904" s="837"/>
    </row>
    <row r="1905" spans="1:15">
      <c r="A1905" s="929">
        <v>191</v>
      </c>
      <c r="B1905" s="988" t="s">
        <v>2353</v>
      </c>
      <c r="C1905" s="899" t="s">
        <v>2354</v>
      </c>
      <c r="D1905" s="837" t="s">
        <v>2</v>
      </c>
      <c r="E1905" s="986">
        <v>6753</v>
      </c>
      <c r="F1905" s="837">
        <v>1</v>
      </c>
      <c r="G1905" s="860">
        <f t="shared" si="101"/>
        <v>6753</v>
      </c>
      <c r="H1905" s="837"/>
      <c r="I1905" s="837"/>
      <c r="J1905" s="837"/>
      <c r="K1905" s="839"/>
      <c r="L1905" s="839"/>
      <c r="M1905" s="839"/>
      <c r="N1905" s="837"/>
      <c r="O1905" s="837"/>
    </row>
    <row r="1906" spans="1:15">
      <c r="A1906" s="929"/>
      <c r="B1906" s="988" t="s">
        <v>225</v>
      </c>
      <c r="C1906" s="899" t="s">
        <v>2355</v>
      </c>
      <c r="D1906" s="837" t="s">
        <v>2</v>
      </c>
      <c r="E1906" s="986">
        <v>29169.9</v>
      </c>
      <c r="F1906" s="837">
        <v>4</v>
      </c>
      <c r="G1906" s="860">
        <f t="shared" si="101"/>
        <v>116679.6</v>
      </c>
      <c r="H1906" s="837"/>
      <c r="I1906" s="837"/>
      <c r="J1906" s="837"/>
      <c r="K1906" s="839"/>
      <c r="L1906" s="839"/>
      <c r="M1906" s="839"/>
      <c r="N1906" s="837"/>
      <c r="O1906" s="837"/>
    </row>
    <row r="1907" spans="1:15">
      <c r="A1907" s="929"/>
      <c r="B1907" s="988" t="s">
        <v>153</v>
      </c>
      <c r="C1907" s="899" t="s">
        <v>2356</v>
      </c>
      <c r="D1907" s="837" t="s">
        <v>2</v>
      </c>
      <c r="E1907" s="986">
        <v>28650.82</v>
      </c>
      <c r="F1907" s="837">
        <v>2</v>
      </c>
      <c r="G1907" s="860">
        <f t="shared" si="101"/>
        <v>57301.64</v>
      </c>
      <c r="H1907" s="837"/>
      <c r="I1907" s="837"/>
      <c r="J1907" s="837"/>
      <c r="K1907" s="839"/>
      <c r="L1907" s="839"/>
      <c r="M1907" s="839"/>
      <c r="N1907" s="837"/>
      <c r="O1907" s="837"/>
    </row>
    <row r="1908" spans="1:15">
      <c r="A1908" s="929"/>
      <c r="B1908" s="988" t="s">
        <v>2338</v>
      </c>
      <c r="C1908" s="899" t="s">
        <v>2357</v>
      </c>
      <c r="D1908" s="837" t="s">
        <v>2</v>
      </c>
      <c r="E1908" s="986">
        <v>194600</v>
      </c>
      <c r="F1908" s="837">
        <v>1</v>
      </c>
      <c r="G1908" s="860">
        <f t="shared" si="101"/>
        <v>194600</v>
      </c>
      <c r="H1908" s="837"/>
      <c r="I1908" s="837"/>
      <c r="J1908" s="837"/>
      <c r="K1908" s="839"/>
      <c r="L1908" s="839"/>
      <c r="M1908" s="839"/>
      <c r="N1908" s="837"/>
      <c r="O1908" s="837"/>
    </row>
    <row r="1909" spans="1:15">
      <c r="A1909" s="929"/>
      <c r="B1909" s="988" t="s">
        <v>143</v>
      </c>
      <c r="C1909" s="899" t="s">
        <v>51</v>
      </c>
      <c r="D1909" s="837" t="s">
        <v>2</v>
      </c>
      <c r="E1909" s="986">
        <v>49206</v>
      </c>
      <c r="F1909" s="837">
        <v>1</v>
      </c>
      <c r="G1909" s="860">
        <f t="shared" si="101"/>
        <v>49206</v>
      </c>
      <c r="H1909" s="837"/>
      <c r="I1909" s="837"/>
      <c r="J1909" s="837"/>
      <c r="K1909" s="839"/>
      <c r="L1909" s="839"/>
      <c r="M1909" s="839"/>
      <c r="N1909" s="837"/>
      <c r="O1909" s="837"/>
    </row>
    <row r="1910" spans="1:15">
      <c r="A1910" s="929"/>
      <c r="B1910" s="988" t="s">
        <v>962</v>
      </c>
      <c r="C1910" s="899" t="s">
        <v>518</v>
      </c>
      <c r="D1910" s="837" t="s">
        <v>2</v>
      </c>
      <c r="E1910" s="986">
        <v>7906</v>
      </c>
      <c r="F1910" s="837">
        <v>1</v>
      </c>
      <c r="G1910" s="860">
        <f t="shared" si="101"/>
        <v>7906</v>
      </c>
      <c r="H1910" s="837"/>
      <c r="I1910" s="837"/>
      <c r="J1910" s="837"/>
      <c r="K1910" s="839"/>
      <c r="L1910" s="839"/>
      <c r="M1910" s="839"/>
      <c r="N1910" s="837"/>
      <c r="O1910" s="837"/>
    </row>
    <row r="1911" spans="1:15">
      <c r="A1911" s="929"/>
      <c r="B1911" s="988" t="s">
        <v>2248</v>
      </c>
      <c r="C1911" s="899" t="s">
        <v>2358</v>
      </c>
      <c r="D1911" s="837" t="s">
        <v>2</v>
      </c>
      <c r="E1911" s="986">
        <v>34456</v>
      </c>
      <c r="F1911" s="837">
        <v>1</v>
      </c>
      <c r="G1911" s="860">
        <f t="shared" si="101"/>
        <v>34456</v>
      </c>
      <c r="H1911" s="837"/>
      <c r="I1911" s="837"/>
      <c r="J1911" s="837"/>
      <c r="K1911" s="839"/>
      <c r="L1911" s="839"/>
      <c r="M1911" s="839"/>
      <c r="N1911" s="837"/>
      <c r="O1911" s="837"/>
    </row>
    <row r="1912" spans="1:15">
      <c r="A1912" s="929"/>
      <c r="B1912" s="988" t="s">
        <v>2359</v>
      </c>
      <c r="C1912" s="899" t="s">
        <v>2360</v>
      </c>
      <c r="D1912" s="837" t="s">
        <v>2</v>
      </c>
      <c r="E1912" s="986">
        <v>22184</v>
      </c>
      <c r="F1912" s="837">
        <v>2</v>
      </c>
      <c r="G1912" s="860">
        <f t="shared" si="101"/>
        <v>44368</v>
      </c>
      <c r="H1912" s="837"/>
      <c r="I1912" s="837"/>
      <c r="J1912" s="837"/>
      <c r="K1912" s="839"/>
      <c r="L1912" s="839"/>
      <c r="M1912" s="839"/>
      <c r="N1912" s="837"/>
      <c r="O1912" s="837"/>
    </row>
    <row r="1913" spans="1:15">
      <c r="A1913" s="929"/>
      <c r="B1913" s="988" t="s">
        <v>2361</v>
      </c>
      <c r="C1913" s="899" t="s">
        <v>2362</v>
      </c>
      <c r="D1913" s="837" t="s">
        <v>2</v>
      </c>
      <c r="E1913" s="986">
        <v>5500</v>
      </c>
      <c r="F1913" s="837">
        <v>1</v>
      </c>
      <c r="G1913" s="860">
        <f t="shared" si="101"/>
        <v>5500</v>
      </c>
      <c r="H1913" s="837"/>
      <c r="I1913" s="837"/>
      <c r="J1913" s="837"/>
      <c r="K1913" s="839"/>
      <c r="L1913" s="839"/>
      <c r="M1913" s="839"/>
      <c r="N1913" s="837"/>
      <c r="O1913" s="837"/>
    </row>
    <row r="1914" spans="1:15">
      <c r="A1914" s="929"/>
      <c r="B1914" s="988"/>
      <c r="C1914" s="899" t="s">
        <v>2363</v>
      </c>
      <c r="D1914" s="837" t="s">
        <v>2</v>
      </c>
      <c r="E1914" s="986">
        <v>71508</v>
      </c>
      <c r="F1914" s="837">
        <v>1</v>
      </c>
      <c r="G1914" s="860">
        <f t="shared" si="101"/>
        <v>71508</v>
      </c>
      <c r="H1914" s="837"/>
      <c r="I1914" s="837"/>
      <c r="J1914" s="837"/>
      <c r="K1914" s="839"/>
      <c r="L1914" s="839"/>
      <c r="M1914" s="839"/>
      <c r="N1914" s="837"/>
      <c r="O1914" s="837"/>
    </row>
    <row r="1915" spans="1:15">
      <c r="A1915" s="967" t="s">
        <v>2214</v>
      </c>
      <c r="B1915" s="968"/>
      <c r="C1915" s="969"/>
      <c r="D1915" s="969"/>
      <c r="E1915" s="970"/>
      <c r="F1915" s="971"/>
      <c r="G1915" s="972">
        <f t="shared" ref="G1915:K1915" si="103">SUM(G1821:G1914)</f>
        <v>2110839.7099399995</v>
      </c>
      <c r="H1915" s="971"/>
      <c r="I1915" s="972">
        <f t="shared" si="103"/>
        <v>0</v>
      </c>
      <c r="J1915" s="971"/>
      <c r="K1915" s="972">
        <f t="shared" si="103"/>
        <v>0</v>
      </c>
      <c r="L1915" s="971"/>
      <c r="M1915" s="972">
        <f>SUM(M1821:M1914)</f>
        <v>153327</v>
      </c>
      <c r="N1915" s="971"/>
      <c r="O1915" s="972">
        <f>SUM(O1821:O1914)</f>
        <v>0</v>
      </c>
    </row>
    <row r="1916" spans="1:15">
      <c r="A1916" s="990"/>
      <c r="B1916" s="991"/>
      <c r="C1916" s="990"/>
      <c r="D1916" s="992"/>
      <c r="E1916" s="993"/>
      <c r="F1916" s="989"/>
      <c r="G1916" s="989"/>
      <c r="H1916" s="989"/>
      <c r="I1916" s="989"/>
      <c r="J1916" s="989"/>
      <c r="K1916" s="989"/>
      <c r="L1916" s="989"/>
      <c r="M1916" s="989"/>
      <c r="N1916" s="989"/>
      <c r="O1916" s="994"/>
    </row>
    <row r="1917" spans="1:15">
      <c r="A1917" s="990"/>
      <c r="B1917" s="991"/>
      <c r="C1917" s="990"/>
      <c r="D1917" s="992"/>
      <c r="E1917" s="993"/>
      <c r="F1917" s="989"/>
      <c r="G1917" s="989"/>
      <c r="H1917" s="989"/>
      <c r="I1917" s="989"/>
      <c r="J1917" s="989"/>
      <c r="K1917" s="989"/>
      <c r="L1917" s="989"/>
      <c r="M1917" s="989"/>
      <c r="N1917" s="989"/>
      <c r="O1917" s="994"/>
    </row>
    <row r="1918" spans="1:15">
      <c r="A1918" s="990"/>
      <c r="B1918" s="991"/>
      <c r="C1918" s="990"/>
      <c r="D1918" s="992"/>
      <c r="E1918" s="993"/>
      <c r="F1918" s="989"/>
      <c r="G1918" s="989"/>
      <c r="H1918" s="989"/>
      <c r="I1918" s="989"/>
      <c r="J1918" s="989"/>
      <c r="K1918" s="989"/>
      <c r="L1918" s="989"/>
      <c r="M1918" s="989"/>
      <c r="N1918" s="989"/>
      <c r="O1918" s="994"/>
    </row>
    <row r="1919" spans="1:15" ht="18.75">
      <c r="A1919" s="995" t="s">
        <v>2364</v>
      </c>
      <c r="B1919" s="995"/>
      <c r="C1919" s="995"/>
      <c r="D1919" s="995"/>
      <c r="E1919" s="995"/>
      <c r="F1919" s="995"/>
      <c r="G1919" s="995"/>
      <c r="H1919" s="995"/>
      <c r="I1919" s="995"/>
      <c r="J1919" s="995"/>
      <c r="K1919" s="995"/>
    </row>
    <row r="1920" spans="1:15" ht="18.75">
      <c r="A1920" s="996" t="s">
        <v>2365</v>
      </c>
      <c r="B1920" s="996"/>
      <c r="C1920" s="996"/>
      <c r="D1920" s="996"/>
      <c r="E1920" s="996"/>
      <c r="F1920" s="996"/>
      <c r="G1920" s="996"/>
      <c r="H1920" s="996"/>
      <c r="I1920" s="996"/>
      <c r="J1920" s="996"/>
      <c r="K1920" s="996"/>
    </row>
    <row r="1921" spans="1:11" ht="22.5">
      <c r="A1921" s="997" t="s">
        <v>2366</v>
      </c>
      <c r="B1921" s="997"/>
      <c r="C1921" s="997"/>
      <c r="D1921" s="997"/>
      <c r="E1921" s="997"/>
      <c r="F1921" s="997"/>
      <c r="G1921" s="997"/>
      <c r="H1921" s="997"/>
      <c r="I1921" s="997"/>
      <c r="J1921" s="997"/>
      <c r="K1921" s="997"/>
    </row>
    <row r="1922" spans="1:11">
      <c r="A1922" s="998" t="s">
        <v>6</v>
      </c>
      <c r="B1922" s="999" t="s">
        <v>28</v>
      </c>
      <c r="C1922" s="998" t="s">
        <v>7</v>
      </c>
      <c r="D1922" s="1000" t="s">
        <v>8</v>
      </c>
      <c r="E1922" s="1001" t="s">
        <v>30</v>
      </c>
      <c r="F1922" s="1002"/>
      <c r="G1922" s="1002"/>
      <c r="H1922" s="1002"/>
      <c r="I1922" s="1003"/>
      <c r="J1922" s="1004" t="s">
        <v>26</v>
      </c>
      <c r="K1922" s="1004" t="s">
        <v>27</v>
      </c>
    </row>
    <row r="1923" spans="1:11">
      <c r="A1923" s="1005"/>
      <c r="B1923" s="1006"/>
      <c r="C1923" s="1005"/>
      <c r="D1923" s="6"/>
      <c r="E1923" s="16" t="s">
        <v>18</v>
      </c>
      <c r="F1923" s="16" t="s">
        <v>29</v>
      </c>
      <c r="G1923" s="16" t="s">
        <v>11</v>
      </c>
      <c r="H1923" s="16" t="s">
        <v>21</v>
      </c>
      <c r="I1923" s="16" t="s">
        <v>1</v>
      </c>
      <c r="J1923" s="1007"/>
      <c r="K1923" s="1007"/>
    </row>
    <row r="1924" spans="1:11">
      <c r="A1924" s="694">
        <v>1</v>
      </c>
      <c r="B1924" s="693" t="s">
        <v>364</v>
      </c>
      <c r="C1924" s="692" t="s">
        <v>2367</v>
      </c>
      <c r="D1924" s="694" t="s">
        <v>367</v>
      </c>
      <c r="E1924" s="694">
        <v>9.8000000000000004E-2</v>
      </c>
      <c r="F1924" s="4"/>
      <c r="G1924" s="4"/>
      <c r="H1924" s="4"/>
      <c r="I1924" s="4"/>
      <c r="J1924" s="1008">
        <v>300000</v>
      </c>
      <c r="K1924" s="714">
        <f>E1924*J1924</f>
        <v>29400</v>
      </c>
    </row>
    <row r="1925" spans="1:11">
      <c r="A1925" s="694">
        <v>2</v>
      </c>
      <c r="B1925" s="693" t="s">
        <v>2368</v>
      </c>
      <c r="C1925" s="692" t="s">
        <v>2369</v>
      </c>
      <c r="D1925" s="694" t="s">
        <v>4</v>
      </c>
      <c r="E1925" s="694">
        <v>65</v>
      </c>
      <c r="F1925" s="4"/>
      <c r="G1925" s="4"/>
      <c r="H1925" s="4"/>
      <c r="I1925" s="4"/>
      <c r="J1925" s="1008">
        <v>100</v>
      </c>
      <c r="K1925" s="714">
        <f t="shared" ref="K1925:K1988" si="104">E1925*J1925</f>
        <v>6500</v>
      </c>
    </row>
    <row r="1926" spans="1:11" ht="33">
      <c r="A1926" s="694">
        <v>3</v>
      </c>
      <c r="B1926" s="693" t="s">
        <v>2370</v>
      </c>
      <c r="C1926" s="1009" t="s">
        <v>2371</v>
      </c>
      <c r="D1926" s="694" t="s">
        <v>13</v>
      </c>
      <c r="E1926" s="4">
        <v>1</v>
      </c>
      <c r="F1926" s="4"/>
      <c r="G1926" s="4"/>
      <c r="H1926" s="4"/>
      <c r="I1926" s="4"/>
      <c r="J1926" s="1008">
        <v>115109</v>
      </c>
      <c r="K1926" s="714">
        <f t="shared" si="104"/>
        <v>115109</v>
      </c>
    </row>
    <row r="1927" spans="1:11">
      <c r="A1927" s="694">
        <v>4</v>
      </c>
      <c r="B1927" s="1116" t="s">
        <v>2372</v>
      </c>
      <c r="C1927" s="1010" t="s">
        <v>2373</v>
      </c>
      <c r="D1927" s="4" t="s">
        <v>319</v>
      </c>
      <c r="E1927" s="4">
        <v>6.5000000000000002E-2</v>
      </c>
      <c r="F1927" s="4"/>
      <c r="G1927" s="4"/>
      <c r="H1927" s="4"/>
      <c r="I1927" s="4"/>
      <c r="J1927" s="1011">
        <v>120039.3</v>
      </c>
      <c r="K1927" s="714">
        <f t="shared" si="104"/>
        <v>7802.5545000000002</v>
      </c>
    </row>
    <row r="1928" spans="1:11">
      <c r="A1928" s="694">
        <v>5</v>
      </c>
      <c r="B1928" s="1116" t="s">
        <v>2372</v>
      </c>
      <c r="C1928" s="1010" t="s">
        <v>2373</v>
      </c>
      <c r="D1928" s="4" t="s">
        <v>319</v>
      </c>
      <c r="E1928" s="4">
        <v>0.22900000000000001</v>
      </c>
      <c r="F1928" s="4"/>
      <c r="G1928" s="4"/>
      <c r="H1928" s="4"/>
      <c r="I1928" s="4"/>
      <c r="J1928" s="1011">
        <v>114793</v>
      </c>
      <c r="K1928" s="714">
        <f t="shared" si="104"/>
        <v>26287.597000000002</v>
      </c>
    </row>
    <row r="1929" spans="1:11">
      <c r="A1929" s="694">
        <v>6</v>
      </c>
      <c r="B1929" s="1116" t="s">
        <v>1096</v>
      </c>
      <c r="C1929" s="1010" t="s">
        <v>2374</v>
      </c>
      <c r="D1929" s="4" t="s">
        <v>319</v>
      </c>
      <c r="E1929" s="4">
        <v>6.5000000000000002E-2</v>
      </c>
      <c r="F1929" s="4"/>
      <c r="G1929" s="4"/>
      <c r="H1929" s="4"/>
      <c r="I1929" s="4"/>
      <c r="J1929" s="1011">
        <v>88528</v>
      </c>
      <c r="K1929" s="714">
        <f t="shared" si="104"/>
        <v>5754.3200000000006</v>
      </c>
    </row>
    <row r="1930" spans="1:11">
      <c r="A1930" s="694">
        <v>7</v>
      </c>
      <c r="B1930" s="1116" t="s">
        <v>1094</v>
      </c>
      <c r="C1930" s="697" t="s">
        <v>2375</v>
      </c>
      <c r="D1930" s="4" t="s">
        <v>1024</v>
      </c>
      <c r="E1930" s="4">
        <v>500</v>
      </c>
      <c r="F1930" s="4"/>
      <c r="G1930" s="4"/>
      <c r="H1930" s="4"/>
      <c r="I1930" s="4"/>
      <c r="J1930" s="1012">
        <v>100.24</v>
      </c>
      <c r="K1930" s="714">
        <f t="shared" si="104"/>
        <v>50120</v>
      </c>
    </row>
    <row r="1931" spans="1:11">
      <c r="A1931" s="694">
        <v>8</v>
      </c>
      <c r="B1931" s="698" t="s">
        <v>2376</v>
      </c>
      <c r="C1931" s="700" t="s">
        <v>2377</v>
      </c>
      <c r="D1931" s="4" t="s">
        <v>324</v>
      </c>
      <c r="E1931" s="4">
        <v>2.492</v>
      </c>
      <c r="F1931" s="4"/>
      <c r="G1931" s="4"/>
      <c r="H1931" s="4"/>
      <c r="I1931" s="4"/>
      <c r="J1931" s="391">
        <v>55000</v>
      </c>
      <c r="K1931" s="714">
        <f t="shared" si="104"/>
        <v>137060</v>
      </c>
    </row>
    <row r="1932" spans="1:11" ht="33">
      <c r="A1932" s="694">
        <v>9</v>
      </c>
      <c r="B1932" s="698" t="s">
        <v>2378</v>
      </c>
      <c r="C1932" s="790" t="s">
        <v>2379</v>
      </c>
      <c r="D1932" s="4" t="s">
        <v>324</v>
      </c>
      <c r="E1932" s="4">
        <v>0.84499999999999997</v>
      </c>
      <c r="F1932" s="4"/>
      <c r="G1932" s="4"/>
      <c r="H1932" s="4"/>
      <c r="I1932" s="4"/>
      <c r="J1932" s="391">
        <v>79980</v>
      </c>
      <c r="K1932" s="714">
        <f t="shared" si="104"/>
        <v>67583.099999999991</v>
      </c>
    </row>
    <row r="1933" spans="1:11">
      <c r="A1933" s="694">
        <v>10</v>
      </c>
      <c r="B1933" s="698" t="s">
        <v>2380</v>
      </c>
      <c r="C1933" s="700" t="s">
        <v>2381</v>
      </c>
      <c r="D1933" s="4" t="s">
        <v>9</v>
      </c>
      <c r="E1933" s="4">
        <v>50</v>
      </c>
      <c r="F1933" s="4"/>
      <c r="G1933" s="4"/>
      <c r="H1933" s="4"/>
      <c r="I1933" s="4"/>
      <c r="J1933" s="391">
        <v>9.5</v>
      </c>
      <c r="K1933" s="714">
        <f t="shared" si="104"/>
        <v>475</v>
      </c>
    </row>
    <row r="1934" spans="1:11">
      <c r="A1934" s="694">
        <v>11</v>
      </c>
      <c r="B1934" s="698" t="s">
        <v>2382</v>
      </c>
      <c r="C1934" s="700" t="s">
        <v>2383</v>
      </c>
      <c r="D1934" s="4" t="s">
        <v>9</v>
      </c>
      <c r="E1934" s="4">
        <v>964</v>
      </c>
      <c r="F1934" s="4"/>
      <c r="G1934" s="4"/>
      <c r="H1934" s="4"/>
      <c r="I1934" s="4"/>
      <c r="J1934" s="391">
        <v>7</v>
      </c>
      <c r="K1934" s="714">
        <f t="shared" si="104"/>
        <v>6748</v>
      </c>
    </row>
    <row r="1935" spans="1:11">
      <c r="A1935" s="694">
        <v>12</v>
      </c>
      <c r="B1935" s="698" t="s">
        <v>2384</v>
      </c>
      <c r="C1935" s="1013" t="s">
        <v>2385</v>
      </c>
      <c r="D1935" s="4" t="s">
        <v>9</v>
      </c>
      <c r="E1935" s="1014">
        <v>91</v>
      </c>
      <c r="F1935" s="4"/>
      <c r="G1935" s="4"/>
      <c r="H1935" s="4"/>
      <c r="I1935" s="4"/>
      <c r="J1935" s="391">
        <v>3</v>
      </c>
      <c r="K1935" s="714">
        <f t="shared" si="104"/>
        <v>273</v>
      </c>
    </row>
    <row r="1936" spans="1:11">
      <c r="A1936" s="694">
        <v>13</v>
      </c>
      <c r="B1936" s="698" t="s">
        <v>2386</v>
      </c>
      <c r="C1936" s="700" t="s">
        <v>2387</v>
      </c>
      <c r="D1936" s="4" t="s">
        <v>5</v>
      </c>
      <c r="E1936" s="4">
        <v>141.9</v>
      </c>
      <c r="F1936" s="4"/>
      <c r="G1936" s="4"/>
      <c r="H1936" s="4"/>
      <c r="I1936" s="4"/>
      <c r="J1936" s="391">
        <v>30</v>
      </c>
      <c r="K1936" s="714">
        <f t="shared" si="104"/>
        <v>4257</v>
      </c>
    </row>
    <row r="1937" spans="1:11">
      <c r="A1937" s="694">
        <v>14</v>
      </c>
      <c r="B1937" s="698" t="s">
        <v>2388</v>
      </c>
      <c r="C1937" s="700" t="s">
        <v>2389</v>
      </c>
      <c r="D1937" s="4" t="s">
        <v>4</v>
      </c>
      <c r="E1937" s="4">
        <v>37</v>
      </c>
      <c r="F1937" s="4"/>
      <c r="G1937" s="4"/>
      <c r="H1937" s="4"/>
      <c r="I1937" s="4"/>
      <c r="J1937" s="391">
        <v>15</v>
      </c>
      <c r="K1937" s="714">
        <f t="shared" si="104"/>
        <v>555</v>
      </c>
    </row>
    <row r="1938" spans="1:11">
      <c r="A1938" s="694">
        <v>15</v>
      </c>
      <c r="B1938" s="698" t="s">
        <v>2390</v>
      </c>
      <c r="C1938" s="697" t="s">
        <v>2391</v>
      </c>
      <c r="D1938" s="700" t="s">
        <v>2</v>
      </c>
      <c r="E1938" s="4">
        <v>7</v>
      </c>
      <c r="F1938" s="4"/>
      <c r="G1938" s="4"/>
      <c r="H1938" s="4"/>
      <c r="I1938" s="4"/>
      <c r="J1938" s="391">
        <v>5788.5</v>
      </c>
      <c r="K1938" s="714">
        <f t="shared" si="104"/>
        <v>40519.5</v>
      </c>
    </row>
    <row r="1939" spans="1:11">
      <c r="A1939" s="694">
        <v>16</v>
      </c>
      <c r="B1939" s="698" t="s">
        <v>2392</v>
      </c>
      <c r="C1939" s="697" t="s">
        <v>2393</v>
      </c>
      <c r="D1939" s="700" t="s">
        <v>2</v>
      </c>
      <c r="E1939" s="4">
        <v>4</v>
      </c>
      <c r="F1939" s="4"/>
      <c r="G1939" s="4"/>
      <c r="H1939" s="4"/>
      <c r="I1939" s="4"/>
      <c r="J1939" s="391">
        <v>3206.38</v>
      </c>
      <c r="K1939" s="714">
        <f t="shared" si="104"/>
        <v>12825.52</v>
      </c>
    </row>
    <row r="1940" spans="1:11">
      <c r="A1940" s="694">
        <v>17</v>
      </c>
      <c r="B1940" s="698" t="s">
        <v>2394</v>
      </c>
      <c r="C1940" s="697" t="s">
        <v>2395</v>
      </c>
      <c r="D1940" s="700" t="s">
        <v>2</v>
      </c>
      <c r="E1940" s="4">
        <v>5</v>
      </c>
      <c r="F1940" s="4"/>
      <c r="G1940" s="4"/>
      <c r="H1940" s="4"/>
      <c r="I1940" s="4"/>
      <c r="J1940" s="391">
        <v>3700</v>
      </c>
      <c r="K1940" s="714">
        <f t="shared" si="104"/>
        <v>18500</v>
      </c>
    </row>
    <row r="1941" spans="1:11" ht="33">
      <c r="A1941" s="694">
        <v>18</v>
      </c>
      <c r="B1941" s="698" t="s">
        <v>2396</v>
      </c>
      <c r="C1941" s="697" t="s">
        <v>2397</v>
      </c>
      <c r="D1941" s="700" t="s">
        <v>9</v>
      </c>
      <c r="E1941" s="4">
        <v>6</v>
      </c>
      <c r="F1941" s="4"/>
      <c r="G1941" s="4"/>
      <c r="H1941" s="4"/>
      <c r="I1941" s="4"/>
      <c r="J1941" s="391">
        <v>500</v>
      </c>
      <c r="K1941" s="714">
        <f t="shared" si="104"/>
        <v>3000</v>
      </c>
    </row>
    <row r="1942" spans="1:11" ht="33">
      <c r="A1942" s="694">
        <v>19</v>
      </c>
      <c r="B1942" s="698" t="s">
        <v>2398</v>
      </c>
      <c r="C1942" s="697" t="s">
        <v>2399</v>
      </c>
      <c r="D1942" s="700" t="s">
        <v>9</v>
      </c>
      <c r="E1942" s="4">
        <v>11</v>
      </c>
      <c r="F1942" s="4"/>
      <c r="G1942" s="4"/>
      <c r="H1942" s="4"/>
      <c r="I1942" s="4"/>
      <c r="J1942" s="391">
        <v>1163.3800000000001</v>
      </c>
      <c r="K1942" s="714">
        <f t="shared" si="104"/>
        <v>12797.18</v>
      </c>
    </row>
    <row r="1943" spans="1:11">
      <c r="A1943" s="694">
        <v>20</v>
      </c>
      <c r="B1943" s="1116" t="s">
        <v>392</v>
      </c>
      <c r="C1943" s="697" t="s">
        <v>2400</v>
      </c>
      <c r="D1943" s="4" t="s">
        <v>9</v>
      </c>
      <c r="E1943" s="4">
        <v>2</v>
      </c>
      <c r="F1943" s="4"/>
      <c r="G1943" s="4"/>
      <c r="H1943" s="4"/>
      <c r="I1943" s="4"/>
      <c r="J1943" s="391">
        <v>1190.6199999999999</v>
      </c>
      <c r="K1943" s="714">
        <f t="shared" si="104"/>
        <v>2381.2399999999998</v>
      </c>
    </row>
    <row r="1944" spans="1:11">
      <c r="A1944" s="694">
        <v>21</v>
      </c>
      <c r="B1944" s="1116" t="s">
        <v>392</v>
      </c>
      <c r="C1944" s="1010" t="s">
        <v>2401</v>
      </c>
      <c r="D1944" s="4" t="s">
        <v>9</v>
      </c>
      <c r="E1944" s="4">
        <v>9</v>
      </c>
      <c r="F1944" s="4"/>
      <c r="G1944" s="4"/>
      <c r="H1944" s="4"/>
      <c r="I1944" s="4"/>
      <c r="J1944" s="391">
        <v>350</v>
      </c>
      <c r="K1944" s="714">
        <f t="shared" si="104"/>
        <v>3150</v>
      </c>
    </row>
    <row r="1945" spans="1:11">
      <c r="A1945" s="694">
        <v>22</v>
      </c>
      <c r="B1945" s="1116" t="s">
        <v>301</v>
      </c>
      <c r="C1945" s="1010" t="s">
        <v>2402</v>
      </c>
      <c r="D1945" s="4" t="s">
        <v>9</v>
      </c>
      <c r="E1945" s="4">
        <v>3</v>
      </c>
      <c r="F1945" s="4"/>
      <c r="G1945" s="4"/>
      <c r="H1945" s="4"/>
      <c r="I1945" s="4"/>
      <c r="J1945" s="391">
        <v>220</v>
      </c>
      <c r="K1945" s="714">
        <f t="shared" si="104"/>
        <v>660</v>
      </c>
    </row>
    <row r="1946" spans="1:11">
      <c r="A1946" s="694">
        <v>23</v>
      </c>
      <c r="B1946" s="1116" t="s">
        <v>303</v>
      </c>
      <c r="C1946" s="697" t="s">
        <v>2403</v>
      </c>
      <c r="D1946" s="4" t="s">
        <v>9</v>
      </c>
      <c r="E1946" s="4">
        <v>17</v>
      </c>
      <c r="F1946" s="4"/>
      <c r="G1946" s="4"/>
      <c r="H1946" s="4"/>
      <c r="I1946" s="4"/>
      <c r="J1946" s="391">
        <v>500</v>
      </c>
      <c r="K1946" s="714">
        <f t="shared" si="104"/>
        <v>8500</v>
      </c>
    </row>
    <row r="1947" spans="1:11">
      <c r="A1947" s="694">
        <v>24</v>
      </c>
      <c r="B1947" s="1116" t="s">
        <v>303</v>
      </c>
      <c r="C1947" s="697" t="s">
        <v>2404</v>
      </c>
      <c r="D1947" s="4" t="s">
        <v>9</v>
      </c>
      <c r="E1947" s="4">
        <v>10</v>
      </c>
      <c r="F1947" s="4"/>
      <c r="G1947" s="4"/>
      <c r="H1947" s="4"/>
      <c r="I1947" s="4"/>
      <c r="J1947" s="391">
        <v>300</v>
      </c>
      <c r="K1947" s="714">
        <f t="shared" si="104"/>
        <v>3000</v>
      </c>
    </row>
    <row r="1948" spans="1:11" ht="33">
      <c r="A1948" s="694">
        <v>25</v>
      </c>
      <c r="B1948" s="1116" t="s">
        <v>2405</v>
      </c>
      <c r="C1948" s="697" t="s">
        <v>2406</v>
      </c>
      <c r="D1948" s="4" t="s">
        <v>9</v>
      </c>
      <c r="E1948" s="4">
        <v>9</v>
      </c>
      <c r="F1948" s="4"/>
      <c r="G1948" s="4"/>
      <c r="H1948" s="4"/>
      <c r="I1948" s="4"/>
      <c r="J1948" s="391">
        <v>709.37</v>
      </c>
      <c r="K1948" s="714">
        <f t="shared" si="104"/>
        <v>6384.33</v>
      </c>
    </row>
    <row r="1949" spans="1:11">
      <c r="A1949" s="694">
        <v>26</v>
      </c>
      <c r="B1949" s="1116" t="s">
        <v>2407</v>
      </c>
      <c r="C1949" s="697" t="s">
        <v>2408</v>
      </c>
      <c r="D1949" s="4" t="s">
        <v>9</v>
      </c>
      <c r="E1949" s="4">
        <v>7</v>
      </c>
      <c r="F1949" s="4"/>
      <c r="G1949" s="4"/>
      <c r="H1949" s="4"/>
      <c r="I1949" s="4"/>
      <c r="J1949" s="391">
        <v>1100.95</v>
      </c>
      <c r="K1949" s="714">
        <f t="shared" si="104"/>
        <v>7706.6500000000005</v>
      </c>
    </row>
    <row r="1950" spans="1:11" ht="33">
      <c r="A1950" s="694">
        <v>27</v>
      </c>
      <c r="B1950" s="1116" t="s">
        <v>2409</v>
      </c>
      <c r="C1950" s="697" t="s">
        <v>2410</v>
      </c>
      <c r="D1950" s="4" t="s">
        <v>9</v>
      </c>
      <c r="E1950" s="4">
        <v>5</v>
      </c>
      <c r="F1950" s="4"/>
      <c r="G1950" s="4"/>
      <c r="H1950" s="4"/>
      <c r="I1950" s="4"/>
      <c r="J1950" s="391">
        <v>698</v>
      </c>
      <c r="K1950" s="714">
        <f t="shared" si="104"/>
        <v>3490</v>
      </c>
    </row>
    <row r="1951" spans="1:11" ht="33">
      <c r="A1951" s="694">
        <v>28</v>
      </c>
      <c r="B1951" s="698" t="s">
        <v>2411</v>
      </c>
      <c r="C1951" s="697" t="s">
        <v>2412</v>
      </c>
      <c r="D1951" s="4" t="s">
        <v>9</v>
      </c>
      <c r="E1951" s="1014">
        <v>6</v>
      </c>
      <c r="F1951" s="4"/>
      <c r="G1951" s="4"/>
      <c r="H1951" s="4"/>
      <c r="I1951" s="4"/>
      <c r="J1951" s="391">
        <v>3229.08</v>
      </c>
      <c r="K1951" s="714">
        <f t="shared" si="104"/>
        <v>19374.48</v>
      </c>
    </row>
    <row r="1952" spans="1:11">
      <c r="A1952" s="694">
        <v>29</v>
      </c>
      <c r="B1952" s="698" t="s">
        <v>2413</v>
      </c>
      <c r="C1952" s="697" t="s">
        <v>2414</v>
      </c>
      <c r="D1952" s="4" t="s">
        <v>9</v>
      </c>
      <c r="E1952" s="4">
        <v>4</v>
      </c>
      <c r="F1952" s="4"/>
      <c r="G1952" s="4"/>
      <c r="H1952" s="4"/>
      <c r="I1952" s="4"/>
      <c r="J1952" s="391">
        <v>3405</v>
      </c>
      <c r="K1952" s="714">
        <f t="shared" si="104"/>
        <v>13620</v>
      </c>
    </row>
    <row r="1953" spans="1:11">
      <c r="A1953" s="694">
        <v>30</v>
      </c>
      <c r="B1953" s="698" t="s">
        <v>2415</v>
      </c>
      <c r="C1953" s="697" t="s">
        <v>2416</v>
      </c>
      <c r="D1953" s="4" t="s">
        <v>9</v>
      </c>
      <c r="E1953" s="4">
        <v>4</v>
      </c>
      <c r="F1953" s="4"/>
      <c r="G1953" s="4"/>
      <c r="H1953" s="4"/>
      <c r="I1953" s="4"/>
      <c r="J1953" s="391">
        <v>1350</v>
      </c>
      <c r="K1953" s="714">
        <f t="shared" si="104"/>
        <v>5400</v>
      </c>
    </row>
    <row r="1954" spans="1:11">
      <c r="A1954" s="694">
        <v>31</v>
      </c>
      <c r="B1954" s="698" t="s">
        <v>2415</v>
      </c>
      <c r="C1954" s="697" t="s">
        <v>2416</v>
      </c>
      <c r="D1954" s="4" t="s">
        <v>9</v>
      </c>
      <c r="E1954" s="4">
        <v>6</v>
      </c>
      <c r="F1954" s="4"/>
      <c r="G1954" s="4"/>
      <c r="H1954" s="4"/>
      <c r="I1954" s="4"/>
      <c r="J1954" s="391">
        <v>3178</v>
      </c>
      <c r="K1954" s="714">
        <f t="shared" si="104"/>
        <v>19068</v>
      </c>
    </row>
    <row r="1955" spans="1:11">
      <c r="A1955" s="694">
        <v>32</v>
      </c>
      <c r="B1955" s="698" t="s">
        <v>2415</v>
      </c>
      <c r="C1955" s="697" t="s">
        <v>2417</v>
      </c>
      <c r="D1955" s="4" t="s">
        <v>9</v>
      </c>
      <c r="E1955" s="4">
        <v>6</v>
      </c>
      <c r="F1955" s="4"/>
      <c r="G1955" s="4"/>
      <c r="H1955" s="4"/>
      <c r="I1955" s="4"/>
      <c r="J1955" s="391">
        <v>1500</v>
      </c>
      <c r="K1955" s="714">
        <f t="shared" si="104"/>
        <v>9000</v>
      </c>
    </row>
    <row r="1956" spans="1:11">
      <c r="A1956" s="694">
        <v>33</v>
      </c>
      <c r="B1956" s="1116" t="s">
        <v>2418</v>
      </c>
      <c r="C1956" s="1015" t="s">
        <v>2419</v>
      </c>
      <c r="D1956" s="791" t="s">
        <v>9</v>
      </c>
      <c r="E1956" s="4">
        <v>2</v>
      </c>
      <c r="F1956" s="4"/>
      <c r="G1956" s="4"/>
      <c r="H1956" s="4"/>
      <c r="I1956" s="4"/>
      <c r="J1956" s="391">
        <v>4653.5</v>
      </c>
      <c r="K1956" s="714">
        <f t="shared" si="104"/>
        <v>9307</v>
      </c>
    </row>
    <row r="1957" spans="1:11">
      <c r="A1957" s="694">
        <v>34</v>
      </c>
      <c r="B1957" s="1116" t="s">
        <v>2418</v>
      </c>
      <c r="C1957" s="1016" t="s">
        <v>2420</v>
      </c>
      <c r="D1957" s="791" t="s">
        <v>9</v>
      </c>
      <c r="E1957" s="4">
        <v>2</v>
      </c>
      <c r="F1957" s="4"/>
      <c r="G1957" s="4"/>
      <c r="H1957" s="4"/>
      <c r="I1957" s="4"/>
      <c r="J1957" s="391">
        <v>5221</v>
      </c>
      <c r="K1957" s="714">
        <f t="shared" si="104"/>
        <v>10442</v>
      </c>
    </row>
    <row r="1958" spans="1:11">
      <c r="A1958" s="694">
        <v>35</v>
      </c>
      <c r="B1958" s="1116" t="s">
        <v>2421</v>
      </c>
      <c r="C1958" s="1016" t="s">
        <v>2422</v>
      </c>
      <c r="D1958" s="791" t="s">
        <v>9</v>
      </c>
      <c r="E1958" s="4">
        <v>3</v>
      </c>
      <c r="F1958" s="4"/>
      <c r="G1958" s="4"/>
      <c r="H1958" s="4"/>
      <c r="I1958" s="4"/>
      <c r="J1958" s="391">
        <v>3961.15</v>
      </c>
      <c r="K1958" s="714">
        <f t="shared" si="104"/>
        <v>11883.45</v>
      </c>
    </row>
    <row r="1959" spans="1:11">
      <c r="A1959" s="694">
        <v>36</v>
      </c>
      <c r="B1959" s="1116" t="s">
        <v>2421</v>
      </c>
      <c r="C1959" s="1016" t="s">
        <v>2423</v>
      </c>
      <c r="D1959" s="791" t="s">
        <v>9</v>
      </c>
      <c r="E1959" s="4">
        <v>2</v>
      </c>
      <c r="F1959" s="4"/>
      <c r="G1959" s="4"/>
      <c r="H1959" s="4"/>
      <c r="I1959" s="4"/>
      <c r="J1959" s="391">
        <v>6787.3</v>
      </c>
      <c r="K1959" s="714">
        <f t="shared" si="104"/>
        <v>13574.6</v>
      </c>
    </row>
    <row r="1960" spans="1:11">
      <c r="A1960" s="694">
        <v>37</v>
      </c>
      <c r="B1960" s="1116" t="s">
        <v>2421</v>
      </c>
      <c r="C1960" s="1016" t="s">
        <v>2424</v>
      </c>
      <c r="D1960" s="791" t="s">
        <v>9</v>
      </c>
      <c r="E1960" s="4">
        <v>1</v>
      </c>
      <c r="F1960" s="4"/>
      <c r="G1960" s="4"/>
      <c r="H1960" s="4"/>
      <c r="I1960" s="4"/>
      <c r="J1960" s="391">
        <v>5003.2</v>
      </c>
      <c r="K1960" s="714">
        <f t="shared" si="104"/>
        <v>5003.2</v>
      </c>
    </row>
    <row r="1961" spans="1:11">
      <c r="A1961" s="694">
        <v>38</v>
      </c>
      <c r="B1961" s="1116" t="s">
        <v>2425</v>
      </c>
      <c r="C1961" s="697" t="s">
        <v>2426</v>
      </c>
      <c r="D1961" s="791" t="s">
        <v>9</v>
      </c>
      <c r="E1961" s="4">
        <v>5</v>
      </c>
      <c r="F1961" s="4"/>
      <c r="G1961" s="4"/>
      <c r="H1961" s="4"/>
      <c r="I1961" s="4"/>
      <c r="J1961" s="391">
        <v>3961.15</v>
      </c>
      <c r="K1961" s="714">
        <f t="shared" si="104"/>
        <v>19805.75</v>
      </c>
    </row>
    <row r="1962" spans="1:11">
      <c r="A1962" s="694">
        <v>39</v>
      </c>
      <c r="B1962" s="1116" t="s">
        <v>2425</v>
      </c>
      <c r="C1962" s="697" t="s">
        <v>2427</v>
      </c>
      <c r="D1962" s="791" t="s">
        <v>9</v>
      </c>
      <c r="E1962" s="4">
        <v>3</v>
      </c>
      <c r="F1962" s="4"/>
      <c r="G1962" s="4"/>
      <c r="H1962" s="4"/>
      <c r="I1962" s="4"/>
      <c r="J1962" s="391">
        <v>6804.33</v>
      </c>
      <c r="K1962" s="714">
        <f t="shared" si="104"/>
        <v>20412.989999999998</v>
      </c>
    </row>
    <row r="1963" spans="1:11" ht="30">
      <c r="A1963" s="694">
        <v>40</v>
      </c>
      <c r="B1963" s="1116" t="s">
        <v>2428</v>
      </c>
      <c r="C1963" s="1015" t="s">
        <v>2429</v>
      </c>
      <c r="D1963" s="791" t="s">
        <v>9</v>
      </c>
      <c r="E1963" s="4">
        <v>1</v>
      </c>
      <c r="F1963" s="4"/>
      <c r="G1963" s="4"/>
      <c r="H1963" s="4"/>
      <c r="I1963" s="4"/>
      <c r="J1963" s="391">
        <v>30645</v>
      </c>
      <c r="K1963" s="714">
        <f t="shared" si="104"/>
        <v>30645</v>
      </c>
    </row>
    <row r="1964" spans="1:11" ht="33">
      <c r="A1964" s="694">
        <v>41</v>
      </c>
      <c r="B1964" s="1116" t="s">
        <v>315</v>
      </c>
      <c r="C1964" s="1010" t="s">
        <v>2430</v>
      </c>
      <c r="D1964" s="4" t="s">
        <v>9</v>
      </c>
      <c r="E1964" s="4">
        <v>1</v>
      </c>
      <c r="F1964" s="4"/>
      <c r="G1964" s="4"/>
      <c r="H1964" s="4"/>
      <c r="I1964" s="4"/>
      <c r="J1964" s="391">
        <v>20001</v>
      </c>
      <c r="K1964" s="714">
        <f t="shared" si="104"/>
        <v>20001</v>
      </c>
    </row>
    <row r="1965" spans="1:11">
      <c r="A1965" s="694">
        <v>42</v>
      </c>
      <c r="B1965" s="1116" t="s">
        <v>2431</v>
      </c>
      <c r="C1965" s="1017" t="s">
        <v>2432</v>
      </c>
      <c r="D1965" s="4" t="s">
        <v>9</v>
      </c>
      <c r="E1965" s="4">
        <v>2</v>
      </c>
      <c r="F1965" s="4"/>
      <c r="G1965" s="4"/>
      <c r="H1965" s="4"/>
      <c r="I1965" s="4"/>
      <c r="J1965" s="391">
        <v>11782.3</v>
      </c>
      <c r="K1965" s="714">
        <f t="shared" si="104"/>
        <v>23564.6</v>
      </c>
    </row>
    <row r="1966" spans="1:11">
      <c r="A1966" s="694">
        <v>43</v>
      </c>
      <c r="B1966" s="698" t="s">
        <v>2433</v>
      </c>
      <c r="C1966" s="1018" t="s">
        <v>2434</v>
      </c>
      <c r="D1966" s="1019" t="s">
        <v>3</v>
      </c>
      <c r="E1966" s="694">
        <v>1</v>
      </c>
      <c r="F1966" s="4"/>
      <c r="G1966" s="4"/>
      <c r="H1966" s="4"/>
      <c r="I1966" s="4"/>
      <c r="J1966" s="391">
        <v>2944.1</v>
      </c>
      <c r="K1966" s="714">
        <f t="shared" si="104"/>
        <v>2944.1</v>
      </c>
    </row>
    <row r="1967" spans="1:11">
      <c r="A1967" s="694">
        <v>44</v>
      </c>
      <c r="B1967" s="698" t="s">
        <v>2435</v>
      </c>
      <c r="C1967" s="1020" t="s">
        <v>2436</v>
      </c>
      <c r="D1967" s="1019" t="s">
        <v>3</v>
      </c>
      <c r="E1967" s="4">
        <v>2</v>
      </c>
      <c r="F1967" s="4"/>
      <c r="G1967" s="4"/>
      <c r="H1967" s="4"/>
      <c r="I1967" s="4"/>
      <c r="J1967" s="391">
        <v>5835.1</v>
      </c>
      <c r="K1967" s="714">
        <f t="shared" si="104"/>
        <v>11670.2</v>
      </c>
    </row>
    <row r="1968" spans="1:11">
      <c r="A1968" s="694">
        <v>45</v>
      </c>
      <c r="B1968" s="698" t="s">
        <v>2437</v>
      </c>
      <c r="C1968" s="1020" t="s">
        <v>2438</v>
      </c>
      <c r="D1968" s="1019" t="s">
        <v>3</v>
      </c>
      <c r="E1968" s="4">
        <v>3</v>
      </c>
      <c r="F1968" s="4"/>
      <c r="G1968" s="4"/>
      <c r="H1968" s="4"/>
      <c r="I1968" s="4"/>
      <c r="J1968" s="391">
        <v>5835.1</v>
      </c>
      <c r="K1968" s="714">
        <f t="shared" si="104"/>
        <v>17505.300000000003</v>
      </c>
    </row>
    <row r="1969" spans="1:11">
      <c r="A1969" s="694">
        <v>46</v>
      </c>
      <c r="B1969" s="698" t="s">
        <v>2439</v>
      </c>
      <c r="C1969" s="1020" t="s">
        <v>2440</v>
      </c>
      <c r="D1969" s="1019" t="s">
        <v>3</v>
      </c>
      <c r="E1969" s="1021">
        <v>1</v>
      </c>
      <c r="F1969" s="4"/>
      <c r="G1969" s="4"/>
      <c r="H1969" s="4"/>
      <c r="I1969" s="4"/>
      <c r="J1969" s="197">
        <v>5245.1</v>
      </c>
      <c r="K1969" s="714">
        <f t="shared" si="104"/>
        <v>5245.1</v>
      </c>
    </row>
    <row r="1970" spans="1:11">
      <c r="A1970" s="694">
        <v>47</v>
      </c>
      <c r="B1970" s="698" t="s">
        <v>2441</v>
      </c>
      <c r="C1970" s="703" t="s">
        <v>2442</v>
      </c>
      <c r="D1970" s="1019" t="s">
        <v>3</v>
      </c>
      <c r="E1970" s="705">
        <v>1</v>
      </c>
      <c r="F1970" s="4"/>
      <c r="G1970" s="4"/>
      <c r="H1970" s="4"/>
      <c r="I1970" s="4"/>
      <c r="J1970" s="391">
        <v>7706.65</v>
      </c>
      <c r="K1970" s="714">
        <f t="shared" si="104"/>
        <v>7706.65</v>
      </c>
    </row>
    <row r="1971" spans="1:11">
      <c r="A1971" s="694">
        <v>48</v>
      </c>
      <c r="B1971" s="698"/>
      <c r="C1971" s="1015" t="s">
        <v>2443</v>
      </c>
      <c r="D1971" s="1019" t="s">
        <v>3</v>
      </c>
      <c r="E1971" s="4">
        <v>1</v>
      </c>
      <c r="F1971" s="4"/>
      <c r="G1971" s="4"/>
      <c r="H1971" s="4"/>
      <c r="I1971" s="4"/>
      <c r="J1971" s="391">
        <v>10215</v>
      </c>
      <c r="K1971" s="714">
        <f t="shared" si="104"/>
        <v>10215</v>
      </c>
    </row>
    <row r="1972" spans="1:11">
      <c r="A1972" s="694">
        <v>49</v>
      </c>
      <c r="B1972" s="1117" t="s">
        <v>2444</v>
      </c>
      <c r="C1972" s="1015" t="s">
        <v>2445</v>
      </c>
      <c r="D1972" s="1022" t="s">
        <v>4</v>
      </c>
      <c r="E1972" s="1021">
        <v>20</v>
      </c>
      <c r="F1972" s="4"/>
      <c r="G1972" s="4"/>
      <c r="H1972" s="4"/>
      <c r="I1972" s="4"/>
      <c r="J1972" s="391">
        <v>3972</v>
      </c>
      <c r="K1972" s="714">
        <f t="shared" si="104"/>
        <v>79440</v>
      </c>
    </row>
    <row r="1973" spans="1:11" ht="33">
      <c r="A1973" s="694">
        <v>50</v>
      </c>
      <c r="B1973" s="1117" t="s">
        <v>2446</v>
      </c>
      <c r="C1973" s="703" t="s">
        <v>2447</v>
      </c>
      <c r="D1973" s="1023" t="s">
        <v>3</v>
      </c>
      <c r="E1973" s="705">
        <v>2</v>
      </c>
      <c r="F1973" s="4"/>
      <c r="G1973" s="4"/>
      <c r="H1973" s="4"/>
      <c r="I1973" s="4"/>
      <c r="J1973" s="391">
        <v>5675</v>
      </c>
      <c r="K1973" s="714">
        <f t="shared" si="104"/>
        <v>11350</v>
      </c>
    </row>
    <row r="1974" spans="1:11">
      <c r="A1974" s="694">
        <v>51</v>
      </c>
      <c r="B1974" s="704" t="s">
        <v>1944</v>
      </c>
      <c r="C1974" s="703" t="s">
        <v>2448</v>
      </c>
      <c r="D1974" s="1023" t="s">
        <v>3</v>
      </c>
      <c r="E1974" s="705">
        <v>10</v>
      </c>
      <c r="F1974" s="4"/>
      <c r="G1974" s="4"/>
      <c r="H1974" s="4"/>
      <c r="I1974" s="4"/>
      <c r="J1974" s="391">
        <v>7945</v>
      </c>
      <c r="K1974" s="714">
        <f t="shared" si="104"/>
        <v>79450</v>
      </c>
    </row>
    <row r="1975" spans="1:11">
      <c r="A1975" s="694">
        <v>52</v>
      </c>
      <c r="B1975" s="707" t="s">
        <v>2449</v>
      </c>
      <c r="C1975" s="1015" t="s">
        <v>2450</v>
      </c>
      <c r="D1975" s="5" t="s">
        <v>2451</v>
      </c>
      <c r="E1975" s="705">
        <v>5.28</v>
      </c>
      <c r="F1975" s="4"/>
      <c r="G1975" s="4"/>
      <c r="H1975" s="4"/>
      <c r="I1975" s="4"/>
      <c r="J1975" s="391">
        <v>2542.4</v>
      </c>
      <c r="K1975" s="714">
        <f t="shared" si="104"/>
        <v>13423.872000000001</v>
      </c>
    </row>
    <row r="1976" spans="1:11">
      <c r="A1976" s="694">
        <v>53</v>
      </c>
      <c r="B1976" s="707" t="s">
        <v>743</v>
      </c>
      <c r="C1976" s="1015" t="s">
        <v>2452</v>
      </c>
      <c r="D1976" s="5" t="s">
        <v>2451</v>
      </c>
      <c r="E1976" s="705">
        <v>7.7</v>
      </c>
      <c r="F1976" s="4"/>
      <c r="G1976" s="4"/>
      <c r="H1976" s="4"/>
      <c r="I1976" s="4"/>
      <c r="J1976" s="391">
        <v>2264.3200000000002</v>
      </c>
      <c r="K1976" s="714">
        <f t="shared" si="104"/>
        <v>17435.264000000003</v>
      </c>
    </row>
    <row r="1977" spans="1:11">
      <c r="A1977" s="694">
        <v>54</v>
      </c>
      <c r="B1977" s="707" t="s">
        <v>2453</v>
      </c>
      <c r="C1977" s="1015" t="s">
        <v>2454</v>
      </c>
      <c r="D1977" s="5" t="s">
        <v>2451</v>
      </c>
      <c r="E1977" s="705">
        <v>6.48</v>
      </c>
      <c r="F1977" s="4"/>
      <c r="G1977" s="4"/>
      <c r="H1977" s="4"/>
      <c r="I1977" s="4"/>
      <c r="J1977" s="391">
        <v>2037.32</v>
      </c>
      <c r="K1977" s="714">
        <f t="shared" si="104"/>
        <v>13201.8336</v>
      </c>
    </row>
    <row r="1978" spans="1:11">
      <c r="A1978" s="694">
        <v>55</v>
      </c>
      <c r="B1978" s="707" t="s">
        <v>2455</v>
      </c>
      <c r="C1978" s="1015" t="s">
        <v>2456</v>
      </c>
      <c r="D1978" s="209" t="s">
        <v>2457</v>
      </c>
      <c r="E1978" s="1024">
        <v>0.20899999999999999</v>
      </c>
      <c r="F1978" s="4"/>
      <c r="G1978" s="4"/>
      <c r="H1978" s="4"/>
      <c r="I1978" s="4"/>
      <c r="J1978" s="1008">
        <v>81213.5</v>
      </c>
      <c r="K1978" s="714">
        <f t="shared" si="104"/>
        <v>16973.621500000001</v>
      </c>
    </row>
    <row r="1979" spans="1:11" ht="18.75">
      <c r="A1979" s="694">
        <v>56</v>
      </c>
      <c r="B1979" s="707"/>
      <c r="C1979" s="1025" t="s">
        <v>2458</v>
      </c>
      <c r="D1979" s="209" t="s">
        <v>34</v>
      </c>
      <c r="E1979" s="1024">
        <v>627</v>
      </c>
      <c r="F1979" s="4"/>
      <c r="G1979" s="4"/>
      <c r="H1979" s="4"/>
      <c r="I1979" s="4"/>
      <c r="J1979" s="1008">
        <v>50</v>
      </c>
      <c r="K1979" s="714">
        <f t="shared" si="104"/>
        <v>31350</v>
      </c>
    </row>
    <row r="1980" spans="1:11">
      <c r="A1980" s="694">
        <v>57</v>
      </c>
      <c r="B1980" s="707" t="s">
        <v>2459</v>
      </c>
      <c r="C1980" s="1026" t="s">
        <v>2460</v>
      </c>
      <c r="D1980" s="1019" t="s">
        <v>3</v>
      </c>
      <c r="E1980" s="1021">
        <v>135</v>
      </c>
      <c r="F1980" s="4"/>
      <c r="G1980" s="4"/>
      <c r="H1980" s="4"/>
      <c r="I1980" s="4"/>
      <c r="J1980" s="391">
        <v>250</v>
      </c>
      <c r="K1980" s="714">
        <f t="shared" si="104"/>
        <v>33750</v>
      </c>
    </row>
    <row r="1981" spans="1:11" ht="18.75">
      <c r="A1981" s="694">
        <v>58</v>
      </c>
      <c r="B1981" s="707"/>
      <c r="C1981" s="1027" t="s">
        <v>2461</v>
      </c>
      <c r="D1981" s="1019" t="s">
        <v>13</v>
      </c>
      <c r="E1981" s="1021">
        <v>3</v>
      </c>
      <c r="F1981" s="4"/>
      <c r="G1981" s="4"/>
      <c r="H1981" s="4"/>
      <c r="I1981" s="4"/>
      <c r="J1981" s="391">
        <v>250</v>
      </c>
      <c r="K1981" s="714">
        <f t="shared" si="104"/>
        <v>750</v>
      </c>
    </row>
    <row r="1982" spans="1:11" ht="33">
      <c r="A1982" s="694">
        <v>59</v>
      </c>
      <c r="B1982" s="707" t="s">
        <v>2462</v>
      </c>
      <c r="C1982" s="1028" t="s">
        <v>2463</v>
      </c>
      <c r="D1982" s="791" t="s">
        <v>9</v>
      </c>
      <c r="E1982" s="705">
        <v>6</v>
      </c>
      <c r="F1982" s="4"/>
      <c r="G1982" s="4"/>
      <c r="H1982" s="4"/>
      <c r="I1982" s="4"/>
      <c r="J1982" s="391">
        <v>13620</v>
      </c>
      <c r="K1982" s="714">
        <f t="shared" si="104"/>
        <v>81720</v>
      </c>
    </row>
    <row r="1983" spans="1:11" ht="33">
      <c r="A1983" s="694">
        <v>60</v>
      </c>
      <c r="B1983" s="707" t="s">
        <v>2464</v>
      </c>
      <c r="C1983" s="1028" t="s">
        <v>2465</v>
      </c>
      <c r="D1983" s="791" t="s">
        <v>9</v>
      </c>
      <c r="E1983" s="705">
        <v>3</v>
      </c>
      <c r="F1983" s="4"/>
      <c r="G1983" s="4"/>
      <c r="H1983" s="4"/>
      <c r="I1983" s="4"/>
      <c r="J1983" s="391">
        <v>10442</v>
      </c>
      <c r="K1983" s="714">
        <f t="shared" si="104"/>
        <v>31326</v>
      </c>
    </row>
    <row r="1984" spans="1:11">
      <c r="A1984" s="694">
        <v>61</v>
      </c>
      <c r="B1984" s="707" t="s">
        <v>2466</v>
      </c>
      <c r="C1984" s="1015" t="s">
        <v>2467</v>
      </c>
      <c r="D1984" s="791" t="s">
        <v>9</v>
      </c>
      <c r="E1984" s="705">
        <v>1</v>
      </c>
      <c r="F1984" s="4"/>
      <c r="G1984" s="4"/>
      <c r="H1984" s="4"/>
      <c r="I1984" s="4"/>
      <c r="J1984" s="391">
        <v>16911.5</v>
      </c>
      <c r="K1984" s="714">
        <f t="shared" si="104"/>
        <v>16911.5</v>
      </c>
    </row>
    <row r="1985" spans="1:11" ht="30">
      <c r="A1985" s="694">
        <v>62</v>
      </c>
      <c r="B1985" s="707" t="s">
        <v>2468</v>
      </c>
      <c r="C1985" s="1029" t="s">
        <v>2469</v>
      </c>
      <c r="D1985" s="4" t="s">
        <v>9</v>
      </c>
      <c r="E1985" s="705">
        <v>1</v>
      </c>
      <c r="F1985" s="4"/>
      <c r="G1985" s="4"/>
      <c r="H1985" s="4"/>
      <c r="I1985" s="4"/>
      <c r="J1985" s="391">
        <v>105693</v>
      </c>
      <c r="K1985" s="714">
        <f t="shared" si="104"/>
        <v>105693</v>
      </c>
    </row>
    <row r="1986" spans="1:11">
      <c r="A1986" s="694">
        <v>63</v>
      </c>
      <c r="B1986" s="707" t="s">
        <v>2470</v>
      </c>
      <c r="C1986" s="1015" t="s">
        <v>2471</v>
      </c>
      <c r="D1986" s="1030" t="s">
        <v>3</v>
      </c>
      <c r="E1986" s="1031">
        <v>3</v>
      </c>
      <c r="F1986" s="4"/>
      <c r="G1986" s="4"/>
      <c r="H1986" s="4"/>
      <c r="I1986" s="4"/>
      <c r="J1986" s="110">
        <v>73468</v>
      </c>
      <c r="K1986" s="714">
        <f t="shared" si="104"/>
        <v>220404</v>
      </c>
    </row>
    <row r="1987" spans="1:11">
      <c r="A1987" s="694">
        <v>64</v>
      </c>
      <c r="B1987" s="707" t="s">
        <v>2472</v>
      </c>
      <c r="C1987" s="1020" t="s">
        <v>2473</v>
      </c>
      <c r="D1987" s="4" t="s">
        <v>9</v>
      </c>
      <c r="E1987" s="705">
        <v>1</v>
      </c>
      <c r="F1987" s="4"/>
      <c r="G1987" s="4"/>
      <c r="H1987" s="4"/>
      <c r="I1987" s="4"/>
      <c r="J1987" s="391">
        <v>6549</v>
      </c>
      <c r="K1987" s="714">
        <f t="shared" si="104"/>
        <v>6549</v>
      </c>
    </row>
    <row r="1988" spans="1:11">
      <c r="A1988" s="694">
        <v>65</v>
      </c>
      <c r="B1988" s="707" t="s">
        <v>2472</v>
      </c>
      <c r="C1988" s="1020" t="s">
        <v>2474</v>
      </c>
      <c r="D1988" s="1019" t="s">
        <v>3</v>
      </c>
      <c r="E1988" s="1021">
        <v>1</v>
      </c>
      <c r="F1988" s="4"/>
      <c r="G1988" s="4"/>
      <c r="H1988" s="4"/>
      <c r="I1988" s="4"/>
      <c r="J1988" s="391">
        <v>5133</v>
      </c>
      <c r="K1988" s="714">
        <f t="shared" si="104"/>
        <v>5133</v>
      </c>
    </row>
    <row r="1989" spans="1:11">
      <c r="A1989" s="694">
        <v>66</v>
      </c>
      <c r="B1989" s="1118" t="s">
        <v>331</v>
      </c>
      <c r="C1989" s="1032" t="s">
        <v>2475</v>
      </c>
      <c r="D1989" s="4" t="s">
        <v>9</v>
      </c>
      <c r="E1989" s="1033">
        <v>1</v>
      </c>
      <c r="F1989" s="4"/>
      <c r="G1989" s="4"/>
      <c r="H1989" s="4"/>
      <c r="I1989" s="4"/>
      <c r="J1989" s="391">
        <v>1469</v>
      </c>
      <c r="K1989" s="714">
        <f t="shared" ref="K1989:K2010" si="105">E1989*J1989</f>
        <v>1469</v>
      </c>
    </row>
    <row r="1990" spans="1:11" ht="30">
      <c r="A1990" s="694">
        <v>67</v>
      </c>
      <c r="B1990" s="698" t="s">
        <v>2476</v>
      </c>
      <c r="C1990" s="1034" t="s">
        <v>2477</v>
      </c>
      <c r="D1990" s="1019" t="s">
        <v>3</v>
      </c>
      <c r="E1990" s="1035">
        <v>40</v>
      </c>
      <c r="F1990" s="4"/>
      <c r="G1990" s="4"/>
      <c r="H1990" s="4"/>
      <c r="I1990" s="4"/>
      <c r="J1990" s="1036">
        <v>29.204999999999998</v>
      </c>
      <c r="K1990" s="714">
        <f t="shared" si="105"/>
        <v>1168.1999999999998</v>
      </c>
    </row>
    <row r="1991" spans="1:11">
      <c r="A1991" s="694">
        <v>68</v>
      </c>
      <c r="B1991" s="698"/>
      <c r="C1991" s="1037" t="s">
        <v>2478</v>
      </c>
      <c r="D1991" s="1019" t="s">
        <v>367</v>
      </c>
      <c r="E1991" s="1035">
        <v>6.5000000000000002E-2</v>
      </c>
      <c r="F1991" s="4"/>
      <c r="G1991" s="4"/>
      <c r="H1991" s="4"/>
      <c r="I1991" s="4"/>
      <c r="J1991" s="1038">
        <v>276592</v>
      </c>
      <c r="K1991" s="714">
        <f t="shared" ref="K1991:K1998" si="106">J1991*E1991</f>
        <v>17978.48</v>
      </c>
    </row>
    <row r="1992" spans="1:11" ht="18.75">
      <c r="A1992" s="694">
        <v>69</v>
      </c>
      <c r="B1992" s="4"/>
      <c r="C1992" s="1025" t="s">
        <v>2479</v>
      </c>
      <c r="D1992" s="1039" t="s">
        <v>13</v>
      </c>
      <c r="E1992" s="1035">
        <v>1</v>
      </c>
      <c r="F1992" s="4"/>
      <c r="G1992" s="4"/>
      <c r="H1992" s="4"/>
      <c r="I1992" s="4"/>
      <c r="J1992" s="1038">
        <v>1500</v>
      </c>
      <c r="K1992" s="714">
        <f t="shared" si="106"/>
        <v>1500</v>
      </c>
    </row>
    <row r="1993" spans="1:11" ht="18.75">
      <c r="A1993" s="694">
        <v>70</v>
      </c>
      <c r="B1993" s="698"/>
      <c r="C1993" s="1025" t="s">
        <v>2480</v>
      </c>
      <c r="D1993" s="1039" t="s">
        <v>13</v>
      </c>
      <c r="E1993" s="1035">
        <v>1</v>
      </c>
      <c r="F1993" s="4"/>
      <c r="G1993" s="4"/>
      <c r="H1993" s="4"/>
      <c r="I1993" s="4"/>
      <c r="J1993" s="1038">
        <v>35105</v>
      </c>
      <c r="K1993" s="714">
        <f t="shared" si="106"/>
        <v>35105</v>
      </c>
    </row>
    <row r="1994" spans="1:11" ht="18.75">
      <c r="A1994" s="694">
        <v>71</v>
      </c>
      <c r="B1994" s="698"/>
      <c r="C1994" s="1025" t="s">
        <v>2481</v>
      </c>
      <c r="D1994" s="1039" t="s">
        <v>462</v>
      </c>
      <c r="E1994" s="1035">
        <v>9</v>
      </c>
      <c r="F1994" s="4"/>
      <c r="G1994" s="4"/>
      <c r="H1994" s="4"/>
      <c r="I1994" s="4"/>
      <c r="J1994" s="1038">
        <v>703.3</v>
      </c>
      <c r="K1994" s="714">
        <f t="shared" si="106"/>
        <v>6329.7</v>
      </c>
    </row>
    <row r="1995" spans="1:11" ht="18.75">
      <c r="A1995" s="694">
        <v>72</v>
      </c>
      <c r="B1995" s="698"/>
      <c r="C1995" s="1040" t="s">
        <v>2048</v>
      </c>
      <c r="D1995" s="1039" t="s">
        <v>5</v>
      </c>
      <c r="E1995" s="1035">
        <v>10</v>
      </c>
      <c r="F1995" s="4"/>
      <c r="G1995" s="4"/>
      <c r="H1995" s="4"/>
      <c r="I1995" s="4"/>
      <c r="J1995" s="1038">
        <v>3876.3</v>
      </c>
      <c r="K1995" s="714">
        <f t="shared" si="106"/>
        <v>38763</v>
      </c>
    </row>
    <row r="1996" spans="1:11" ht="18.75">
      <c r="A1996" s="694">
        <v>73</v>
      </c>
      <c r="B1996" s="698"/>
      <c r="C1996" s="1040" t="s">
        <v>2482</v>
      </c>
      <c r="D1996" s="1039" t="s">
        <v>13</v>
      </c>
      <c r="E1996" s="1035">
        <v>1</v>
      </c>
      <c r="F1996" s="4"/>
      <c r="G1996" s="4"/>
      <c r="H1996" s="4"/>
      <c r="I1996" s="4"/>
      <c r="J1996" s="1038">
        <v>69502</v>
      </c>
      <c r="K1996" s="714">
        <f t="shared" si="106"/>
        <v>69502</v>
      </c>
    </row>
    <row r="1997" spans="1:11" ht="18.75">
      <c r="A1997" s="694">
        <v>74</v>
      </c>
      <c r="B1997" s="698"/>
      <c r="C1997" s="1040" t="s">
        <v>2483</v>
      </c>
      <c r="D1997" s="1039" t="s">
        <v>13</v>
      </c>
      <c r="E1997" s="1035">
        <v>14</v>
      </c>
      <c r="F1997" s="4"/>
      <c r="G1997" s="4"/>
      <c r="H1997" s="4"/>
      <c r="I1997" s="4"/>
      <c r="J1997" s="1038">
        <v>1876.2</v>
      </c>
      <c r="K1997" s="714">
        <f t="shared" si="106"/>
        <v>26266.799999999999</v>
      </c>
    </row>
    <row r="1998" spans="1:11" ht="18.75">
      <c r="A1998" s="694">
        <v>75</v>
      </c>
      <c r="B1998" s="698"/>
      <c r="C1998" s="1040" t="s">
        <v>2484</v>
      </c>
      <c r="D1998" s="1039" t="s">
        <v>13</v>
      </c>
      <c r="E1998" s="1035">
        <v>1</v>
      </c>
      <c r="F1998" s="4"/>
      <c r="G1998" s="4"/>
      <c r="H1998" s="4"/>
      <c r="I1998" s="4"/>
      <c r="J1998" s="1038">
        <v>3000000</v>
      </c>
      <c r="K1998" s="710">
        <f t="shared" si="106"/>
        <v>3000000</v>
      </c>
    </row>
    <row r="1999" spans="1:11" ht="18.75">
      <c r="A1999" s="1042" t="s">
        <v>2485</v>
      </c>
      <c r="B1999" s="1043"/>
      <c r="C1999" s="1043"/>
      <c r="D1999" s="1039"/>
      <c r="E1999" s="1035"/>
      <c r="F1999" s="4"/>
      <c r="G1999" s="4"/>
      <c r="H1999" s="4"/>
      <c r="I1999" s="4"/>
      <c r="J1999" s="1038"/>
      <c r="K1999" s="714"/>
    </row>
    <row r="2000" spans="1:11" ht="31.5">
      <c r="A2000" s="694">
        <v>76</v>
      </c>
      <c r="B2000" s="693" t="s">
        <v>2486</v>
      </c>
      <c r="C2000" s="612" t="s">
        <v>2487</v>
      </c>
      <c r="D2000" s="185" t="s">
        <v>3</v>
      </c>
      <c r="E2000" s="1044"/>
      <c r="F2000" s="391"/>
      <c r="G2000" s="4"/>
      <c r="H2000" s="4"/>
      <c r="I2000" s="1044">
        <v>1</v>
      </c>
      <c r="J2000" s="391">
        <v>500</v>
      </c>
      <c r="K2000" s="714">
        <f>J2000*(I2000+G2000)</f>
        <v>500</v>
      </c>
    </row>
    <row r="2001" spans="1:11">
      <c r="A2001" s="694">
        <v>77</v>
      </c>
      <c r="B2001" s="693" t="s">
        <v>2488</v>
      </c>
      <c r="C2001" s="433" t="s">
        <v>2489</v>
      </c>
      <c r="D2001" s="5" t="s">
        <v>10</v>
      </c>
      <c r="E2001" s="1044"/>
      <c r="F2001" s="1045"/>
      <c r="G2001" s="4"/>
      <c r="H2001" s="4"/>
      <c r="I2001" s="1044">
        <v>1</v>
      </c>
      <c r="J2001" s="1045">
        <v>5000</v>
      </c>
      <c r="K2001" s="714">
        <f>J2001*(I2001+G2001)</f>
        <v>5000</v>
      </c>
    </row>
    <row r="2002" spans="1:11">
      <c r="A2002" s="694">
        <v>78</v>
      </c>
      <c r="B2002" s="693" t="s">
        <v>2490</v>
      </c>
      <c r="C2002" s="1046" t="s">
        <v>2491</v>
      </c>
      <c r="D2002" s="185" t="s">
        <v>3</v>
      </c>
      <c r="E2002" s="1044"/>
      <c r="F2002" s="1045"/>
      <c r="G2002" s="4"/>
      <c r="H2002" s="4"/>
      <c r="I2002" s="1044">
        <v>10</v>
      </c>
      <c r="J2002" s="1045">
        <v>500</v>
      </c>
      <c r="K2002" s="714">
        <f>J2002*(I2002+G2002)</f>
        <v>5000</v>
      </c>
    </row>
    <row r="2003" spans="1:11" ht="31.5">
      <c r="A2003" s="694">
        <v>79</v>
      </c>
      <c r="B2003" s="693"/>
      <c r="C2003" s="1047" t="s">
        <v>2492</v>
      </c>
      <c r="D2003" s="1048" t="s">
        <v>10</v>
      </c>
      <c r="E2003" s="209"/>
      <c r="F2003" s="185"/>
      <c r="G2003" s="1049"/>
      <c r="H2003" s="1014"/>
      <c r="I2003" s="1014">
        <v>1</v>
      </c>
      <c r="J2003" s="185">
        <v>11000</v>
      </c>
      <c r="K2003" s="714">
        <f>I2003*J2003</f>
        <v>11000</v>
      </c>
    </row>
    <row r="2004" spans="1:11">
      <c r="A2004" s="694">
        <v>80</v>
      </c>
      <c r="B2004" s="1119"/>
      <c r="C2004" s="1050" t="s">
        <v>2493</v>
      </c>
      <c r="D2004" s="1048" t="s">
        <v>13</v>
      </c>
      <c r="E2004" s="209"/>
      <c r="F2004" s="185"/>
      <c r="G2004" s="1049"/>
      <c r="H2004" s="1014"/>
      <c r="I2004" s="1014">
        <v>2</v>
      </c>
      <c r="J2004" s="185">
        <v>200</v>
      </c>
      <c r="K2004" s="714">
        <f>I2004*J2004</f>
        <v>400</v>
      </c>
    </row>
    <row r="2005" spans="1:11">
      <c r="A2005" s="694">
        <v>81</v>
      </c>
      <c r="B2005" s="1119"/>
      <c r="C2005" s="1050" t="s">
        <v>2494</v>
      </c>
      <c r="D2005" s="1048" t="s">
        <v>13</v>
      </c>
      <c r="E2005" s="209"/>
      <c r="F2005" s="185"/>
      <c r="G2005" s="1049"/>
      <c r="H2005" s="1014"/>
      <c r="I2005" s="1014">
        <v>1</v>
      </c>
      <c r="J2005" s="185">
        <v>200</v>
      </c>
      <c r="K2005" s="714">
        <f>I2005*J2005</f>
        <v>200</v>
      </c>
    </row>
    <row r="2006" spans="1:11">
      <c r="A2006" s="694">
        <v>82</v>
      </c>
      <c r="B2006" s="704" t="s">
        <v>2495</v>
      </c>
      <c r="C2006" s="1051" t="s">
        <v>2496</v>
      </c>
      <c r="D2006" s="1048" t="s">
        <v>13</v>
      </c>
      <c r="E2006" s="4"/>
      <c r="F2006" s="1011"/>
      <c r="G2006" s="4">
        <v>3</v>
      </c>
      <c r="H2006" s="4"/>
      <c r="I2006" s="4"/>
      <c r="J2006" s="1011">
        <v>80000</v>
      </c>
      <c r="K2006" s="714">
        <f>G2006*J2006</f>
        <v>240000</v>
      </c>
    </row>
    <row r="2007" spans="1:11">
      <c r="A2007" s="694">
        <v>83</v>
      </c>
      <c r="B2007" s="693" t="s">
        <v>2497</v>
      </c>
      <c r="C2007" s="1052" t="s">
        <v>2498</v>
      </c>
      <c r="D2007" s="1048" t="s">
        <v>2</v>
      </c>
      <c r="E2007" s="4"/>
      <c r="F2007" s="1011"/>
      <c r="G2007" s="4">
        <v>1</v>
      </c>
      <c r="H2007" s="4"/>
      <c r="I2007" s="4"/>
      <c r="J2007" s="1011">
        <v>0</v>
      </c>
      <c r="K2007" s="714">
        <f>J2007*(I2007+G2007)</f>
        <v>0</v>
      </c>
    </row>
    <row r="2008" spans="1:11" ht="31.5">
      <c r="A2008" s="694">
        <v>84</v>
      </c>
      <c r="B2008" s="1116" t="s">
        <v>2499</v>
      </c>
      <c r="C2008" s="433" t="s">
        <v>2500</v>
      </c>
      <c r="D2008" s="187" t="s">
        <v>2</v>
      </c>
      <c r="E2008" s="1044"/>
      <c r="F2008" s="391"/>
      <c r="G2008" s="1044">
        <v>1</v>
      </c>
      <c r="H2008" s="4"/>
      <c r="I2008" s="4"/>
      <c r="J2008" s="391">
        <v>312567</v>
      </c>
      <c r="K2008" s="714">
        <f t="shared" ref="K2008:K2011" si="107">J2008*(I2008+G2008)</f>
        <v>312567</v>
      </c>
    </row>
    <row r="2009" spans="1:11" ht="31.5">
      <c r="A2009" s="694">
        <v>85</v>
      </c>
      <c r="B2009" s="1116" t="s">
        <v>2501</v>
      </c>
      <c r="C2009" s="433" t="s">
        <v>2502</v>
      </c>
      <c r="D2009" s="187" t="s">
        <v>2</v>
      </c>
      <c r="E2009" s="1044"/>
      <c r="F2009" s="391"/>
      <c r="G2009" s="1044">
        <v>2</v>
      </c>
      <c r="H2009" s="4"/>
      <c r="I2009" s="4"/>
      <c r="J2009" s="391">
        <v>312567</v>
      </c>
      <c r="K2009" s="714">
        <f t="shared" si="107"/>
        <v>625134</v>
      </c>
    </row>
    <row r="2010" spans="1:11">
      <c r="A2010" s="694">
        <v>86</v>
      </c>
      <c r="B2010" s="1116" t="s">
        <v>2501</v>
      </c>
      <c r="C2010" s="433" t="s">
        <v>2503</v>
      </c>
      <c r="D2010" s="187" t="s">
        <v>2</v>
      </c>
      <c r="E2010" s="1044"/>
      <c r="F2010" s="391"/>
      <c r="G2010" s="1044">
        <v>1</v>
      </c>
      <c r="H2010" s="4"/>
      <c r="I2010" s="4"/>
      <c r="J2010" s="391">
        <v>312567</v>
      </c>
      <c r="K2010" s="714">
        <f t="shared" si="107"/>
        <v>312567</v>
      </c>
    </row>
    <row r="2011" spans="1:11">
      <c r="A2011" s="694">
        <v>87</v>
      </c>
      <c r="B2011" s="693" t="s">
        <v>2504</v>
      </c>
      <c r="C2011" s="1020" t="s">
        <v>2505</v>
      </c>
      <c r="D2011" s="187" t="s">
        <v>2</v>
      </c>
      <c r="E2011" s="4"/>
      <c r="F2011" s="391"/>
      <c r="G2011" s="4">
        <v>3</v>
      </c>
      <c r="H2011" s="4"/>
      <c r="I2011" s="4"/>
      <c r="J2011" s="391">
        <v>20000</v>
      </c>
      <c r="K2011" s="714">
        <f t="shared" si="107"/>
        <v>60000</v>
      </c>
    </row>
    <row r="2012" spans="1:11">
      <c r="A2012" s="694">
        <v>88</v>
      </c>
      <c r="B2012" s="693" t="s">
        <v>2506</v>
      </c>
      <c r="C2012" s="433" t="s">
        <v>2507</v>
      </c>
      <c r="D2012" s="1048" t="s">
        <v>3</v>
      </c>
      <c r="E2012" s="209"/>
      <c r="F2012" s="185"/>
      <c r="G2012" s="209">
        <v>3</v>
      </c>
      <c r="H2012" s="4"/>
      <c r="I2012" s="4"/>
      <c r="J2012" s="185">
        <v>20000</v>
      </c>
      <c r="K2012" s="714">
        <f>J2012*(I2012+G2012)</f>
        <v>60000</v>
      </c>
    </row>
    <row r="2013" spans="1:11">
      <c r="A2013" s="694">
        <v>89</v>
      </c>
      <c r="B2013" s="693"/>
      <c r="C2013" s="1047" t="s">
        <v>2508</v>
      </c>
      <c r="D2013" s="1048" t="s">
        <v>13</v>
      </c>
      <c r="E2013" s="209"/>
      <c r="F2013" s="185"/>
      <c r="G2013" s="1049">
        <v>3</v>
      </c>
      <c r="H2013" s="1014"/>
      <c r="I2013" s="1014"/>
      <c r="J2013" s="185">
        <v>15000</v>
      </c>
      <c r="K2013" s="714">
        <f>G2013*J2013</f>
        <v>45000</v>
      </c>
    </row>
    <row r="2014" spans="1:11">
      <c r="A2014" s="694">
        <v>90</v>
      </c>
      <c r="B2014" s="693"/>
      <c r="C2014" s="1047" t="s">
        <v>2509</v>
      </c>
      <c r="D2014" s="1048" t="s">
        <v>13</v>
      </c>
      <c r="E2014" s="209"/>
      <c r="F2014" s="185"/>
      <c r="G2014" s="1049">
        <v>3</v>
      </c>
      <c r="H2014" s="1014"/>
      <c r="I2014" s="1014"/>
      <c r="J2014" s="185">
        <v>15000</v>
      </c>
      <c r="K2014" s="714">
        <f>G2014*J2014</f>
        <v>45000</v>
      </c>
    </row>
    <row r="2015" spans="1:11">
      <c r="A2015" s="694">
        <v>91</v>
      </c>
      <c r="B2015" s="1120"/>
      <c r="C2015" s="1053" t="s">
        <v>2510</v>
      </c>
      <c r="D2015" s="1048" t="s">
        <v>13</v>
      </c>
      <c r="E2015" s="209"/>
      <c r="F2015" s="185"/>
      <c r="G2015" s="1049">
        <v>2</v>
      </c>
      <c r="H2015" s="1014"/>
      <c r="I2015" s="1014"/>
      <c r="J2015" s="185">
        <v>40000</v>
      </c>
      <c r="K2015" s="714">
        <f>G2015*J2015</f>
        <v>80000</v>
      </c>
    </row>
    <row r="2016" spans="1:11">
      <c r="A2016" s="694">
        <v>92</v>
      </c>
      <c r="B2016" s="1119"/>
      <c r="C2016" s="1054" t="s">
        <v>2511</v>
      </c>
      <c r="D2016" s="1048" t="s">
        <v>13</v>
      </c>
      <c r="E2016" s="209"/>
      <c r="F2016" s="185"/>
      <c r="G2016" s="1049">
        <v>3</v>
      </c>
      <c r="H2016" s="1014"/>
      <c r="I2016" s="1014"/>
      <c r="J2016" s="185">
        <v>15000</v>
      </c>
      <c r="K2016" s="714">
        <f>G2016*J2016</f>
        <v>45000</v>
      </c>
    </row>
    <row r="2017" spans="1:11">
      <c r="A2017" s="694">
        <v>93</v>
      </c>
      <c r="B2017" s="1119"/>
      <c r="C2017" s="1055" t="s">
        <v>2512</v>
      </c>
      <c r="D2017" s="1048" t="s">
        <v>13</v>
      </c>
      <c r="E2017" s="209"/>
      <c r="F2017" s="185"/>
      <c r="G2017" s="1049">
        <v>3</v>
      </c>
      <c r="H2017" s="1014"/>
      <c r="I2017" s="1014"/>
      <c r="J2017" s="185">
        <v>20000</v>
      </c>
      <c r="K2017" s="714">
        <f>G2017*J2017</f>
        <v>60000</v>
      </c>
    </row>
    <row r="2018" spans="1:11">
      <c r="A2018" s="694">
        <v>94</v>
      </c>
      <c r="B2018" s="1120"/>
      <c r="C2018" s="1055" t="s">
        <v>2513</v>
      </c>
      <c r="D2018" s="1048" t="s">
        <v>13</v>
      </c>
      <c r="E2018" s="209"/>
      <c r="F2018" s="185"/>
      <c r="G2018" s="1049">
        <v>3</v>
      </c>
      <c r="H2018" s="1014"/>
      <c r="I2018" s="1014"/>
      <c r="J2018" s="185">
        <v>20000</v>
      </c>
      <c r="K2018" s="714">
        <f t="shared" ref="K2018:K2019" si="108">G2018*J2018</f>
        <v>60000</v>
      </c>
    </row>
    <row r="2019" spans="1:11">
      <c r="A2019" s="694">
        <v>95</v>
      </c>
      <c r="B2019" s="1119"/>
      <c r="C2019" s="1056" t="s">
        <v>2505</v>
      </c>
      <c r="D2019" s="1048" t="s">
        <v>13</v>
      </c>
      <c r="E2019" s="209"/>
      <c r="F2019" s="185"/>
      <c r="G2019" s="1049">
        <v>3</v>
      </c>
      <c r="H2019" s="1014"/>
      <c r="I2019" s="1014"/>
      <c r="J2019" s="185">
        <v>20000</v>
      </c>
      <c r="K2019" s="714">
        <f t="shared" si="108"/>
        <v>60000</v>
      </c>
    </row>
    <row r="2020" spans="1:11">
      <c r="A2020" s="693"/>
      <c r="B2020" s="1057"/>
      <c r="C2020" s="1058"/>
      <c r="D2020" s="1059"/>
      <c r="E2020" s="1060"/>
      <c r="F2020" s="1061"/>
      <c r="G2020" s="1062"/>
      <c r="H2020" s="1063"/>
      <c r="I2020" s="1063"/>
      <c r="J2020" s="1061"/>
      <c r="K2020" s="1064"/>
    </row>
    <row r="2021" spans="1:11" ht="18.75">
      <c r="A2021" s="120" t="s">
        <v>2514</v>
      </c>
      <c r="B2021" s="121"/>
      <c r="C2021" s="121"/>
      <c r="D2021" s="121"/>
      <c r="E2021" s="121"/>
      <c r="F2021" s="121"/>
      <c r="G2021" s="121"/>
      <c r="H2021" s="121"/>
      <c r="I2021" s="121"/>
      <c r="J2021" s="121"/>
      <c r="K2021" s="122"/>
    </row>
    <row r="2022" spans="1:11" ht="18.75">
      <c r="A2022" s="1065"/>
      <c r="B2022" s="1066"/>
      <c r="C2022" s="1066"/>
      <c r="D2022" s="117"/>
      <c r="E2022" s="117"/>
      <c r="F2022" s="117"/>
      <c r="G2022" s="117"/>
      <c r="H2022" s="117"/>
      <c r="I2022" s="117"/>
      <c r="J2022" s="1066"/>
      <c r="K2022" s="1067"/>
    </row>
    <row r="2023" spans="1:11">
      <c r="A2023" s="123" t="s">
        <v>6</v>
      </c>
      <c r="B2023" s="125" t="s">
        <v>28</v>
      </c>
      <c r="C2023" s="123" t="s">
        <v>7</v>
      </c>
      <c r="D2023" s="4" t="s">
        <v>8</v>
      </c>
      <c r="E2023" s="127" t="s">
        <v>30</v>
      </c>
      <c r="F2023" s="128"/>
      <c r="G2023" s="128"/>
      <c r="H2023" s="128"/>
      <c r="I2023" s="129"/>
      <c r="J2023" s="130" t="s">
        <v>26</v>
      </c>
      <c r="K2023" s="130" t="s">
        <v>27</v>
      </c>
    </row>
    <row r="2024" spans="1:11">
      <c r="A2024" s="124"/>
      <c r="B2024" s="126"/>
      <c r="C2024" s="124"/>
      <c r="D2024" s="6"/>
      <c r="E2024" s="14" t="s">
        <v>18</v>
      </c>
      <c r="F2024" s="14" t="s">
        <v>29</v>
      </c>
      <c r="G2024" s="14" t="s">
        <v>11</v>
      </c>
      <c r="H2024" s="14" t="s">
        <v>21</v>
      </c>
      <c r="I2024" s="14" t="s">
        <v>1</v>
      </c>
      <c r="J2024" s="131"/>
      <c r="K2024" s="131"/>
    </row>
    <row r="2025" spans="1:11">
      <c r="A2025" s="7">
        <v>1</v>
      </c>
      <c r="B2025" s="20" t="s">
        <v>2515</v>
      </c>
      <c r="C2025" s="1068" t="s">
        <v>2516</v>
      </c>
      <c r="D2025" s="1069" t="s">
        <v>2517</v>
      </c>
      <c r="E2025" s="1070">
        <v>1</v>
      </c>
      <c r="F2025" s="4"/>
      <c r="G2025" s="4"/>
      <c r="H2025" s="4"/>
      <c r="I2025" s="4"/>
      <c r="J2025" s="1071"/>
      <c r="K2025" s="4">
        <f>J2025*(I2025+E2025)</f>
        <v>0</v>
      </c>
    </row>
    <row r="2026" spans="1:11">
      <c r="A2026" s="7">
        <v>2</v>
      </c>
      <c r="B2026" s="20" t="s">
        <v>2518</v>
      </c>
      <c r="C2026" s="1068" t="s">
        <v>2519</v>
      </c>
      <c r="D2026" s="1069" t="s">
        <v>2517</v>
      </c>
      <c r="E2026" s="1070">
        <v>1</v>
      </c>
      <c r="F2026" s="4"/>
      <c r="G2026" s="4"/>
      <c r="H2026" s="4"/>
      <c r="I2026" s="4"/>
      <c r="J2026" s="1071"/>
      <c r="K2026" s="4">
        <f t="shared" ref="K2026:K2090" si="109">J2026*(I2026+E2026)</f>
        <v>0</v>
      </c>
    </row>
    <row r="2027" spans="1:11">
      <c r="A2027" s="7">
        <v>3</v>
      </c>
      <c r="B2027" s="20" t="s">
        <v>2520</v>
      </c>
      <c r="C2027" s="1068" t="s">
        <v>2521</v>
      </c>
      <c r="D2027" s="1069" t="s">
        <v>2517</v>
      </c>
      <c r="E2027" s="1070">
        <v>2</v>
      </c>
      <c r="F2027" s="4"/>
      <c r="G2027" s="4"/>
      <c r="H2027" s="4"/>
      <c r="I2027" s="4"/>
      <c r="J2027" s="1071"/>
      <c r="K2027" s="4">
        <f t="shared" si="109"/>
        <v>0</v>
      </c>
    </row>
    <row r="2028" spans="1:11">
      <c r="A2028" s="7">
        <v>4</v>
      </c>
      <c r="B2028" s="20"/>
      <c r="C2028" s="1068" t="s">
        <v>2522</v>
      </c>
      <c r="D2028" s="1069" t="s">
        <v>2517</v>
      </c>
      <c r="E2028" s="1070">
        <v>4</v>
      </c>
      <c r="F2028" s="4"/>
      <c r="G2028" s="4"/>
      <c r="H2028" s="4"/>
      <c r="I2028" s="4"/>
      <c r="J2028" s="1071"/>
      <c r="K2028" s="4">
        <f t="shared" si="109"/>
        <v>0</v>
      </c>
    </row>
    <row r="2029" spans="1:11">
      <c r="A2029" s="7">
        <v>5</v>
      </c>
      <c r="B2029" s="20" t="s">
        <v>2523</v>
      </c>
      <c r="C2029" s="1068" t="s">
        <v>2524</v>
      </c>
      <c r="D2029" s="1069" t="s">
        <v>2517</v>
      </c>
      <c r="E2029" s="1070">
        <v>1</v>
      </c>
      <c r="F2029" s="4"/>
      <c r="G2029" s="4"/>
      <c r="H2029" s="4"/>
      <c r="I2029" s="4"/>
      <c r="J2029" s="1071"/>
      <c r="K2029" s="4">
        <f t="shared" si="109"/>
        <v>0</v>
      </c>
    </row>
    <row r="2030" spans="1:11">
      <c r="A2030" s="7">
        <v>6</v>
      </c>
      <c r="B2030" s="20" t="s">
        <v>2525</v>
      </c>
      <c r="C2030" s="1068" t="s">
        <v>2526</v>
      </c>
      <c r="D2030" s="1069" t="s">
        <v>2517</v>
      </c>
      <c r="E2030" s="1070">
        <v>1</v>
      </c>
      <c r="F2030" s="4"/>
      <c r="G2030" s="4"/>
      <c r="H2030" s="4"/>
      <c r="I2030" s="4"/>
      <c r="J2030" s="1071"/>
      <c r="K2030" s="4">
        <f t="shared" si="109"/>
        <v>0</v>
      </c>
    </row>
    <row r="2031" spans="1:11">
      <c r="A2031" s="7">
        <v>7</v>
      </c>
      <c r="B2031" s="20" t="s">
        <v>2527</v>
      </c>
      <c r="C2031" s="1068" t="s">
        <v>2528</v>
      </c>
      <c r="D2031" s="1069" t="s">
        <v>2517</v>
      </c>
      <c r="E2031" s="1070">
        <v>1</v>
      </c>
      <c r="F2031" s="4"/>
      <c r="G2031" s="4"/>
      <c r="H2031" s="4"/>
      <c r="I2031" s="4"/>
      <c r="J2031" s="1071">
        <v>2800</v>
      </c>
      <c r="K2031" s="4">
        <f t="shared" si="109"/>
        <v>2800</v>
      </c>
    </row>
    <row r="2032" spans="1:11">
      <c r="A2032" s="7">
        <v>8</v>
      </c>
      <c r="B2032" s="20" t="s">
        <v>2529</v>
      </c>
      <c r="C2032" s="1068" t="s">
        <v>2530</v>
      </c>
      <c r="D2032" s="1069" t="s">
        <v>2517</v>
      </c>
      <c r="E2032" s="1070">
        <v>1</v>
      </c>
      <c r="F2032" s="4"/>
      <c r="G2032" s="4"/>
      <c r="H2032" s="4"/>
      <c r="I2032" s="4"/>
      <c r="J2032" s="1071">
        <v>375</v>
      </c>
      <c r="K2032" s="4">
        <f t="shared" si="109"/>
        <v>375</v>
      </c>
    </row>
    <row r="2033" spans="1:11">
      <c r="A2033" s="7">
        <v>9</v>
      </c>
      <c r="B2033" s="20" t="s">
        <v>2531</v>
      </c>
      <c r="C2033" s="1068" t="s">
        <v>2532</v>
      </c>
      <c r="D2033" s="1069" t="s">
        <v>2517</v>
      </c>
      <c r="E2033" s="1070">
        <v>1</v>
      </c>
      <c r="F2033" s="4"/>
      <c r="G2033" s="4"/>
      <c r="H2033" s="4"/>
      <c r="I2033" s="4"/>
      <c r="J2033" s="1071">
        <v>150</v>
      </c>
      <c r="K2033" s="4">
        <f t="shared" si="109"/>
        <v>150</v>
      </c>
    </row>
    <row r="2034" spans="1:11">
      <c r="A2034" s="7">
        <v>10</v>
      </c>
      <c r="B2034" s="20" t="s">
        <v>2533</v>
      </c>
      <c r="C2034" s="1068" t="s">
        <v>2534</v>
      </c>
      <c r="D2034" s="1069" t="s">
        <v>2517</v>
      </c>
      <c r="E2034" s="1070">
        <v>1</v>
      </c>
      <c r="F2034" s="4"/>
      <c r="G2034" s="4"/>
      <c r="H2034" s="4"/>
      <c r="I2034" s="4"/>
      <c r="J2034" s="1071">
        <v>450</v>
      </c>
      <c r="K2034" s="4">
        <f t="shared" si="109"/>
        <v>450</v>
      </c>
    </row>
    <row r="2035" spans="1:11">
      <c r="A2035" s="7">
        <v>11</v>
      </c>
      <c r="B2035" s="20" t="s">
        <v>2535</v>
      </c>
      <c r="C2035" s="1068" t="s">
        <v>2536</v>
      </c>
      <c r="D2035" s="1069" t="s">
        <v>2517</v>
      </c>
      <c r="E2035" s="1070">
        <v>1</v>
      </c>
      <c r="F2035" s="4"/>
      <c r="G2035" s="4"/>
      <c r="H2035" s="4"/>
      <c r="I2035" s="4"/>
      <c r="J2035" s="1071">
        <v>50</v>
      </c>
      <c r="K2035" s="4">
        <f t="shared" si="109"/>
        <v>50</v>
      </c>
    </row>
    <row r="2036" spans="1:11">
      <c r="A2036" s="7">
        <v>12</v>
      </c>
      <c r="B2036" s="20"/>
      <c r="C2036" s="1068" t="s">
        <v>2537</v>
      </c>
      <c r="D2036" s="1069" t="s">
        <v>2517</v>
      </c>
      <c r="E2036" s="1070">
        <v>1</v>
      </c>
      <c r="F2036" s="4"/>
      <c r="G2036" s="4"/>
      <c r="H2036" s="4"/>
      <c r="I2036" s="4"/>
      <c r="J2036" s="1071">
        <v>125</v>
      </c>
      <c r="K2036" s="4">
        <f t="shared" si="109"/>
        <v>125</v>
      </c>
    </row>
    <row r="2037" spans="1:11">
      <c r="A2037" s="7">
        <v>13</v>
      </c>
      <c r="B2037" s="20" t="s">
        <v>2538</v>
      </c>
      <c r="C2037" s="1068" t="s">
        <v>2539</v>
      </c>
      <c r="D2037" s="1069" t="s">
        <v>2517</v>
      </c>
      <c r="E2037" s="1070">
        <v>2</v>
      </c>
      <c r="F2037" s="4"/>
      <c r="G2037" s="4"/>
      <c r="H2037" s="4"/>
      <c r="I2037" s="4"/>
      <c r="J2037" s="1071">
        <v>40</v>
      </c>
      <c r="K2037" s="4">
        <f t="shared" si="109"/>
        <v>80</v>
      </c>
    </row>
    <row r="2038" spans="1:11">
      <c r="A2038" s="7">
        <v>14</v>
      </c>
      <c r="B2038" s="20" t="s">
        <v>2540</v>
      </c>
      <c r="C2038" s="1068" t="s">
        <v>2541</v>
      </c>
      <c r="D2038" s="1069" t="s">
        <v>2517</v>
      </c>
      <c r="E2038" s="1070">
        <v>2</v>
      </c>
      <c r="F2038" s="4"/>
      <c r="G2038" s="4"/>
      <c r="H2038" s="4"/>
      <c r="I2038" s="4"/>
      <c r="J2038" s="1071">
        <v>18</v>
      </c>
      <c r="K2038" s="4">
        <f t="shared" si="109"/>
        <v>36</v>
      </c>
    </row>
    <row r="2039" spans="1:11">
      <c r="A2039" s="7">
        <v>15</v>
      </c>
      <c r="B2039" s="20" t="s">
        <v>2542</v>
      </c>
      <c r="C2039" s="1068" t="s">
        <v>2543</v>
      </c>
      <c r="D2039" s="1069" t="s">
        <v>2517</v>
      </c>
      <c r="E2039" s="1070">
        <v>2</v>
      </c>
      <c r="F2039" s="4"/>
      <c r="G2039" s="4"/>
      <c r="H2039" s="4"/>
      <c r="I2039" s="4"/>
      <c r="J2039" s="1071">
        <v>21</v>
      </c>
      <c r="K2039" s="4">
        <f t="shared" si="109"/>
        <v>42</v>
      </c>
    </row>
    <row r="2040" spans="1:11">
      <c r="A2040" s="7">
        <v>16</v>
      </c>
      <c r="B2040" s="20" t="s">
        <v>2544</v>
      </c>
      <c r="C2040" s="1068" t="s">
        <v>2545</v>
      </c>
      <c r="D2040" s="1069" t="s">
        <v>2517</v>
      </c>
      <c r="E2040" s="1070">
        <v>2</v>
      </c>
      <c r="F2040" s="4"/>
      <c r="G2040" s="4"/>
      <c r="H2040" s="4"/>
      <c r="I2040" s="4"/>
      <c r="J2040" s="1071">
        <v>25</v>
      </c>
      <c r="K2040" s="4">
        <f t="shared" si="109"/>
        <v>50</v>
      </c>
    </row>
    <row r="2041" spans="1:11">
      <c r="A2041" s="7">
        <v>17</v>
      </c>
      <c r="B2041" s="20" t="s">
        <v>2546</v>
      </c>
      <c r="C2041" s="1068" t="s">
        <v>2547</v>
      </c>
      <c r="D2041" s="1069" t="s">
        <v>2517</v>
      </c>
      <c r="E2041" s="1070">
        <v>2</v>
      </c>
      <c r="F2041" s="4"/>
      <c r="G2041" s="4"/>
      <c r="H2041" s="4"/>
      <c r="I2041" s="4"/>
      <c r="J2041" s="1071">
        <v>31</v>
      </c>
      <c r="K2041" s="4">
        <f t="shared" si="109"/>
        <v>62</v>
      </c>
    </row>
    <row r="2042" spans="1:11">
      <c r="A2042" s="7">
        <v>18</v>
      </c>
      <c r="B2042" s="20" t="s">
        <v>2548</v>
      </c>
      <c r="C2042" s="1068" t="s">
        <v>2549</v>
      </c>
      <c r="D2042" s="1069" t="s">
        <v>2517</v>
      </c>
      <c r="E2042" s="1070">
        <v>2</v>
      </c>
      <c r="F2042" s="4"/>
      <c r="G2042" s="4"/>
      <c r="H2042" s="4"/>
      <c r="I2042" s="4"/>
      <c r="J2042" s="1071">
        <v>39</v>
      </c>
      <c r="K2042" s="4">
        <f t="shared" si="109"/>
        <v>78</v>
      </c>
    </row>
    <row r="2043" spans="1:11">
      <c r="A2043" s="7">
        <v>19</v>
      </c>
      <c r="B2043" s="20" t="s">
        <v>2550</v>
      </c>
      <c r="C2043" s="1068" t="s">
        <v>2551</v>
      </c>
      <c r="D2043" s="1069" t="s">
        <v>2517</v>
      </c>
      <c r="E2043" s="1070">
        <v>2</v>
      </c>
      <c r="F2043" s="4"/>
      <c r="G2043" s="4"/>
      <c r="H2043" s="4"/>
      <c r="I2043" s="4"/>
      <c r="J2043" s="1071">
        <v>35</v>
      </c>
      <c r="K2043" s="4">
        <f t="shared" si="109"/>
        <v>70</v>
      </c>
    </row>
    <row r="2044" spans="1:11">
      <c r="A2044" s="7">
        <v>20</v>
      </c>
      <c r="B2044" s="20" t="s">
        <v>2552</v>
      </c>
      <c r="C2044" s="1068" t="s">
        <v>2553</v>
      </c>
      <c r="D2044" s="1069" t="s">
        <v>2517</v>
      </c>
      <c r="E2044" s="1070">
        <v>2</v>
      </c>
      <c r="F2044" s="4"/>
      <c r="G2044" s="4"/>
      <c r="H2044" s="4"/>
      <c r="I2044" s="4"/>
      <c r="J2044" s="1071">
        <v>37</v>
      </c>
      <c r="K2044" s="4">
        <f t="shared" si="109"/>
        <v>74</v>
      </c>
    </row>
    <row r="2045" spans="1:11">
      <c r="A2045" s="7">
        <v>21</v>
      </c>
      <c r="B2045" s="20" t="s">
        <v>2554</v>
      </c>
      <c r="C2045" s="1068" t="s">
        <v>2555</v>
      </c>
      <c r="D2045" s="1069" t="s">
        <v>2517</v>
      </c>
      <c r="E2045" s="1070">
        <v>2</v>
      </c>
      <c r="F2045" s="4"/>
      <c r="G2045" s="4"/>
      <c r="H2045" s="4"/>
      <c r="I2045" s="4"/>
      <c r="J2045" s="1071">
        <v>44</v>
      </c>
      <c r="K2045" s="4">
        <f t="shared" si="109"/>
        <v>88</v>
      </c>
    </row>
    <row r="2046" spans="1:11">
      <c r="A2046" s="7">
        <v>22</v>
      </c>
      <c r="B2046" s="20" t="s">
        <v>2556</v>
      </c>
      <c r="C2046" s="1068" t="s">
        <v>2557</v>
      </c>
      <c r="D2046" s="1069" t="s">
        <v>2517</v>
      </c>
      <c r="E2046" s="1070">
        <v>2</v>
      </c>
      <c r="F2046" s="4"/>
      <c r="G2046" s="4"/>
      <c r="H2046" s="4"/>
      <c r="I2046" s="4"/>
      <c r="J2046" s="1071">
        <v>57</v>
      </c>
      <c r="K2046" s="4">
        <f t="shared" si="109"/>
        <v>114</v>
      </c>
    </row>
    <row r="2047" spans="1:11">
      <c r="A2047" s="7">
        <v>23</v>
      </c>
      <c r="B2047" s="20" t="s">
        <v>2558</v>
      </c>
      <c r="C2047" s="1068" t="s">
        <v>2559</v>
      </c>
      <c r="D2047" s="1069" t="s">
        <v>2517</v>
      </c>
      <c r="E2047" s="1070">
        <v>2</v>
      </c>
      <c r="F2047" s="4"/>
      <c r="G2047" s="4"/>
      <c r="H2047" s="4"/>
      <c r="I2047" s="4"/>
      <c r="J2047" s="1071">
        <v>67</v>
      </c>
      <c r="K2047" s="4">
        <f t="shared" si="109"/>
        <v>134</v>
      </c>
    </row>
    <row r="2048" spans="1:11">
      <c r="A2048" s="7">
        <v>24</v>
      </c>
      <c r="B2048" s="20" t="s">
        <v>2560</v>
      </c>
      <c r="C2048" s="1068" t="s">
        <v>2561</v>
      </c>
      <c r="D2048" s="1069" t="s">
        <v>2517</v>
      </c>
      <c r="E2048" s="1070">
        <v>2</v>
      </c>
      <c r="F2048" s="4"/>
      <c r="G2048" s="4"/>
      <c r="H2048" s="4"/>
      <c r="I2048" s="4"/>
      <c r="J2048" s="1071">
        <v>97</v>
      </c>
      <c r="K2048" s="4">
        <f t="shared" si="109"/>
        <v>194</v>
      </c>
    </row>
    <row r="2049" spans="1:11">
      <c r="A2049" s="7">
        <v>25</v>
      </c>
      <c r="B2049" s="20" t="s">
        <v>2562</v>
      </c>
      <c r="C2049" s="1068" t="s">
        <v>2563</v>
      </c>
      <c r="D2049" s="1069" t="s">
        <v>2517</v>
      </c>
      <c r="E2049" s="1070">
        <v>1</v>
      </c>
      <c r="F2049" s="4"/>
      <c r="G2049" s="4"/>
      <c r="H2049" s="4"/>
      <c r="I2049" s="4"/>
      <c r="J2049" s="1071">
        <v>1800</v>
      </c>
      <c r="K2049" s="4">
        <f t="shared" si="109"/>
        <v>1800</v>
      </c>
    </row>
    <row r="2050" spans="1:11">
      <c r="A2050" s="7">
        <v>26</v>
      </c>
      <c r="B2050" s="20" t="s">
        <v>2564</v>
      </c>
      <c r="C2050" s="1068" t="s">
        <v>2565</v>
      </c>
      <c r="D2050" s="1069" t="s">
        <v>2517</v>
      </c>
      <c r="E2050" s="1070">
        <v>1</v>
      </c>
      <c r="F2050" s="4"/>
      <c r="G2050" s="4"/>
      <c r="H2050" s="4"/>
      <c r="I2050" s="4"/>
      <c r="J2050" s="1071">
        <v>1000</v>
      </c>
      <c r="K2050" s="4">
        <f t="shared" si="109"/>
        <v>1000</v>
      </c>
    </row>
    <row r="2051" spans="1:11">
      <c r="A2051" s="7">
        <v>27</v>
      </c>
      <c r="B2051" s="20" t="s">
        <v>2566</v>
      </c>
      <c r="C2051" s="1068" t="s">
        <v>2567</v>
      </c>
      <c r="D2051" s="1069" t="s">
        <v>2517</v>
      </c>
      <c r="E2051" s="1070">
        <v>1</v>
      </c>
      <c r="F2051" s="4"/>
      <c r="G2051" s="4"/>
      <c r="H2051" s="4"/>
      <c r="I2051" s="4"/>
      <c r="J2051" s="1071">
        <v>26600</v>
      </c>
      <c r="K2051" s="4">
        <f t="shared" si="109"/>
        <v>26600</v>
      </c>
    </row>
    <row r="2052" spans="1:11">
      <c r="A2052" s="7">
        <v>28</v>
      </c>
      <c r="B2052" s="20" t="s">
        <v>2568</v>
      </c>
      <c r="C2052" s="1068" t="s">
        <v>2569</v>
      </c>
      <c r="D2052" s="1069" t="s">
        <v>2517</v>
      </c>
      <c r="E2052" s="1070">
        <v>1</v>
      </c>
      <c r="F2052" s="4"/>
      <c r="G2052" s="4"/>
      <c r="H2052" s="4"/>
      <c r="I2052" s="4"/>
      <c r="J2052" s="1071">
        <v>153</v>
      </c>
      <c r="K2052" s="4">
        <f t="shared" si="109"/>
        <v>153</v>
      </c>
    </row>
    <row r="2053" spans="1:11">
      <c r="A2053" s="7">
        <v>29</v>
      </c>
      <c r="B2053" s="20"/>
      <c r="C2053" s="1068" t="s">
        <v>2570</v>
      </c>
      <c r="D2053" s="1069" t="s">
        <v>2517</v>
      </c>
      <c r="E2053" s="1070">
        <v>1</v>
      </c>
      <c r="F2053" s="4"/>
      <c r="G2053" s="4"/>
      <c r="H2053" s="4"/>
      <c r="I2053" s="4"/>
      <c r="J2053" s="1071">
        <v>187</v>
      </c>
      <c r="K2053" s="4">
        <f t="shared" si="109"/>
        <v>187</v>
      </c>
    </row>
    <row r="2054" spans="1:11">
      <c r="A2054" s="7">
        <v>30</v>
      </c>
      <c r="B2054" s="20" t="s">
        <v>1001</v>
      </c>
      <c r="C2054" s="1068" t="s">
        <v>2571</v>
      </c>
      <c r="D2054" s="1069" t="s">
        <v>2517</v>
      </c>
      <c r="E2054" s="1070">
        <v>6</v>
      </c>
      <c r="F2054" s="4"/>
      <c r="G2054" s="4"/>
      <c r="H2054" s="4"/>
      <c r="I2054" s="4"/>
      <c r="J2054" s="1071"/>
      <c r="K2054" s="4">
        <f t="shared" si="109"/>
        <v>0</v>
      </c>
    </row>
    <row r="2055" spans="1:11">
      <c r="A2055" s="7">
        <v>31</v>
      </c>
      <c r="B2055" s="20" t="s">
        <v>2572</v>
      </c>
      <c r="C2055" s="1068" t="s">
        <v>2573</v>
      </c>
      <c r="D2055" s="1069" t="s">
        <v>2517</v>
      </c>
      <c r="E2055" s="1070">
        <v>2</v>
      </c>
      <c r="F2055" s="4"/>
      <c r="G2055" s="4"/>
      <c r="H2055" s="4"/>
      <c r="I2055" s="4"/>
      <c r="J2055" s="1071"/>
      <c r="K2055" s="4">
        <f t="shared" si="109"/>
        <v>0</v>
      </c>
    </row>
    <row r="2056" spans="1:11">
      <c r="A2056" s="7">
        <v>32</v>
      </c>
      <c r="B2056" s="20" t="s">
        <v>2574</v>
      </c>
      <c r="C2056" s="1068" t="s">
        <v>2575</v>
      </c>
      <c r="D2056" s="1069" t="s">
        <v>2517</v>
      </c>
      <c r="E2056" s="1070">
        <v>1</v>
      </c>
      <c r="F2056" s="4"/>
      <c r="G2056" s="4"/>
      <c r="H2056" s="4"/>
      <c r="I2056" s="4"/>
      <c r="J2056" s="1071"/>
      <c r="K2056" s="4">
        <f t="shared" si="109"/>
        <v>0</v>
      </c>
    </row>
    <row r="2057" spans="1:11">
      <c r="A2057" s="7">
        <v>33</v>
      </c>
      <c r="B2057" s="20" t="s">
        <v>2576</v>
      </c>
      <c r="C2057" s="1068" t="s">
        <v>2577</v>
      </c>
      <c r="D2057" s="1069" t="s">
        <v>2517</v>
      </c>
      <c r="E2057" s="1070">
        <v>1</v>
      </c>
      <c r="F2057" s="4"/>
      <c r="G2057" s="4"/>
      <c r="H2057" s="4"/>
      <c r="I2057" s="4"/>
      <c r="J2057" s="1071"/>
      <c r="K2057" s="4">
        <f t="shared" si="109"/>
        <v>0</v>
      </c>
    </row>
    <row r="2058" spans="1:11">
      <c r="A2058" s="7">
        <v>34</v>
      </c>
      <c r="B2058" s="20" t="s">
        <v>2578</v>
      </c>
      <c r="C2058" s="1068" t="s">
        <v>2579</v>
      </c>
      <c r="D2058" s="1069" t="s">
        <v>2517</v>
      </c>
      <c r="E2058" s="1070">
        <v>1</v>
      </c>
      <c r="F2058" s="4"/>
      <c r="G2058" s="4"/>
      <c r="H2058" s="4"/>
      <c r="I2058" s="4"/>
      <c r="J2058" s="1071"/>
      <c r="K2058" s="4">
        <f t="shared" si="109"/>
        <v>0</v>
      </c>
    </row>
    <row r="2059" spans="1:11">
      <c r="A2059" s="7">
        <v>35</v>
      </c>
      <c r="B2059" s="20" t="s">
        <v>2580</v>
      </c>
      <c r="C2059" s="1068" t="s">
        <v>2581</v>
      </c>
      <c r="D2059" s="1069" t="s">
        <v>2517</v>
      </c>
      <c r="E2059" s="1070">
        <v>1</v>
      </c>
      <c r="F2059" s="4"/>
      <c r="G2059" s="4"/>
      <c r="H2059" s="4"/>
      <c r="I2059" s="4"/>
      <c r="J2059" s="1071"/>
      <c r="K2059" s="4">
        <f t="shared" si="109"/>
        <v>0</v>
      </c>
    </row>
    <row r="2060" spans="1:11">
      <c r="A2060" s="7">
        <v>36</v>
      </c>
      <c r="B2060" s="20" t="s">
        <v>2582</v>
      </c>
      <c r="C2060" s="1068" t="s">
        <v>2583</v>
      </c>
      <c r="D2060" s="1069" t="s">
        <v>2517</v>
      </c>
      <c r="E2060" s="1070">
        <v>1</v>
      </c>
      <c r="F2060" s="4"/>
      <c r="G2060" s="4"/>
      <c r="H2060" s="4"/>
      <c r="I2060" s="4"/>
      <c r="J2060" s="1071"/>
      <c r="K2060" s="4">
        <f t="shared" si="109"/>
        <v>0</v>
      </c>
    </row>
    <row r="2061" spans="1:11">
      <c r="A2061" s="7">
        <v>37</v>
      </c>
      <c r="B2061" s="20" t="s">
        <v>2584</v>
      </c>
      <c r="C2061" s="1068" t="s">
        <v>2585</v>
      </c>
      <c r="D2061" s="1069" t="s">
        <v>2517</v>
      </c>
      <c r="E2061" s="1070">
        <v>1</v>
      </c>
      <c r="F2061" s="4"/>
      <c r="G2061" s="4"/>
      <c r="H2061" s="4"/>
      <c r="I2061" s="4"/>
      <c r="J2061" s="1071">
        <v>6750</v>
      </c>
      <c r="K2061" s="4">
        <f t="shared" si="109"/>
        <v>6750</v>
      </c>
    </row>
    <row r="2062" spans="1:11">
      <c r="A2062" s="7">
        <v>38</v>
      </c>
      <c r="B2062" s="20" t="s">
        <v>2584</v>
      </c>
      <c r="C2062" s="1068" t="s">
        <v>2586</v>
      </c>
      <c r="D2062" s="1069" t="s">
        <v>2517</v>
      </c>
      <c r="E2062" s="1070">
        <v>1</v>
      </c>
      <c r="F2062" s="4"/>
      <c r="G2062" s="4"/>
      <c r="H2062" s="4"/>
      <c r="I2062" s="4"/>
      <c r="J2062" s="1071">
        <v>6750</v>
      </c>
      <c r="K2062" s="4">
        <f t="shared" si="109"/>
        <v>6750</v>
      </c>
    </row>
    <row r="2063" spans="1:11">
      <c r="A2063" s="7">
        <v>39</v>
      </c>
      <c r="B2063" s="20" t="s">
        <v>2255</v>
      </c>
      <c r="C2063" s="1068" t="s">
        <v>2587</v>
      </c>
      <c r="D2063" s="1069" t="s">
        <v>2517</v>
      </c>
      <c r="E2063" s="1070">
        <v>1</v>
      </c>
      <c r="F2063" s="4"/>
      <c r="G2063" s="4"/>
      <c r="H2063" s="4"/>
      <c r="I2063" s="4"/>
      <c r="J2063" s="1071">
        <v>10125</v>
      </c>
      <c r="K2063" s="4">
        <f t="shared" si="109"/>
        <v>10125</v>
      </c>
    </row>
    <row r="2064" spans="1:11" ht="24">
      <c r="A2064" s="7">
        <v>40</v>
      </c>
      <c r="B2064" s="20" t="s">
        <v>2588</v>
      </c>
      <c r="C2064" s="1068" t="s">
        <v>2589</v>
      </c>
      <c r="D2064" s="1069" t="s">
        <v>2517</v>
      </c>
      <c r="E2064" s="1070">
        <v>1</v>
      </c>
      <c r="F2064" s="4"/>
      <c r="G2064" s="4"/>
      <c r="H2064" s="4"/>
      <c r="I2064" s="4"/>
      <c r="J2064" s="1071">
        <v>13500</v>
      </c>
      <c r="K2064" s="4">
        <f t="shared" si="109"/>
        <v>13500</v>
      </c>
    </row>
    <row r="2065" spans="1:11">
      <c r="A2065" s="7">
        <v>41</v>
      </c>
      <c r="B2065" s="20" t="s">
        <v>2263</v>
      </c>
      <c r="C2065" s="1068" t="s">
        <v>2590</v>
      </c>
      <c r="D2065" s="1069" t="s">
        <v>2517</v>
      </c>
      <c r="E2065" s="1070">
        <v>1</v>
      </c>
      <c r="F2065" s="4"/>
      <c r="G2065" s="4"/>
      <c r="H2065" s="4"/>
      <c r="I2065" s="4"/>
      <c r="J2065" s="1071">
        <v>11812</v>
      </c>
      <c r="K2065" s="4">
        <f t="shared" si="109"/>
        <v>11812</v>
      </c>
    </row>
    <row r="2066" spans="1:11">
      <c r="A2066" s="7">
        <v>42</v>
      </c>
      <c r="B2066" s="20" t="s">
        <v>2591</v>
      </c>
      <c r="C2066" s="1068" t="s">
        <v>2592</v>
      </c>
      <c r="D2066" s="1069" t="s">
        <v>2517</v>
      </c>
      <c r="E2066" s="1070">
        <v>1</v>
      </c>
      <c r="F2066" s="4"/>
      <c r="G2066" s="4"/>
      <c r="H2066" s="4"/>
      <c r="I2066" s="4"/>
      <c r="J2066" s="1071">
        <v>9900</v>
      </c>
      <c r="K2066" s="4">
        <f t="shared" si="109"/>
        <v>9900</v>
      </c>
    </row>
    <row r="2067" spans="1:11">
      <c r="A2067" s="7">
        <v>43</v>
      </c>
      <c r="B2067" s="20" t="s">
        <v>2593</v>
      </c>
      <c r="C2067" s="1068" t="s">
        <v>2594</v>
      </c>
      <c r="D2067" s="1069" t="s">
        <v>2517</v>
      </c>
      <c r="E2067" s="1070">
        <v>1</v>
      </c>
      <c r="F2067" s="4"/>
      <c r="G2067" s="4"/>
      <c r="H2067" s="4"/>
      <c r="I2067" s="4"/>
      <c r="J2067" s="1071">
        <v>9000</v>
      </c>
      <c r="K2067" s="4">
        <f t="shared" si="109"/>
        <v>9000</v>
      </c>
    </row>
    <row r="2068" spans="1:11">
      <c r="A2068" s="7">
        <v>44</v>
      </c>
      <c r="B2068" s="20" t="s">
        <v>2595</v>
      </c>
      <c r="C2068" s="1068" t="s">
        <v>2596</v>
      </c>
      <c r="D2068" s="1069" t="s">
        <v>2517</v>
      </c>
      <c r="E2068" s="1070">
        <v>1</v>
      </c>
      <c r="F2068" s="4"/>
      <c r="G2068" s="4"/>
      <c r="H2068" s="4"/>
      <c r="I2068" s="4"/>
      <c r="J2068" s="1071">
        <v>11137</v>
      </c>
      <c r="K2068" s="4">
        <f t="shared" si="109"/>
        <v>11137</v>
      </c>
    </row>
    <row r="2069" spans="1:11">
      <c r="A2069" s="7">
        <v>45</v>
      </c>
      <c r="B2069" s="20" t="s">
        <v>2597</v>
      </c>
      <c r="C2069" s="1072" t="s">
        <v>2598</v>
      </c>
      <c r="D2069" s="1069" t="s">
        <v>2517</v>
      </c>
      <c r="E2069" s="1070">
        <v>1</v>
      </c>
      <c r="F2069" s="4"/>
      <c r="G2069" s="4"/>
      <c r="H2069" s="4"/>
      <c r="I2069" s="4"/>
      <c r="J2069" s="1073">
        <v>15322.5</v>
      </c>
      <c r="K2069" s="4">
        <f t="shared" si="109"/>
        <v>15322.5</v>
      </c>
    </row>
    <row r="2070" spans="1:11">
      <c r="A2070" s="7">
        <v>46</v>
      </c>
      <c r="B2070" s="20" t="s">
        <v>2599</v>
      </c>
      <c r="C2070" s="1068" t="s">
        <v>2600</v>
      </c>
      <c r="D2070" s="1069" t="s">
        <v>2517</v>
      </c>
      <c r="E2070" s="1070">
        <v>1</v>
      </c>
      <c r="F2070" s="4"/>
      <c r="G2070" s="4"/>
      <c r="H2070" s="4"/>
      <c r="I2070" s="4"/>
      <c r="J2070" s="1073">
        <v>3972.5</v>
      </c>
      <c r="K2070" s="4">
        <f t="shared" si="109"/>
        <v>3972.5</v>
      </c>
    </row>
    <row r="2071" spans="1:11">
      <c r="A2071" s="7">
        <v>47</v>
      </c>
      <c r="B2071" s="20" t="s">
        <v>495</v>
      </c>
      <c r="C2071" s="1068" t="s">
        <v>2601</v>
      </c>
      <c r="D2071" s="1069" t="s">
        <v>2517</v>
      </c>
      <c r="E2071" s="1070">
        <v>1</v>
      </c>
      <c r="F2071" s="4"/>
      <c r="G2071" s="4"/>
      <c r="H2071" s="4"/>
      <c r="I2071" s="4"/>
      <c r="J2071" s="1073">
        <v>12768.75</v>
      </c>
      <c r="K2071" s="4">
        <f t="shared" si="109"/>
        <v>12768.75</v>
      </c>
    </row>
    <row r="2072" spans="1:11">
      <c r="A2072" s="7">
        <v>48</v>
      </c>
      <c r="B2072" s="20" t="s">
        <v>2602</v>
      </c>
      <c r="C2072" s="1068" t="s">
        <v>2603</v>
      </c>
      <c r="D2072" s="1069" t="s">
        <v>2517</v>
      </c>
      <c r="E2072" s="1070">
        <v>2</v>
      </c>
      <c r="F2072" s="4"/>
      <c r="G2072" s="4"/>
      <c r="H2072" s="4"/>
      <c r="I2072" s="4"/>
      <c r="J2072" s="1073">
        <v>12768.75</v>
      </c>
      <c r="K2072" s="4">
        <f t="shared" si="109"/>
        <v>25537.5</v>
      </c>
    </row>
    <row r="2073" spans="1:11">
      <c r="A2073" s="7">
        <v>49</v>
      </c>
      <c r="B2073" s="20" t="s">
        <v>2525</v>
      </c>
      <c r="C2073" s="1068" t="s">
        <v>2604</v>
      </c>
      <c r="D2073" s="1069" t="s">
        <v>2517</v>
      </c>
      <c r="E2073" s="1070">
        <v>1</v>
      </c>
      <c r="F2073" s="4"/>
      <c r="G2073" s="4"/>
      <c r="H2073" s="4"/>
      <c r="I2073" s="4"/>
      <c r="J2073" s="1074">
        <v>9874.5</v>
      </c>
      <c r="K2073" s="4">
        <f t="shared" si="109"/>
        <v>9874.5</v>
      </c>
    </row>
    <row r="2074" spans="1:11">
      <c r="A2074" s="7">
        <v>50</v>
      </c>
      <c r="B2074" s="20" t="s">
        <v>2605</v>
      </c>
      <c r="C2074" s="1068" t="s">
        <v>2606</v>
      </c>
      <c r="D2074" s="1069" t="s">
        <v>2517</v>
      </c>
      <c r="E2074" s="1070">
        <v>1</v>
      </c>
      <c r="F2074" s="4"/>
      <c r="G2074" s="4"/>
      <c r="H2074" s="4"/>
      <c r="I2074" s="4"/>
      <c r="J2074" s="1074">
        <v>5902</v>
      </c>
      <c r="K2074" s="4">
        <f t="shared" si="109"/>
        <v>5902</v>
      </c>
    </row>
    <row r="2075" spans="1:11">
      <c r="A2075" s="7">
        <v>51</v>
      </c>
      <c r="B2075" s="20" t="s">
        <v>2607</v>
      </c>
      <c r="C2075" s="1068" t="s">
        <v>2608</v>
      </c>
      <c r="D2075" s="1069" t="s">
        <v>2517</v>
      </c>
      <c r="E2075" s="1070">
        <v>4</v>
      </c>
      <c r="F2075" s="4"/>
      <c r="G2075" s="4"/>
      <c r="H2075" s="4"/>
      <c r="I2075" s="4"/>
      <c r="J2075" s="1074">
        <v>2724</v>
      </c>
      <c r="K2075" s="4">
        <f t="shared" si="109"/>
        <v>10896</v>
      </c>
    </row>
    <row r="2076" spans="1:11">
      <c r="A2076" s="7">
        <v>52</v>
      </c>
      <c r="B2076" s="20" t="s">
        <v>2609</v>
      </c>
      <c r="C2076" s="1068" t="s">
        <v>2285</v>
      </c>
      <c r="D2076" s="1069" t="s">
        <v>2517</v>
      </c>
      <c r="E2076" s="1070">
        <v>2</v>
      </c>
      <c r="F2076" s="4"/>
      <c r="G2076" s="4"/>
      <c r="H2076" s="4"/>
      <c r="I2076" s="4"/>
      <c r="J2076" s="1074">
        <v>1135</v>
      </c>
      <c r="K2076" s="4">
        <f t="shared" si="109"/>
        <v>2270</v>
      </c>
    </row>
    <row r="2077" spans="1:11">
      <c r="A2077" s="7">
        <v>53</v>
      </c>
      <c r="B2077" s="20"/>
      <c r="C2077" s="1075" t="s">
        <v>2610</v>
      </c>
      <c r="D2077" s="1069" t="s">
        <v>2517</v>
      </c>
      <c r="E2077" s="1070">
        <v>1</v>
      </c>
      <c r="F2077" s="4"/>
      <c r="G2077" s="4"/>
      <c r="H2077" s="4"/>
      <c r="I2077" s="4"/>
      <c r="J2077" s="1076">
        <v>27518.78</v>
      </c>
      <c r="K2077" s="4">
        <f t="shared" si="109"/>
        <v>27518.78</v>
      </c>
    </row>
    <row r="2078" spans="1:11">
      <c r="A2078" s="7">
        <v>54</v>
      </c>
      <c r="B2078" s="20"/>
      <c r="C2078" s="1077" t="s">
        <v>2611</v>
      </c>
      <c r="D2078" s="1069" t="s">
        <v>2517</v>
      </c>
      <c r="E2078" s="1070">
        <v>6</v>
      </c>
      <c r="F2078" s="4"/>
      <c r="G2078" s="4"/>
      <c r="H2078" s="4"/>
      <c r="I2078" s="4"/>
      <c r="J2078" s="1076">
        <v>6717.74</v>
      </c>
      <c r="K2078" s="4">
        <f t="shared" si="109"/>
        <v>40306.44</v>
      </c>
    </row>
    <row r="2079" spans="1:11">
      <c r="A2079" s="7">
        <v>55</v>
      </c>
      <c r="B2079" s="20"/>
      <c r="C2079" s="1078" t="s">
        <v>2612</v>
      </c>
      <c r="D2079" s="1069" t="s">
        <v>2517</v>
      </c>
      <c r="E2079" s="1070">
        <v>1</v>
      </c>
      <c r="F2079" s="4"/>
      <c r="G2079" s="4"/>
      <c r="H2079" s="4"/>
      <c r="I2079" s="4"/>
      <c r="J2079" s="1079">
        <v>29667.56</v>
      </c>
      <c r="K2079" s="4">
        <f t="shared" si="109"/>
        <v>29667.56</v>
      </c>
    </row>
    <row r="2080" spans="1:11">
      <c r="A2080" s="1080" t="s">
        <v>2613</v>
      </c>
      <c r="B2080" s="1080"/>
      <c r="C2080" s="1080"/>
      <c r="D2080" s="1080"/>
      <c r="E2080" s="1080"/>
      <c r="F2080" s="1080"/>
      <c r="G2080" s="1080"/>
      <c r="H2080" s="1080"/>
      <c r="I2080" s="1080"/>
      <c r="J2080" s="1080"/>
      <c r="K2080" s="1081"/>
    </row>
    <row r="2081" spans="1:11">
      <c r="A2081" s="1082"/>
      <c r="B2081" s="1082"/>
      <c r="C2081" s="1082"/>
      <c r="D2081" s="1082"/>
      <c r="E2081" s="1082"/>
      <c r="F2081" s="1082"/>
      <c r="G2081" s="1082"/>
      <c r="H2081" s="1082"/>
      <c r="I2081" s="1082"/>
      <c r="J2081" s="1082"/>
      <c r="K2081" s="1083"/>
    </row>
    <row r="2082" spans="1:11">
      <c r="A2082" s="1082"/>
      <c r="B2082" s="1082"/>
      <c r="C2082" s="1082"/>
      <c r="D2082" s="1082"/>
      <c r="E2082" s="1082"/>
      <c r="F2082" s="1082"/>
      <c r="G2082" s="1082"/>
      <c r="H2082" s="1082"/>
      <c r="I2082" s="1082"/>
      <c r="J2082" s="1082"/>
      <c r="K2082" s="1083"/>
    </row>
    <row r="2083" spans="1:11">
      <c r="A2083" s="533">
        <v>1</v>
      </c>
      <c r="B2083" s="1121"/>
      <c r="C2083" s="1084" t="s">
        <v>2614</v>
      </c>
      <c r="D2083" s="1085" t="s">
        <v>3</v>
      </c>
      <c r="E2083" s="4"/>
      <c r="F2083" s="4"/>
      <c r="G2083" s="4"/>
      <c r="H2083" s="4"/>
      <c r="I2083" s="737">
        <v>1</v>
      </c>
      <c r="J2083" s="737">
        <v>0</v>
      </c>
      <c r="K2083" s="4">
        <f t="shared" si="109"/>
        <v>0</v>
      </c>
    </row>
    <row r="2084" spans="1:11">
      <c r="A2084" s="1086">
        <v>2</v>
      </c>
      <c r="B2084" s="20" t="s">
        <v>2615</v>
      </c>
      <c r="C2084" s="1068" t="s">
        <v>2616</v>
      </c>
      <c r="D2084" s="1069" t="s">
        <v>2517</v>
      </c>
      <c r="E2084" s="4"/>
      <c r="F2084" s="4"/>
      <c r="G2084" s="4"/>
      <c r="H2084" s="4"/>
      <c r="I2084" s="1070">
        <v>4</v>
      </c>
      <c r="J2084" s="1071">
        <v>550</v>
      </c>
      <c r="K2084" s="4">
        <f t="shared" si="109"/>
        <v>2200</v>
      </c>
    </row>
    <row r="2085" spans="1:11">
      <c r="A2085" s="1086">
        <v>3</v>
      </c>
      <c r="B2085" s="20" t="s">
        <v>2617</v>
      </c>
      <c r="C2085" s="1068" t="s">
        <v>2618</v>
      </c>
      <c r="D2085" s="1069" t="s">
        <v>2517</v>
      </c>
      <c r="E2085" s="4"/>
      <c r="F2085" s="4"/>
      <c r="G2085" s="4"/>
      <c r="H2085" s="4"/>
      <c r="I2085" s="1070">
        <v>1</v>
      </c>
      <c r="J2085" s="1071">
        <v>900</v>
      </c>
      <c r="K2085" s="4">
        <f t="shared" si="109"/>
        <v>900</v>
      </c>
    </row>
    <row r="2086" spans="1:11">
      <c r="A2086" s="533">
        <v>4</v>
      </c>
      <c r="B2086" s="20" t="s">
        <v>2619</v>
      </c>
      <c r="C2086" s="1068" t="s">
        <v>2620</v>
      </c>
      <c r="D2086" s="1069" t="s">
        <v>2517</v>
      </c>
      <c r="E2086" s="1087"/>
      <c r="F2086" s="4"/>
      <c r="G2086" s="4"/>
      <c r="H2086" s="4"/>
      <c r="I2086" s="1087">
        <v>1</v>
      </c>
      <c r="J2086" s="1071">
        <v>11036</v>
      </c>
      <c r="K2086" s="4">
        <f>J2086*(I2086+E2086)</f>
        <v>11036</v>
      </c>
    </row>
    <row r="2087" spans="1:11">
      <c r="A2087" s="533">
        <v>5</v>
      </c>
      <c r="B2087" s="20" t="s">
        <v>899</v>
      </c>
      <c r="C2087" s="1068" t="s">
        <v>2621</v>
      </c>
      <c r="D2087" s="1069" t="s">
        <v>2517</v>
      </c>
      <c r="E2087" s="1070"/>
      <c r="F2087" s="4"/>
      <c r="G2087" s="4"/>
      <c r="H2087" s="4"/>
      <c r="I2087" s="1070">
        <v>1</v>
      </c>
      <c r="J2087" s="1071">
        <v>297</v>
      </c>
      <c r="K2087" s="4">
        <f>J2087*(I2087+E2087)</f>
        <v>297</v>
      </c>
    </row>
    <row r="2088" spans="1:11">
      <c r="A2088" s="1086">
        <v>6</v>
      </c>
      <c r="B2088" s="20" t="s">
        <v>2622</v>
      </c>
      <c r="C2088" s="1068" t="s">
        <v>2623</v>
      </c>
      <c r="D2088" s="1069" t="s">
        <v>2517</v>
      </c>
      <c r="E2088" s="1070"/>
      <c r="F2088" s="4"/>
      <c r="G2088" s="4"/>
      <c r="H2088" s="4"/>
      <c r="I2088" s="1070">
        <v>1</v>
      </c>
      <c r="J2088" s="1071">
        <v>3330</v>
      </c>
      <c r="K2088" s="4">
        <f>J2088*(I2088+E2088)</f>
        <v>3330</v>
      </c>
    </row>
    <row r="2089" spans="1:11">
      <c r="A2089" s="1086">
        <v>7</v>
      </c>
      <c r="B2089" s="20" t="s">
        <v>2624</v>
      </c>
      <c r="C2089" s="1068" t="s">
        <v>2625</v>
      </c>
      <c r="D2089" s="1069" t="s">
        <v>2517</v>
      </c>
      <c r="E2089" s="1070"/>
      <c r="F2089" s="4"/>
      <c r="G2089" s="4"/>
      <c r="H2089" s="4"/>
      <c r="I2089" s="1070">
        <v>1</v>
      </c>
      <c r="J2089" s="1071">
        <v>5157</v>
      </c>
      <c r="K2089" s="4">
        <f>J2089*(I2089+E2089)</f>
        <v>5157</v>
      </c>
    </row>
    <row r="2090" spans="1:11">
      <c r="A2090" s="533">
        <v>8</v>
      </c>
      <c r="B2090" s="20" t="s">
        <v>2626</v>
      </c>
      <c r="C2090" s="1068" t="s">
        <v>2627</v>
      </c>
      <c r="D2090" s="1069" t="s">
        <v>2517</v>
      </c>
      <c r="E2090" s="4"/>
      <c r="F2090" s="4"/>
      <c r="G2090" s="4"/>
      <c r="H2090" s="4"/>
      <c r="I2090" s="1087">
        <v>1</v>
      </c>
      <c r="J2090" s="1071">
        <v>14062.5</v>
      </c>
      <c r="K2090" s="4">
        <f t="shared" si="109"/>
        <v>14062.5</v>
      </c>
    </row>
    <row r="2091" spans="1:11">
      <c r="A2091" s="533">
        <v>9</v>
      </c>
      <c r="B2091" s="20" t="s">
        <v>2628</v>
      </c>
      <c r="C2091" s="1068" t="s">
        <v>2629</v>
      </c>
      <c r="D2091" s="1069" t="s">
        <v>2517</v>
      </c>
      <c r="E2091" s="4"/>
      <c r="F2091" s="4"/>
      <c r="G2091" s="4"/>
      <c r="H2091" s="4"/>
      <c r="I2091" s="1070">
        <v>1</v>
      </c>
      <c r="J2091" s="1071">
        <v>16312</v>
      </c>
      <c r="K2091" s="4">
        <f t="shared" ref="K2091:K2148" si="110">J2091*(I2091+E2091)</f>
        <v>16312</v>
      </c>
    </row>
    <row r="2092" spans="1:11">
      <c r="A2092" s="533">
        <v>10</v>
      </c>
      <c r="B2092" s="20" t="s">
        <v>2630</v>
      </c>
      <c r="C2092" s="1068" t="s">
        <v>2631</v>
      </c>
      <c r="D2092" s="1069" t="s">
        <v>2517</v>
      </c>
      <c r="F2092" s="4"/>
      <c r="G2092" s="4"/>
      <c r="H2092" s="4"/>
      <c r="I2092" s="1070">
        <v>1</v>
      </c>
      <c r="J2092" s="1071">
        <v>12733</v>
      </c>
      <c r="K2092" s="4">
        <f t="shared" si="110"/>
        <v>12733</v>
      </c>
    </row>
    <row r="2093" spans="1:11">
      <c r="A2093" s="533">
        <v>11</v>
      </c>
      <c r="B2093" s="20"/>
      <c r="C2093" s="1068" t="s">
        <v>2632</v>
      </c>
      <c r="D2093" s="1069" t="s">
        <v>2517</v>
      </c>
      <c r="E2093" s="1070"/>
      <c r="F2093" s="4"/>
      <c r="G2093" s="4"/>
      <c r="H2093" s="4"/>
      <c r="I2093" s="4">
        <v>1</v>
      </c>
      <c r="J2093" s="1071"/>
      <c r="K2093" s="4">
        <f t="shared" si="110"/>
        <v>0</v>
      </c>
    </row>
    <row r="2094" spans="1:11">
      <c r="A2094" s="1088" t="s">
        <v>2633</v>
      </c>
      <c r="B2094" s="1088"/>
      <c r="C2094" s="1088"/>
      <c r="D2094" s="1088"/>
      <c r="E2094" s="1088"/>
      <c r="F2094" s="1088"/>
      <c r="G2094" s="1088"/>
      <c r="H2094" s="1088"/>
      <c r="I2094" s="1088"/>
      <c r="J2094" s="1088"/>
      <c r="K2094" s="1089"/>
    </row>
    <row r="2095" spans="1:11">
      <c r="A2095" s="1090"/>
      <c r="B2095" s="1090"/>
      <c r="C2095" s="1090"/>
      <c r="D2095" s="1090"/>
      <c r="E2095" s="1090"/>
      <c r="F2095" s="1090"/>
      <c r="G2095" s="1090"/>
      <c r="H2095" s="1090"/>
      <c r="I2095" s="1090"/>
      <c r="J2095" s="1090"/>
      <c r="K2095" s="1091"/>
    </row>
    <row r="2096" spans="1:11">
      <c r="A2096" s="123" t="s">
        <v>6</v>
      </c>
      <c r="B2096" s="125" t="s">
        <v>28</v>
      </c>
      <c r="C2096" s="123" t="s">
        <v>7</v>
      </c>
      <c r="D2096" s="4" t="s">
        <v>8</v>
      </c>
      <c r="E2096" s="127" t="s">
        <v>30</v>
      </c>
      <c r="F2096" s="128"/>
      <c r="G2096" s="128"/>
      <c r="H2096" s="128"/>
      <c r="I2096" s="129"/>
      <c r="J2096" s="130" t="s">
        <v>26</v>
      </c>
      <c r="K2096" s="130" t="s">
        <v>27</v>
      </c>
    </row>
    <row r="2097" spans="1:11">
      <c r="A2097" s="124"/>
      <c r="B2097" s="126"/>
      <c r="C2097" s="124"/>
      <c r="D2097" s="6"/>
      <c r="E2097" s="14" t="s">
        <v>18</v>
      </c>
      <c r="F2097" s="14" t="s">
        <v>29</v>
      </c>
      <c r="G2097" s="14" t="s">
        <v>11</v>
      </c>
      <c r="H2097" s="14" t="s">
        <v>21</v>
      </c>
      <c r="I2097" s="14" t="s">
        <v>1</v>
      </c>
      <c r="J2097" s="131"/>
      <c r="K2097" s="131"/>
    </row>
    <row r="2098" spans="1:11">
      <c r="A2098" s="1092">
        <v>2</v>
      </c>
      <c r="B2098" s="55" t="s">
        <v>2634</v>
      </c>
      <c r="C2098" s="1093" t="s">
        <v>2635</v>
      </c>
      <c r="D2098" s="1022" t="s">
        <v>555</v>
      </c>
      <c r="E2098" s="1094" t="s">
        <v>2636</v>
      </c>
      <c r="F2098" s="4"/>
      <c r="G2098" s="4"/>
      <c r="H2098" s="1095"/>
      <c r="I2098" s="4"/>
      <c r="J2098" s="1008">
        <v>82500</v>
      </c>
      <c r="K2098" s="4">
        <f t="shared" si="110"/>
        <v>107250</v>
      </c>
    </row>
    <row r="2099" spans="1:11">
      <c r="A2099" s="1092">
        <v>3</v>
      </c>
      <c r="B2099" s="56" t="s">
        <v>2637</v>
      </c>
      <c r="C2099" s="1093" t="s">
        <v>2638</v>
      </c>
      <c r="D2099" s="1022" t="s">
        <v>462</v>
      </c>
      <c r="E2099" s="1094" t="s">
        <v>2639</v>
      </c>
      <c r="F2099" s="4"/>
      <c r="G2099" s="4"/>
      <c r="H2099" s="1095"/>
      <c r="I2099" s="4"/>
      <c r="J2099" s="1008">
        <v>10</v>
      </c>
      <c r="K2099" s="4">
        <f t="shared" si="110"/>
        <v>426.5</v>
      </c>
    </row>
    <row r="2100" spans="1:11">
      <c r="A2100" s="1092">
        <v>4</v>
      </c>
      <c r="B2100" s="55" t="s">
        <v>2640</v>
      </c>
      <c r="C2100" s="1096" t="s">
        <v>2641</v>
      </c>
      <c r="D2100" s="1022" t="s">
        <v>591</v>
      </c>
      <c r="E2100" s="1094">
        <v>0.99</v>
      </c>
      <c r="F2100" s="4"/>
      <c r="G2100" s="4"/>
      <c r="H2100" s="1095"/>
      <c r="I2100" s="4"/>
      <c r="J2100" s="1008">
        <v>85125</v>
      </c>
      <c r="K2100" s="4">
        <f t="shared" si="110"/>
        <v>84273.75</v>
      </c>
    </row>
    <row r="2101" spans="1:11">
      <c r="A2101" s="1092">
        <v>5</v>
      </c>
      <c r="B2101" s="55" t="s">
        <v>2642</v>
      </c>
      <c r="C2101" s="1096" t="s">
        <v>2643</v>
      </c>
      <c r="D2101" s="1022" t="s">
        <v>2644</v>
      </c>
      <c r="E2101" s="1094">
        <v>0.71</v>
      </c>
      <c r="F2101" s="4"/>
      <c r="G2101" s="4"/>
      <c r="H2101" s="1095"/>
      <c r="I2101" s="4"/>
      <c r="J2101" s="1008">
        <v>29841</v>
      </c>
      <c r="K2101" s="4">
        <f t="shared" si="110"/>
        <v>21187.11</v>
      </c>
    </row>
    <row r="2102" spans="1:11">
      <c r="A2102" s="1092">
        <v>6</v>
      </c>
      <c r="B2102" s="56" t="s">
        <v>2645</v>
      </c>
      <c r="C2102" s="1096" t="s">
        <v>2646</v>
      </c>
      <c r="D2102" s="1022" t="s">
        <v>2644</v>
      </c>
      <c r="E2102" s="1094">
        <v>0.66600000000000004</v>
      </c>
      <c r="F2102" s="4"/>
      <c r="G2102" s="4"/>
      <c r="H2102" s="1095"/>
      <c r="I2102" s="4"/>
      <c r="J2102" s="1008">
        <v>27000</v>
      </c>
      <c r="K2102" s="4">
        <f t="shared" si="110"/>
        <v>17982</v>
      </c>
    </row>
    <row r="2103" spans="1:11">
      <c r="A2103" s="1092">
        <v>8</v>
      </c>
      <c r="B2103" s="56" t="s">
        <v>2647</v>
      </c>
      <c r="C2103" s="1096" t="s">
        <v>2648</v>
      </c>
      <c r="D2103" s="1022" t="s">
        <v>2644</v>
      </c>
      <c r="E2103" s="1094" t="s">
        <v>2649</v>
      </c>
      <c r="F2103" s="4"/>
      <c r="G2103" s="4"/>
      <c r="H2103" s="1095"/>
      <c r="I2103" s="4"/>
      <c r="J2103" s="1008">
        <v>116905</v>
      </c>
      <c r="K2103" s="4">
        <f t="shared" si="110"/>
        <v>1146978.3359999999</v>
      </c>
    </row>
    <row r="2104" spans="1:11">
      <c r="A2104" s="1092">
        <v>9</v>
      </c>
      <c r="B2104" s="55" t="s">
        <v>2650</v>
      </c>
      <c r="C2104" s="1096" t="s">
        <v>2651</v>
      </c>
      <c r="D2104" s="1022" t="s">
        <v>5</v>
      </c>
      <c r="E2104" s="1094" t="s">
        <v>2652</v>
      </c>
      <c r="F2104" s="4"/>
      <c r="G2104" s="4"/>
      <c r="H2104" s="1095"/>
      <c r="I2104" s="4"/>
      <c r="J2104" s="1097">
        <v>116.905</v>
      </c>
      <c r="K2104" s="4">
        <f t="shared" si="110"/>
        <v>2859.0286799999999</v>
      </c>
    </row>
    <row r="2105" spans="1:11">
      <c r="A2105" s="1092">
        <v>12</v>
      </c>
      <c r="B2105" s="56" t="s">
        <v>2382</v>
      </c>
      <c r="C2105" s="1096" t="s">
        <v>2653</v>
      </c>
      <c r="D2105" s="1022" t="s">
        <v>5</v>
      </c>
      <c r="E2105" s="1094" t="s">
        <v>2654</v>
      </c>
      <c r="F2105" s="4"/>
      <c r="G2105" s="4"/>
      <c r="H2105" s="1095"/>
      <c r="I2105" s="4"/>
      <c r="J2105" s="1097">
        <v>116.905</v>
      </c>
      <c r="K2105" s="4">
        <f t="shared" si="110"/>
        <v>3908.7186750000005</v>
      </c>
    </row>
    <row r="2106" spans="1:11">
      <c r="A2106" s="1092">
        <v>13</v>
      </c>
      <c r="B2106" s="55" t="s">
        <v>2655</v>
      </c>
      <c r="C2106" s="1096" t="s">
        <v>2656</v>
      </c>
      <c r="D2106" s="1022" t="s">
        <v>5</v>
      </c>
      <c r="E2106" s="1030">
        <v>4.7759999999999998</v>
      </c>
      <c r="F2106" s="4"/>
      <c r="G2106" s="4"/>
      <c r="H2106" s="1095"/>
      <c r="I2106" s="4"/>
      <c r="J2106" s="1097">
        <v>116.905</v>
      </c>
      <c r="K2106" s="4">
        <f t="shared" si="110"/>
        <v>558.33827999999994</v>
      </c>
    </row>
    <row r="2107" spans="1:11">
      <c r="A2107" s="1092">
        <v>15</v>
      </c>
      <c r="B2107" s="55" t="s">
        <v>2657</v>
      </c>
      <c r="C2107" s="1096" t="s">
        <v>2658</v>
      </c>
      <c r="D2107" s="1022" t="s">
        <v>5</v>
      </c>
      <c r="E2107" s="1094" t="s">
        <v>2659</v>
      </c>
      <c r="F2107" s="4"/>
      <c r="G2107" s="4"/>
      <c r="H2107" s="1095"/>
      <c r="I2107" s="4"/>
      <c r="J2107" s="1097">
        <v>116.905</v>
      </c>
      <c r="K2107" s="4">
        <f t="shared" si="110"/>
        <v>9978.0755600000011</v>
      </c>
    </row>
    <row r="2108" spans="1:11">
      <c r="A2108" s="1092">
        <v>16</v>
      </c>
      <c r="B2108" s="55" t="s">
        <v>2660</v>
      </c>
      <c r="C2108" s="1096" t="s">
        <v>2661</v>
      </c>
      <c r="D2108" s="1022" t="s">
        <v>5</v>
      </c>
      <c r="E2108" s="1094" t="s">
        <v>2662</v>
      </c>
      <c r="F2108" s="4"/>
      <c r="G2108" s="4"/>
      <c r="H2108" s="1095"/>
      <c r="I2108" s="4"/>
      <c r="J2108" s="1097">
        <v>116.905</v>
      </c>
      <c r="K2108" s="4">
        <f t="shared" si="110"/>
        <v>318.44922000000003</v>
      </c>
    </row>
    <row r="2109" spans="1:11">
      <c r="A2109" s="1092">
        <v>17</v>
      </c>
      <c r="B2109" s="56" t="s">
        <v>2663</v>
      </c>
      <c r="C2109" s="1096" t="s">
        <v>2664</v>
      </c>
      <c r="D2109" s="1022" t="s">
        <v>5</v>
      </c>
      <c r="E2109" s="1094" t="s">
        <v>2665</v>
      </c>
      <c r="F2109" s="4"/>
      <c r="G2109" s="4"/>
      <c r="H2109" s="1095"/>
      <c r="I2109" s="4"/>
      <c r="J2109" s="1097">
        <v>116.905</v>
      </c>
      <c r="K2109" s="4">
        <f t="shared" si="110"/>
        <v>441.90089999999998</v>
      </c>
    </row>
    <row r="2110" spans="1:11">
      <c r="A2110" s="1092">
        <v>18</v>
      </c>
      <c r="B2110" s="56" t="s">
        <v>2660</v>
      </c>
      <c r="C2110" s="1096" t="s">
        <v>2666</v>
      </c>
      <c r="D2110" s="1022" t="s">
        <v>5</v>
      </c>
      <c r="E2110" s="1094" t="s">
        <v>2667</v>
      </c>
      <c r="F2110" s="4"/>
      <c r="G2110" s="4"/>
      <c r="H2110" s="1095"/>
      <c r="I2110" s="4"/>
      <c r="J2110" s="1097">
        <v>116.905</v>
      </c>
      <c r="K2110" s="4">
        <f t="shared" si="110"/>
        <v>227.73094</v>
      </c>
    </row>
    <row r="2111" spans="1:11">
      <c r="A2111" s="1092">
        <v>19</v>
      </c>
      <c r="B2111" s="56" t="s">
        <v>2668</v>
      </c>
      <c r="C2111" s="1093" t="s">
        <v>2669</v>
      </c>
      <c r="D2111" s="1022" t="s">
        <v>5</v>
      </c>
      <c r="E2111" s="1094" t="s">
        <v>2670</v>
      </c>
      <c r="F2111" s="4"/>
      <c r="G2111" s="4"/>
      <c r="H2111" s="1095"/>
      <c r="I2111" s="4"/>
      <c r="J2111" s="1097">
        <v>116.905</v>
      </c>
      <c r="K2111" s="4">
        <f t="shared" si="110"/>
        <v>807.22902500000009</v>
      </c>
    </row>
    <row r="2112" spans="1:11">
      <c r="A2112" s="1092">
        <v>20</v>
      </c>
      <c r="B2112" s="55" t="s">
        <v>2671</v>
      </c>
      <c r="C2112" s="1093" t="s">
        <v>2672</v>
      </c>
      <c r="D2112" s="1098" t="s">
        <v>2644</v>
      </c>
      <c r="E2112" s="1094" t="s">
        <v>2673</v>
      </c>
      <c r="F2112" s="4"/>
      <c r="G2112" s="4"/>
      <c r="H2112" s="1095"/>
      <c r="I2112" s="4"/>
      <c r="J2112" s="1099">
        <v>73775</v>
      </c>
      <c r="K2112" s="4">
        <f t="shared" si="110"/>
        <v>28477.15</v>
      </c>
    </row>
    <row r="2113" spans="1:11">
      <c r="A2113" s="1092">
        <v>21</v>
      </c>
      <c r="B2113" s="55" t="s">
        <v>2674</v>
      </c>
      <c r="C2113" s="1093" t="s">
        <v>2675</v>
      </c>
      <c r="D2113" s="1022" t="s">
        <v>2644</v>
      </c>
      <c r="E2113" s="1094">
        <v>3.5870000000000002</v>
      </c>
      <c r="F2113" s="4"/>
      <c r="G2113" s="4"/>
      <c r="H2113" s="1095"/>
      <c r="I2113" s="4"/>
      <c r="J2113" s="1008">
        <v>76250</v>
      </c>
      <c r="K2113" s="4">
        <f t="shared" si="110"/>
        <v>273508.75</v>
      </c>
    </row>
    <row r="2114" spans="1:11">
      <c r="A2114" s="1092">
        <v>22</v>
      </c>
      <c r="B2114" s="56" t="s">
        <v>2676</v>
      </c>
      <c r="C2114" s="1093" t="s">
        <v>2677</v>
      </c>
      <c r="D2114" s="1022" t="s">
        <v>2644</v>
      </c>
      <c r="E2114" s="1094">
        <v>4.0650000000000004</v>
      </c>
      <c r="F2114" s="4"/>
      <c r="G2114" s="4"/>
      <c r="H2114" s="1095"/>
      <c r="I2114" s="4"/>
      <c r="J2114" s="1008">
        <v>76250</v>
      </c>
      <c r="K2114" s="4">
        <f t="shared" si="110"/>
        <v>309956.25000000006</v>
      </c>
    </row>
    <row r="2115" spans="1:11">
      <c r="A2115" s="1092">
        <v>23</v>
      </c>
      <c r="B2115" s="56" t="s">
        <v>628</v>
      </c>
      <c r="C2115" s="1096" t="s">
        <v>2678</v>
      </c>
      <c r="D2115" s="1022" t="s">
        <v>2</v>
      </c>
      <c r="E2115" s="1094" t="s">
        <v>2679</v>
      </c>
      <c r="F2115" s="4"/>
      <c r="G2115" s="4"/>
      <c r="H2115" s="1095"/>
      <c r="I2115" s="4"/>
      <c r="J2115" s="1008">
        <v>80</v>
      </c>
      <c r="K2115" s="4">
        <f t="shared" si="110"/>
        <v>7600</v>
      </c>
    </row>
    <row r="2116" spans="1:11">
      <c r="A2116" s="1092">
        <v>24</v>
      </c>
      <c r="B2116" s="55" t="s">
        <v>1038</v>
      </c>
      <c r="C2116" s="1096" t="s">
        <v>2680</v>
      </c>
      <c r="D2116" s="1022" t="s">
        <v>2</v>
      </c>
      <c r="E2116" s="1094" t="s">
        <v>2681</v>
      </c>
      <c r="F2116" s="4"/>
      <c r="G2116" s="4"/>
      <c r="H2116" s="1095"/>
      <c r="I2116" s="4"/>
      <c r="J2116" s="1008">
        <v>40</v>
      </c>
      <c r="K2116" s="4">
        <f t="shared" si="110"/>
        <v>2320</v>
      </c>
    </row>
    <row r="2117" spans="1:11">
      <c r="A2117" s="1092">
        <v>25</v>
      </c>
      <c r="B2117" s="56" t="s">
        <v>2008</v>
      </c>
      <c r="C2117" s="1096" t="s">
        <v>2682</v>
      </c>
      <c r="D2117" s="1022" t="s">
        <v>2</v>
      </c>
      <c r="E2117" s="1094" t="s">
        <v>2683</v>
      </c>
      <c r="F2117" s="4"/>
      <c r="G2117" s="4"/>
      <c r="H2117" s="1095"/>
      <c r="I2117" s="4"/>
      <c r="J2117" s="1008">
        <v>30</v>
      </c>
      <c r="K2117" s="4">
        <f t="shared" si="110"/>
        <v>690</v>
      </c>
    </row>
    <row r="2118" spans="1:11" ht="26.25">
      <c r="A2118" s="1092">
        <v>26</v>
      </c>
      <c r="B2118" s="56" t="s">
        <v>2684</v>
      </c>
      <c r="C2118" s="1093" t="s">
        <v>2685</v>
      </c>
      <c r="D2118" s="1022" t="s">
        <v>3</v>
      </c>
      <c r="E2118" s="1094" t="s">
        <v>2686</v>
      </c>
      <c r="F2118" s="4"/>
      <c r="G2118" s="4"/>
      <c r="H2118" s="1095"/>
      <c r="I2118" s="4"/>
      <c r="J2118" s="1008">
        <v>9363.75</v>
      </c>
      <c r="K2118" s="4">
        <f t="shared" si="110"/>
        <v>18727.5</v>
      </c>
    </row>
    <row r="2119" spans="1:11">
      <c r="A2119" s="1092">
        <v>27</v>
      </c>
      <c r="B2119" s="56" t="s">
        <v>392</v>
      </c>
      <c r="C2119" s="1093" t="s">
        <v>2687</v>
      </c>
      <c r="D2119" s="1022" t="s">
        <v>3</v>
      </c>
      <c r="E2119" s="1094" t="s">
        <v>2688</v>
      </c>
      <c r="F2119" s="4"/>
      <c r="G2119" s="4"/>
      <c r="H2119" s="1095"/>
      <c r="I2119" s="4"/>
      <c r="J2119" s="1008">
        <v>1475.5</v>
      </c>
      <c r="K2119" s="4">
        <f t="shared" si="110"/>
        <v>22132.5</v>
      </c>
    </row>
    <row r="2120" spans="1:11">
      <c r="A2120" s="1092">
        <v>28</v>
      </c>
      <c r="B2120" s="55" t="s">
        <v>388</v>
      </c>
      <c r="C2120" s="1093" t="s">
        <v>2689</v>
      </c>
      <c r="D2120" s="1022" t="s">
        <v>3</v>
      </c>
      <c r="E2120" s="1094">
        <v>15</v>
      </c>
      <c r="F2120" s="4"/>
      <c r="G2120" s="4"/>
      <c r="H2120" s="1095"/>
      <c r="I2120" s="4"/>
      <c r="J2120" s="1008">
        <v>2258.65</v>
      </c>
      <c r="K2120" s="4">
        <f t="shared" si="110"/>
        <v>33879.75</v>
      </c>
    </row>
    <row r="2121" spans="1:11">
      <c r="A2121" s="1092">
        <v>29</v>
      </c>
      <c r="B2121" s="55" t="s">
        <v>2690</v>
      </c>
      <c r="C2121" s="1093" t="s">
        <v>2691</v>
      </c>
      <c r="D2121" s="1022" t="s">
        <v>13</v>
      </c>
      <c r="E2121" s="1094" t="s">
        <v>2692</v>
      </c>
      <c r="F2121" s="4"/>
      <c r="G2121" s="4"/>
      <c r="H2121" s="1095"/>
      <c r="I2121" s="4"/>
      <c r="J2121" s="1008">
        <v>464</v>
      </c>
      <c r="K2121" s="4">
        <f t="shared" si="110"/>
        <v>51040</v>
      </c>
    </row>
    <row r="2122" spans="1:11">
      <c r="A2122" s="1092">
        <v>30</v>
      </c>
      <c r="B2122" s="55" t="s">
        <v>2693</v>
      </c>
      <c r="C2122" s="1093" t="s">
        <v>2694</v>
      </c>
      <c r="D2122" s="1022" t="s">
        <v>13</v>
      </c>
      <c r="E2122" s="1094" t="s">
        <v>2695</v>
      </c>
      <c r="F2122" s="4"/>
      <c r="G2122" s="4"/>
      <c r="H2122" s="1095"/>
      <c r="I2122" s="4"/>
      <c r="J2122" s="1008">
        <v>300</v>
      </c>
      <c r="K2122" s="4">
        <f t="shared" si="110"/>
        <v>166500</v>
      </c>
    </row>
    <row r="2123" spans="1:11">
      <c r="A2123" s="1092">
        <v>32</v>
      </c>
      <c r="B2123" s="707"/>
      <c r="C2123" s="1096" t="s">
        <v>2696</v>
      </c>
      <c r="D2123" s="1022" t="s">
        <v>4</v>
      </c>
      <c r="E2123" s="1094">
        <v>280</v>
      </c>
      <c r="F2123" s="4"/>
      <c r="G2123" s="4"/>
      <c r="H2123" s="1095"/>
      <c r="I2123" s="4"/>
      <c r="J2123" s="1008">
        <v>355.95</v>
      </c>
      <c r="K2123" s="4">
        <f t="shared" si="110"/>
        <v>99666</v>
      </c>
    </row>
    <row r="2124" spans="1:11">
      <c r="A2124" s="1092">
        <v>33</v>
      </c>
      <c r="B2124" s="55"/>
      <c r="C2124" s="1096" t="s">
        <v>2697</v>
      </c>
      <c r="D2124" s="1022" t="s">
        <v>2644</v>
      </c>
      <c r="E2124" s="1094" t="s">
        <v>2698</v>
      </c>
      <c r="F2124" s="4"/>
      <c r="G2124" s="4"/>
      <c r="H2124" s="1095"/>
      <c r="I2124" s="4"/>
      <c r="J2124" s="1008">
        <v>29841</v>
      </c>
      <c r="K2124" s="4">
        <f t="shared" si="110"/>
        <v>96967.434269999998</v>
      </c>
    </row>
    <row r="2125" spans="1:11">
      <c r="A2125" s="1092">
        <v>34</v>
      </c>
      <c r="B2125" s="55"/>
      <c r="C2125" s="1096" t="s">
        <v>2699</v>
      </c>
      <c r="D2125" s="1022" t="s">
        <v>2644</v>
      </c>
      <c r="E2125" s="1094" t="s">
        <v>2700</v>
      </c>
      <c r="F2125" s="4"/>
      <c r="G2125" s="4"/>
      <c r="H2125" s="1095"/>
      <c r="I2125" s="4"/>
      <c r="J2125" s="1008">
        <v>79450</v>
      </c>
      <c r="K2125" s="4">
        <f t="shared" si="110"/>
        <v>28395.43</v>
      </c>
    </row>
    <row r="2126" spans="1:11">
      <c r="A2126" s="1092">
        <v>35</v>
      </c>
      <c r="B2126" s="55"/>
      <c r="C2126" s="1093" t="s">
        <v>2701</v>
      </c>
      <c r="D2126" s="1022" t="s">
        <v>2644</v>
      </c>
      <c r="E2126" s="1100" t="s">
        <v>2702</v>
      </c>
      <c r="F2126" s="4"/>
      <c r="G2126" s="4"/>
      <c r="H2126" s="1095"/>
      <c r="I2126" s="4"/>
      <c r="J2126" s="1008">
        <v>29841</v>
      </c>
      <c r="K2126" s="4">
        <f t="shared" si="110"/>
        <v>134657.51250000001</v>
      </c>
    </row>
    <row r="2127" spans="1:11" ht="26.25">
      <c r="A2127" s="1092">
        <v>36</v>
      </c>
      <c r="B2127" s="1122" t="s">
        <v>2674</v>
      </c>
      <c r="C2127" s="1101" t="s">
        <v>2703</v>
      </c>
      <c r="D2127" s="737" t="s">
        <v>324</v>
      </c>
      <c r="E2127" s="699">
        <v>1.3662000000000001</v>
      </c>
      <c r="F2127" s="5"/>
      <c r="G2127" s="5"/>
      <c r="H2127" s="1095"/>
      <c r="I2127" s="5"/>
      <c r="J2127" s="1102">
        <v>156751.20000000001</v>
      </c>
      <c r="K2127" s="4">
        <f t="shared" si="110"/>
        <v>214153.48944000003</v>
      </c>
    </row>
    <row r="2128" spans="1:11" ht="26.25">
      <c r="A2128" s="1092">
        <v>37</v>
      </c>
      <c r="B2128" s="1122" t="s">
        <v>2676</v>
      </c>
      <c r="C2128" s="1101" t="s">
        <v>2704</v>
      </c>
      <c r="D2128" s="737" t="s">
        <v>324</v>
      </c>
      <c r="E2128" s="699">
        <v>2.3904000000000001</v>
      </c>
      <c r="F2128" s="5"/>
      <c r="G2128" s="5"/>
      <c r="H2128" s="1095"/>
      <c r="I2128" s="5"/>
      <c r="J2128" s="1102">
        <v>156751.20000000001</v>
      </c>
      <c r="K2128" s="4">
        <f t="shared" si="110"/>
        <v>374698.06848000002</v>
      </c>
    </row>
    <row r="2129" spans="1:11" ht="26.25">
      <c r="A2129" s="1092">
        <v>38</v>
      </c>
      <c r="B2129" s="1122" t="s">
        <v>2705</v>
      </c>
      <c r="C2129" s="1101" t="s">
        <v>2706</v>
      </c>
      <c r="D2129" s="737" t="s">
        <v>324</v>
      </c>
      <c r="E2129" s="699">
        <v>2.1537000000000002</v>
      </c>
      <c r="F2129" s="5"/>
      <c r="G2129" s="5"/>
      <c r="H2129" s="1095"/>
      <c r="I2129" s="5"/>
      <c r="J2129" s="1102">
        <v>156751.20000000001</v>
      </c>
      <c r="K2129" s="4">
        <f t="shared" si="110"/>
        <v>337595.05944000004</v>
      </c>
    </row>
    <row r="2130" spans="1:11">
      <c r="A2130" s="1092">
        <v>39</v>
      </c>
      <c r="B2130" s="1092" t="s">
        <v>2634</v>
      </c>
      <c r="C2130" s="1103" t="s">
        <v>2707</v>
      </c>
      <c r="D2130" s="1022" t="s">
        <v>2708</v>
      </c>
      <c r="E2130" s="699">
        <v>7.4370000000000003</v>
      </c>
      <c r="F2130" s="5"/>
      <c r="G2130" s="5"/>
      <c r="H2130" s="1095"/>
      <c r="I2130" s="5"/>
      <c r="J2130" s="1102">
        <v>294287.28000000003</v>
      </c>
      <c r="K2130" s="4">
        <f t="shared" si="110"/>
        <v>2188614.5013600001</v>
      </c>
    </row>
    <row r="2131" spans="1:11">
      <c r="A2131" s="1092">
        <v>40</v>
      </c>
      <c r="B2131" s="1122"/>
      <c r="C2131" s="1104" t="s">
        <v>2709</v>
      </c>
      <c r="D2131" s="1022" t="s">
        <v>2708</v>
      </c>
      <c r="E2131" s="699">
        <v>0.80100000000000005</v>
      </c>
      <c r="F2131" s="5"/>
      <c r="G2131" s="5"/>
      <c r="H2131" s="1095"/>
      <c r="I2131" s="5"/>
      <c r="J2131" s="1102">
        <v>57806.43</v>
      </c>
      <c r="K2131" s="4">
        <f t="shared" si="110"/>
        <v>46302.950430000004</v>
      </c>
    </row>
    <row r="2132" spans="1:11" ht="26.25">
      <c r="A2132" s="1092">
        <v>41</v>
      </c>
      <c r="B2132" s="1122" t="s">
        <v>2710</v>
      </c>
      <c r="C2132" s="1105" t="s">
        <v>2711</v>
      </c>
      <c r="D2132" s="1022" t="s">
        <v>2006</v>
      </c>
      <c r="E2132" s="699">
        <v>13</v>
      </c>
      <c r="F2132" s="5"/>
      <c r="G2132" s="5"/>
      <c r="H2132" s="1095"/>
      <c r="I2132" s="5"/>
      <c r="J2132" s="1102">
        <v>6352.1760000000004</v>
      </c>
      <c r="K2132" s="4">
        <f t="shared" si="110"/>
        <v>82578.288</v>
      </c>
    </row>
    <row r="2133" spans="1:11" ht="26.25">
      <c r="A2133" s="1092">
        <v>42</v>
      </c>
      <c r="B2133" s="1122"/>
      <c r="C2133" s="1101" t="s">
        <v>2712</v>
      </c>
      <c r="D2133" s="1022" t="s">
        <v>2006</v>
      </c>
      <c r="E2133" s="699">
        <v>24</v>
      </c>
      <c r="F2133" s="5"/>
      <c r="G2133" s="5"/>
      <c r="H2133" s="1095"/>
      <c r="I2133" s="5"/>
      <c r="J2133" s="1102">
        <v>2064.2919999999999</v>
      </c>
      <c r="K2133" s="4">
        <f t="shared" si="110"/>
        <v>49543.008000000002</v>
      </c>
    </row>
    <row r="2134" spans="1:11">
      <c r="A2134" s="1092">
        <v>43</v>
      </c>
      <c r="B2134" s="1122"/>
      <c r="C2134" s="1103" t="s">
        <v>2713</v>
      </c>
      <c r="D2134" s="1022" t="s">
        <v>2006</v>
      </c>
      <c r="E2134" s="699">
        <v>2</v>
      </c>
      <c r="F2134" s="5"/>
      <c r="G2134" s="5"/>
      <c r="H2134" s="1095"/>
      <c r="I2134" s="5"/>
      <c r="J2134" s="1102">
        <v>1058.6959999999999</v>
      </c>
      <c r="K2134" s="4">
        <f t="shared" si="110"/>
        <v>2117.3919999999998</v>
      </c>
    </row>
    <row r="2135" spans="1:11">
      <c r="A2135" s="1092">
        <v>44</v>
      </c>
      <c r="B2135" s="56" t="s">
        <v>628</v>
      </c>
      <c r="C2135" s="1103" t="s">
        <v>2714</v>
      </c>
      <c r="D2135" s="1022" t="s">
        <v>13</v>
      </c>
      <c r="E2135" s="699">
        <v>21</v>
      </c>
      <c r="F2135" s="5"/>
      <c r="G2135" s="5"/>
      <c r="H2135" s="1095"/>
      <c r="I2135" s="5"/>
      <c r="J2135" s="1102">
        <v>1164.5655999999999</v>
      </c>
      <c r="K2135" s="4">
        <f t="shared" si="110"/>
        <v>24455.8776</v>
      </c>
    </row>
    <row r="2136" spans="1:11">
      <c r="A2136" s="1092">
        <v>45</v>
      </c>
      <c r="B2136" s="56" t="s">
        <v>2008</v>
      </c>
      <c r="C2136" s="1103" t="s">
        <v>2715</v>
      </c>
      <c r="D2136" s="1022" t="s">
        <v>13</v>
      </c>
      <c r="E2136" s="699">
        <v>5</v>
      </c>
      <c r="F2136" s="5"/>
      <c r="G2136" s="5"/>
      <c r="H2136" s="1095"/>
      <c r="I2136" s="5"/>
      <c r="J2136" s="1102">
        <v>476.41320000000002</v>
      </c>
      <c r="K2136" s="4">
        <f t="shared" si="110"/>
        <v>2382.0660000000003</v>
      </c>
    </row>
    <row r="2137" spans="1:11">
      <c r="A2137" s="1092">
        <v>46</v>
      </c>
      <c r="B2137" s="1122" t="s">
        <v>2716</v>
      </c>
      <c r="C2137" s="1106" t="s">
        <v>321</v>
      </c>
      <c r="D2137" s="1022" t="s">
        <v>13</v>
      </c>
      <c r="E2137" s="699">
        <v>1</v>
      </c>
      <c r="F2137" s="5"/>
      <c r="G2137" s="5"/>
      <c r="H2137" s="1095"/>
      <c r="I2137" s="5"/>
      <c r="J2137" s="1102">
        <v>1164.5655999999999</v>
      </c>
      <c r="K2137" s="4">
        <f t="shared" si="110"/>
        <v>1164.5655999999999</v>
      </c>
    </row>
    <row r="2138" spans="1:11">
      <c r="A2138" s="1092">
        <v>47</v>
      </c>
      <c r="B2138" s="55" t="s">
        <v>2693</v>
      </c>
      <c r="C2138" s="1103" t="s">
        <v>2717</v>
      </c>
      <c r="D2138" s="1022" t="s">
        <v>13</v>
      </c>
      <c r="E2138" s="699">
        <v>121</v>
      </c>
      <c r="F2138" s="5"/>
      <c r="G2138" s="5"/>
      <c r="H2138" s="1095"/>
      <c r="I2138" s="5"/>
      <c r="J2138" s="1102">
        <v>289.0292</v>
      </c>
      <c r="K2138" s="4">
        <f t="shared" si="110"/>
        <v>34972.533199999998</v>
      </c>
    </row>
    <row r="2139" spans="1:11">
      <c r="A2139" s="1092">
        <v>48</v>
      </c>
      <c r="B2139" s="1092" t="s">
        <v>2718</v>
      </c>
      <c r="C2139" s="1103" t="s">
        <v>2719</v>
      </c>
      <c r="D2139" s="1022" t="s">
        <v>2708</v>
      </c>
      <c r="E2139" s="699">
        <v>1.2450000000000001</v>
      </c>
      <c r="F2139" s="5"/>
      <c r="G2139" s="5"/>
      <c r="H2139" s="1095"/>
      <c r="I2139" s="5"/>
      <c r="J2139" s="1102">
        <v>366729.27399999998</v>
      </c>
      <c r="K2139" s="4">
        <f t="shared" si="110"/>
        <v>456577.94613</v>
      </c>
    </row>
    <row r="2140" spans="1:11">
      <c r="A2140" s="1092">
        <v>49</v>
      </c>
      <c r="B2140" s="1122"/>
      <c r="C2140" s="1103" t="s">
        <v>2720</v>
      </c>
      <c r="D2140" s="1022" t="s">
        <v>2708</v>
      </c>
      <c r="E2140" s="699">
        <v>1.1990000000000001</v>
      </c>
      <c r="F2140" s="5"/>
      <c r="G2140" s="5"/>
      <c r="H2140" s="1095"/>
      <c r="I2140" s="5"/>
      <c r="J2140" s="1102">
        <v>110572.431</v>
      </c>
      <c r="K2140" s="4">
        <f t="shared" si="110"/>
        <v>132576.34476900002</v>
      </c>
    </row>
    <row r="2141" spans="1:11" ht="26.25">
      <c r="A2141" s="1092">
        <v>50</v>
      </c>
      <c r="B2141" s="1122" t="s">
        <v>2721</v>
      </c>
      <c r="C2141" s="1101" t="s">
        <v>2722</v>
      </c>
      <c r="D2141" s="1022" t="s">
        <v>2006</v>
      </c>
      <c r="E2141" s="699">
        <v>2</v>
      </c>
      <c r="F2141" s="5"/>
      <c r="G2141" s="5"/>
      <c r="H2141" s="1095"/>
      <c r="I2141" s="5"/>
      <c r="J2141" s="1102">
        <v>14484.5</v>
      </c>
      <c r="K2141" s="4">
        <f t="shared" si="110"/>
        <v>28969</v>
      </c>
    </row>
    <row r="2142" spans="1:11">
      <c r="A2142" s="1092">
        <v>51</v>
      </c>
      <c r="B2142" s="1122"/>
      <c r="C2142" s="1103" t="s">
        <v>2723</v>
      </c>
      <c r="D2142" s="1022" t="s">
        <v>13</v>
      </c>
      <c r="E2142" s="699">
        <v>6</v>
      </c>
      <c r="F2142" s="5"/>
      <c r="G2142" s="5"/>
      <c r="H2142" s="1095"/>
      <c r="I2142" s="5"/>
      <c r="J2142" s="1102">
        <v>2655</v>
      </c>
      <c r="K2142" s="4">
        <f t="shared" si="110"/>
        <v>15930</v>
      </c>
    </row>
    <row r="2143" spans="1:11">
      <c r="A2143" s="1092">
        <v>52</v>
      </c>
      <c r="B2143" s="1122" t="s">
        <v>168</v>
      </c>
      <c r="C2143" s="1103" t="s">
        <v>2724</v>
      </c>
      <c r="D2143" s="1022" t="s">
        <v>13</v>
      </c>
      <c r="E2143" s="699">
        <v>6</v>
      </c>
      <c r="F2143" s="5"/>
      <c r="G2143" s="5"/>
      <c r="H2143" s="1095"/>
      <c r="I2143" s="5"/>
      <c r="J2143" s="1102">
        <v>1071.617</v>
      </c>
      <c r="K2143" s="4">
        <f t="shared" si="110"/>
        <v>6429.7019999999993</v>
      </c>
    </row>
    <row r="2144" spans="1:11">
      <c r="A2144" s="1092">
        <v>53</v>
      </c>
      <c r="B2144" s="1122"/>
      <c r="C2144" s="1103" t="s">
        <v>2725</v>
      </c>
      <c r="D2144" s="1022" t="s">
        <v>13</v>
      </c>
      <c r="E2144" s="699">
        <v>3</v>
      </c>
      <c r="F2144" s="5"/>
      <c r="G2144" s="5"/>
      <c r="H2144" s="1095"/>
      <c r="I2144" s="5"/>
      <c r="J2144" s="1102">
        <v>2912.7946000000002</v>
      </c>
      <c r="K2144" s="4">
        <f t="shared" si="110"/>
        <v>8738.3837999999996</v>
      </c>
    </row>
    <row r="2145" spans="1:11">
      <c r="A2145" s="1092">
        <v>54</v>
      </c>
      <c r="B2145" s="1122"/>
      <c r="C2145" s="1103" t="s">
        <v>2726</v>
      </c>
      <c r="D2145" s="1022" t="s">
        <v>13</v>
      </c>
      <c r="E2145" s="699">
        <v>3</v>
      </c>
      <c r="F2145" s="5"/>
      <c r="G2145" s="5"/>
      <c r="H2145" s="1095"/>
      <c r="I2145" s="5"/>
      <c r="J2145" s="1102">
        <v>359.60500000000002</v>
      </c>
      <c r="K2145" s="4">
        <f t="shared" si="110"/>
        <v>1078.8150000000001</v>
      </c>
    </row>
    <row r="2146" spans="1:11">
      <c r="A2146" s="1092">
        <v>55</v>
      </c>
      <c r="B2146" s="1122"/>
      <c r="C2146" s="1103" t="s">
        <v>2727</v>
      </c>
      <c r="D2146" s="1022" t="s">
        <v>13</v>
      </c>
      <c r="E2146" s="699">
        <v>1</v>
      </c>
      <c r="F2146" s="5"/>
      <c r="G2146" s="5"/>
      <c r="H2146" s="1095"/>
      <c r="I2146" s="5"/>
      <c r="J2146" s="1102">
        <v>2414.2800000000002</v>
      </c>
      <c r="K2146" s="4">
        <f t="shared" si="110"/>
        <v>2414.2800000000002</v>
      </c>
    </row>
    <row r="2147" spans="1:11" ht="25.5">
      <c r="A2147" s="1092">
        <v>56</v>
      </c>
      <c r="B2147" s="1122"/>
      <c r="C2147" s="1107" t="s">
        <v>2728</v>
      </c>
      <c r="D2147" s="1022" t="s">
        <v>2006</v>
      </c>
      <c r="E2147" s="699">
        <v>1</v>
      </c>
      <c r="F2147" s="5"/>
      <c r="G2147" s="5"/>
      <c r="H2147" s="1095"/>
      <c r="I2147" s="5"/>
      <c r="J2147" s="1102">
        <v>2013.788</v>
      </c>
      <c r="K2147" s="4">
        <f t="shared" si="110"/>
        <v>2013.788</v>
      </c>
    </row>
    <row r="2148" spans="1:11">
      <c r="A2148" s="1092">
        <v>57</v>
      </c>
      <c r="B2148" s="56" t="s">
        <v>1962</v>
      </c>
      <c r="C2148" s="1101" t="s">
        <v>2729</v>
      </c>
      <c r="D2148" s="1022" t="s">
        <v>13</v>
      </c>
      <c r="E2148" s="699">
        <v>7</v>
      </c>
      <c r="F2148" s="5"/>
      <c r="G2148" s="5"/>
      <c r="H2148" s="1095"/>
      <c r="I2148" s="5"/>
      <c r="J2148" s="1102">
        <v>1124.1505999999999</v>
      </c>
      <c r="K2148" s="4">
        <f t="shared" si="110"/>
        <v>7869.0541999999996</v>
      </c>
    </row>
    <row r="2149" spans="1:11" ht="18.75">
      <c r="A2149" s="1042" t="s">
        <v>2730</v>
      </c>
      <c r="B2149" s="1043"/>
      <c r="C2149" s="1043"/>
      <c r="D2149" s="1108"/>
      <c r="E2149" s="1109"/>
      <c r="F2149" s="1110"/>
      <c r="G2149" s="1110"/>
      <c r="H2149" s="1111"/>
      <c r="I2149" s="1110"/>
      <c r="J2149" s="1112"/>
      <c r="K2149" s="1041"/>
    </row>
    <row r="2150" spans="1:11">
      <c r="A2150" s="1092">
        <v>58</v>
      </c>
      <c r="B2150" s="1092" t="s">
        <v>2634</v>
      </c>
      <c r="C2150" s="1093" t="s">
        <v>2731</v>
      </c>
      <c r="D2150" s="1022" t="s">
        <v>1024</v>
      </c>
      <c r="E2150" s="1113"/>
      <c r="F2150" s="1113"/>
      <c r="G2150" s="1113"/>
      <c r="H2150" s="1114"/>
      <c r="I2150" s="1113">
        <v>2084</v>
      </c>
      <c r="J2150" s="1115">
        <v>50</v>
      </c>
      <c r="K2150" s="382">
        <f>I2150*J2150</f>
        <v>104200</v>
      </c>
    </row>
    <row r="2151" spans="1:11">
      <c r="A2151" s="1092">
        <v>59</v>
      </c>
      <c r="B2151" s="56" t="s">
        <v>2640</v>
      </c>
      <c r="C2151" s="1093" t="s">
        <v>2732</v>
      </c>
      <c r="D2151" s="1022" t="s">
        <v>1024</v>
      </c>
      <c r="E2151" s="1113"/>
      <c r="F2151" s="1113"/>
      <c r="G2151" s="1113"/>
      <c r="H2151" s="1114"/>
      <c r="I2151" s="1113">
        <v>2010</v>
      </c>
      <c r="J2151" s="1115">
        <v>76.5</v>
      </c>
      <c r="K2151" s="382">
        <f t="shared" ref="K2151:K2152" si="111">I2151*J2151</f>
        <v>153765</v>
      </c>
    </row>
    <row r="2152" spans="1:11">
      <c r="A2152" s="1092">
        <v>60</v>
      </c>
      <c r="B2152" s="56"/>
      <c r="C2152" s="1096" t="s">
        <v>2733</v>
      </c>
      <c r="D2152" s="1022" t="s">
        <v>2644</v>
      </c>
      <c r="E2152" s="1113"/>
      <c r="F2152" s="1113"/>
      <c r="G2152" s="1113"/>
      <c r="H2152" s="1114"/>
      <c r="I2152" s="1113">
        <v>6.89</v>
      </c>
      <c r="J2152" s="1115">
        <v>29841</v>
      </c>
      <c r="K2152" s="382">
        <f t="shared" si="111"/>
        <v>205604.49</v>
      </c>
    </row>
    <row r="2153" spans="1:11" ht="18.75">
      <c r="A2153" s="120" t="s">
        <v>2734</v>
      </c>
      <c r="B2153" s="121"/>
      <c r="C2153" s="121"/>
      <c r="D2153" s="121"/>
      <c r="E2153" s="121"/>
      <c r="F2153" s="121"/>
      <c r="G2153" s="121"/>
      <c r="H2153" s="121"/>
      <c r="I2153" s="121"/>
      <c r="J2153" s="121"/>
      <c r="K2153" s="122"/>
    </row>
    <row r="2154" spans="1:11">
      <c r="A2154" s="123" t="s">
        <v>6</v>
      </c>
      <c r="B2154" s="125" t="s">
        <v>28</v>
      </c>
      <c r="C2154" s="123" t="s">
        <v>7</v>
      </c>
      <c r="D2154" s="4" t="s">
        <v>8</v>
      </c>
      <c r="E2154" s="127" t="s">
        <v>30</v>
      </c>
      <c r="F2154" s="128"/>
      <c r="G2154" s="128"/>
      <c r="H2154" s="128"/>
      <c r="I2154" s="129"/>
      <c r="J2154" s="130" t="s">
        <v>26</v>
      </c>
      <c r="K2154" s="130" t="s">
        <v>27</v>
      </c>
    </row>
    <row r="2155" spans="1:11">
      <c r="A2155" s="124"/>
      <c r="B2155" s="126"/>
      <c r="C2155" s="124"/>
      <c r="D2155" s="6"/>
      <c r="E2155" s="14" t="s">
        <v>18</v>
      </c>
      <c r="F2155" s="14" t="s">
        <v>29</v>
      </c>
      <c r="G2155" s="14" t="s">
        <v>11</v>
      </c>
      <c r="H2155" s="14" t="s">
        <v>21</v>
      </c>
      <c r="I2155" s="14" t="s">
        <v>1</v>
      </c>
      <c r="J2155" s="131"/>
      <c r="K2155" s="131"/>
    </row>
    <row r="2156" spans="1:11">
      <c r="A2156" s="19">
        <v>1</v>
      </c>
      <c r="B2156" s="20" t="s">
        <v>128</v>
      </c>
      <c r="C2156" s="1068" t="s">
        <v>2735</v>
      </c>
      <c r="D2156" s="1069" t="s">
        <v>2517</v>
      </c>
      <c r="E2156" s="1070">
        <v>2</v>
      </c>
      <c r="F2156" s="4"/>
      <c r="G2156" s="4"/>
      <c r="H2156" s="4"/>
      <c r="I2156" s="4"/>
      <c r="J2156" s="1071">
        <v>6619.8</v>
      </c>
      <c r="K2156" s="4">
        <f t="shared" ref="K2156:K2163" si="112">J2156*(I2156+E2156)</f>
        <v>13239.6</v>
      </c>
    </row>
    <row r="2157" spans="1:11">
      <c r="A2157" s="19">
        <v>2</v>
      </c>
      <c r="B2157" s="20" t="s">
        <v>127</v>
      </c>
      <c r="C2157" s="1068" t="s">
        <v>2736</v>
      </c>
      <c r="D2157" s="1069" t="s">
        <v>2517</v>
      </c>
      <c r="E2157" s="1070">
        <v>1</v>
      </c>
      <c r="F2157" s="4"/>
      <c r="G2157" s="4"/>
      <c r="H2157" s="4"/>
      <c r="I2157" s="4"/>
      <c r="J2157" s="1071">
        <v>4590.2</v>
      </c>
      <c r="K2157" s="4">
        <f t="shared" si="112"/>
        <v>4590.2</v>
      </c>
    </row>
    <row r="2158" spans="1:11">
      <c r="A2158" s="19">
        <v>3</v>
      </c>
      <c r="B2158" s="20" t="s">
        <v>129</v>
      </c>
      <c r="C2158" s="1068" t="s">
        <v>2737</v>
      </c>
      <c r="D2158" s="1069" t="s">
        <v>2517</v>
      </c>
      <c r="E2158" s="1070">
        <v>2</v>
      </c>
      <c r="F2158" s="4"/>
      <c r="G2158" s="4"/>
      <c r="H2158" s="4"/>
      <c r="I2158" s="4"/>
      <c r="J2158" s="1071">
        <v>3964.8</v>
      </c>
      <c r="K2158" s="4">
        <f t="shared" si="112"/>
        <v>7929.6</v>
      </c>
    </row>
    <row r="2159" spans="1:11">
      <c r="A2159" s="19">
        <v>4</v>
      </c>
      <c r="B2159" s="20" t="s">
        <v>122</v>
      </c>
      <c r="C2159" s="1068" t="s">
        <v>31</v>
      </c>
      <c r="D2159" s="1069" t="s">
        <v>2517</v>
      </c>
      <c r="E2159" s="1070">
        <v>2</v>
      </c>
      <c r="F2159" s="4"/>
      <c r="G2159" s="4"/>
      <c r="H2159" s="4"/>
      <c r="I2159" s="4"/>
      <c r="J2159" s="1071">
        <v>342.2</v>
      </c>
      <c r="K2159" s="4">
        <f t="shared" si="112"/>
        <v>684.4</v>
      </c>
    </row>
    <row r="2160" spans="1:11">
      <c r="A2160" s="19">
        <v>5</v>
      </c>
      <c r="B2160" s="20" t="s">
        <v>123</v>
      </c>
      <c r="C2160" s="1068" t="s">
        <v>2738</v>
      </c>
      <c r="D2160" s="1069" t="s">
        <v>2517</v>
      </c>
      <c r="E2160" s="1070">
        <v>2</v>
      </c>
      <c r="F2160" s="4"/>
      <c r="G2160" s="4"/>
      <c r="H2160" s="4"/>
      <c r="I2160" s="4"/>
      <c r="J2160" s="1071">
        <v>2808.4</v>
      </c>
      <c r="K2160" s="4">
        <f t="shared" si="112"/>
        <v>5616.8</v>
      </c>
    </row>
    <row r="2161" spans="1:11">
      <c r="A2161" s="19">
        <v>6</v>
      </c>
      <c r="B2161" s="20"/>
      <c r="C2161" s="1068" t="s">
        <v>2739</v>
      </c>
      <c r="D2161" s="1069" t="s">
        <v>2517</v>
      </c>
      <c r="E2161" s="1070">
        <v>1</v>
      </c>
      <c r="F2161" s="4"/>
      <c r="G2161" s="4"/>
      <c r="H2161" s="4"/>
      <c r="I2161" s="4"/>
      <c r="J2161" s="1071">
        <v>46728</v>
      </c>
      <c r="K2161" s="4">
        <f t="shared" si="112"/>
        <v>46728</v>
      </c>
    </row>
    <row r="2162" spans="1:11">
      <c r="A2162" s="19">
        <v>7</v>
      </c>
      <c r="B2162" s="20" t="s">
        <v>2740</v>
      </c>
      <c r="C2162" s="1068" t="s">
        <v>2741</v>
      </c>
      <c r="D2162" s="1069" t="s">
        <v>2517</v>
      </c>
      <c r="E2162" s="1070">
        <v>1</v>
      </c>
      <c r="F2162" s="4"/>
      <c r="G2162" s="4"/>
      <c r="H2162" s="4"/>
      <c r="I2162" s="4"/>
      <c r="J2162" s="1071">
        <v>3410.2</v>
      </c>
      <c r="K2162" s="4">
        <f t="shared" si="112"/>
        <v>3410.2</v>
      </c>
    </row>
    <row r="2163" spans="1:11">
      <c r="A2163" s="19">
        <v>8</v>
      </c>
      <c r="B2163" s="20" t="s">
        <v>2740</v>
      </c>
      <c r="C2163" s="1068" t="s">
        <v>2742</v>
      </c>
      <c r="D2163" s="1069" t="s">
        <v>2517</v>
      </c>
      <c r="E2163" s="1070">
        <v>1</v>
      </c>
      <c r="F2163" s="4"/>
      <c r="G2163" s="4"/>
      <c r="H2163" s="4"/>
      <c r="I2163" s="4"/>
      <c r="J2163" s="1071">
        <v>6442.8</v>
      </c>
      <c r="K2163" s="4">
        <f t="shared" si="112"/>
        <v>6442.8</v>
      </c>
    </row>
    <row r="2167" spans="1:11">
      <c r="A2167" s="1123" t="s">
        <v>2743</v>
      </c>
      <c r="B2167" s="1123"/>
      <c r="C2167" s="1123"/>
      <c r="D2167" s="1123"/>
      <c r="E2167" s="1123"/>
      <c r="F2167" s="1123"/>
      <c r="G2167" s="1123"/>
      <c r="H2167" s="1123"/>
      <c r="I2167" s="1123"/>
      <c r="J2167" s="1123"/>
      <c r="K2167" s="1123"/>
    </row>
    <row r="2168" spans="1:11">
      <c r="A2168" s="1123"/>
      <c r="B2168" s="1123"/>
      <c r="C2168" s="1123"/>
      <c r="D2168" s="1123"/>
      <c r="E2168" s="1123"/>
      <c r="F2168" s="1123"/>
      <c r="G2168" s="1123"/>
      <c r="H2168" s="1123"/>
      <c r="I2168" s="1123"/>
      <c r="J2168" s="1123"/>
      <c r="K2168" s="1123"/>
    </row>
    <row r="2169" spans="1:11">
      <c r="A2169" s="1124"/>
      <c r="B2169" s="145"/>
      <c r="C2169" s="145"/>
      <c r="D2169" s="145"/>
      <c r="E2169" s="145"/>
      <c r="F2169" s="145"/>
      <c r="G2169" s="145"/>
      <c r="H2169" s="145"/>
      <c r="I2169" s="145"/>
      <c r="J2169" s="145"/>
      <c r="K2169" s="145"/>
    </row>
    <row r="2170" spans="1:11">
      <c r="A2170" s="1125" t="s">
        <v>2744</v>
      </c>
      <c r="B2170" s="1126"/>
      <c r="C2170" s="1126"/>
      <c r="D2170" s="147"/>
      <c r="E2170" s="145"/>
      <c r="F2170" s="145"/>
      <c r="G2170" s="1125" t="s">
        <v>2745</v>
      </c>
      <c r="H2170" s="1126"/>
      <c r="I2170" s="1126"/>
      <c r="J2170" s="1126"/>
      <c r="K2170" s="145"/>
    </row>
    <row r="2171" spans="1:11">
      <c r="A2171" s="1127" t="s">
        <v>2746</v>
      </c>
      <c r="B2171" s="1128"/>
      <c r="C2171" s="1128"/>
      <c r="D2171" s="147"/>
      <c r="E2171" s="145"/>
      <c r="F2171" s="145"/>
      <c r="G2171" s="145"/>
      <c r="H2171" s="1127" t="s">
        <v>2747</v>
      </c>
      <c r="I2171" s="1128"/>
      <c r="J2171" s="1128"/>
      <c r="K2171" s="145"/>
    </row>
    <row r="2172" spans="1:11">
      <c r="A2172" s="1129" t="s">
        <v>261</v>
      </c>
      <c r="B2172" s="156" t="s">
        <v>262</v>
      </c>
      <c r="C2172" s="156" t="s">
        <v>263</v>
      </c>
      <c r="D2172" s="156" t="s">
        <v>8</v>
      </c>
      <c r="E2172" s="156" t="s">
        <v>264</v>
      </c>
      <c r="F2172" s="1130"/>
      <c r="G2172" s="1130"/>
      <c r="H2172" s="1130"/>
      <c r="I2172" s="1130"/>
      <c r="J2172" s="1131" t="s">
        <v>2748</v>
      </c>
      <c r="K2172" s="1132" t="s">
        <v>27</v>
      </c>
    </row>
    <row r="2173" spans="1:11" ht="25.5">
      <c r="A2173" s="1130"/>
      <c r="B2173" s="1130"/>
      <c r="C2173" s="1130"/>
      <c r="D2173" s="1130"/>
      <c r="E2173" s="1133" t="s">
        <v>18</v>
      </c>
      <c r="F2173" s="1134" t="s">
        <v>266</v>
      </c>
      <c r="G2173" s="1134" t="s">
        <v>11</v>
      </c>
      <c r="H2173" s="1134" t="s">
        <v>267</v>
      </c>
      <c r="I2173" s="1133" t="s">
        <v>268</v>
      </c>
      <c r="J2173" s="1130"/>
      <c r="K2173" s="1130"/>
    </row>
    <row r="2174" spans="1:11">
      <c r="A2174" s="1135" t="s">
        <v>2749</v>
      </c>
      <c r="B2174" s="1136"/>
      <c r="C2174" s="1137"/>
      <c r="D2174" s="1137"/>
      <c r="E2174" s="1133"/>
      <c r="F2174" s="1134"/>
      <c r="G2174" s="1134"/>
      <c r="H2174" s="1133"/>
      <c r="I2174" s="1133"/>
      <c r="J2174" s="1137"/>
      <c r="K2174" s="1137"/>
    </row>
    <row r="2175" spans="1:11">
      <c r="A2175" s="1138">
        <v>1</v>
      </c>
      <c r="B2175" s="1139" t="s">
        <v>2750</v>
      </c>
      <c r="C2175" s="1140" t="s">
        <v>2751</v>
      </c>
      <c r="D2175" s="1141" t="s">
        <v>324</v>
      </c>
      <c r="E2175" s="1142"/>
      <c r="F2175" s="1138"/>
      <c r="G2175" s="1138"/>
      <c r="H2175" s="1142">
        <v>2.83</v>
      </c>
      <c r="I2175" s="1138"/>
      <c r="J2175" s="1143">
        <v>108393.303</v>
      </c>
      <c r="K2175" s="1138">
        <f t="shared" ref="K2175:K2193" si="113">(E2175+F2175+G2175+H2175+I2175)*J2175</f>
        <v>306753.04749000003</v>
      </c>
    </row>
    <row r="2176" spans="1:11">
      <c r="A2176" s="1138">
        <v>2</v>
      </c>
      <c r="B2176" s="1139" t="s">
        <v>2752</v>
      </c>
      <c r="C2176" s="1140" t="s">
        <v>2753</v>
      </c>
      <c r="D2176" s="1141" t="s">
        <v>324</v>
      </c>
      <c r="E2176" s="1142"/>
      <c r="F2176" s="1138"/>
      <c r="G2176" s="1138"/>
      <c r="H2176" s="1142">
        <v>0.62572000000000005</v>
      </c>
      <c r="I2176" s="1138"/>
      <c r="J2176" s="1143">
        <v>67296</v>
      </c>
      <c r="K2176" s="1138">
        <f t="shared" si="113"/>
        <v>42108.453120000006</v>
      </c>
    </row>
    <row r="2177" spans="1:11">
      <c r="A2177" s="1138">
        <v>3</v>
      </c>
      <c r="B2177" s="1139" t="s">
        <v>2754</v>
      </c>
      <c r="C2177" s="1140" t="s">
        <v>2755</v>
      </c>
      <c r="D2177" s="1141" t="s">
        <v>324</v>
      </c>
      <c r="E2177" s="1142"/>
      <c r="F2177" s="1138"/>
      <c r="G2177" s="1138"/>
      <c r="H2177" s="1142">
        <v>1.99247</v>
      </c>
      <c r="I2177" s="1138"/>
      <c r="J2177" s="1143">
        <v>67296</v>
      </c>
      <c r="K2177" s="1138">
        <f t="shared" si="113"/>
        <v>134085.26112000001</v>
      </c>
    </row>
    <row r="2178" spans="1:11">
      <c r="A2178" s="1138">
        <v>4</v>
      </c>
      <c r="B2178" s="1139" t="s">
        <v>2756</v>
      </c>
      <c r="C2178" s="1140" t="s">
        <v>2757</v>
      </c>
      <c r="D2178" s="1141" t="s">
        <v>462</v>
      </c>
      <c r="E2178" s="1144"/>
      <c r="F2178" s="1138"/>
      <c r="G2178" s="1138"/>
      <c r="H2178" s="1144">
        <v>240.92</v>
      </c>
      <c r="I2178" s="1138"/>
      <c r="J2178" s="1144">
        <v>30</v>
      </c>
      <c r="K2178" s="1145">
        <f t="shared" si="113"/>
        <v>7227.5999999999995</v>
      </c>
    </row>
    <row r="2179" spans="1:11">
      <c r="A2179" s="1138">
        <v>5</v>
      </c>
      <c r="B2179" s="1139" t="s">
        <v>2758</v>
      </c>
      <c r="C2179" s="1140" t="s">
        <v>2759</v>
      </c>
      <c r="D2179" s="1141" t="s">
        <v>324</v>
      </c>
      <c r="E2179" s="1142"/>
      <c r="F2179" s="1138"/>
      <c r="G2179" s="1138"/>
      <c r="H2179" s="1138">
        <v>1.5</v>
      </c>
      <c r="I2179" s="1138"/>
      <c r="J2179" s="1143">
        <v>38480</v>
      </c>
      <c r="K2179" s="1138">
        <f t="shared" si="113"/>
        <v>57720</v>
      </c>
    </row>
    <row r="2180" spans="1:11">
      <c r="A2180" s="1138">
        <v>6</v>
      </c>
      <c r="B2180" s="1146" t="s">
        <v>2760</v>
      </c>
      <c r="C2180" s="1140" t="s">
        <v>2761</v>
      </c>
      <c r="D2180" s="1147" t="s">
        <v>2</v>
      </c>
      <c r="E2180" s="1142"/>
      <c r="F2180" s="1138"/>
      <c r="G2180" s="1138"/>
      <c r="H2180" s="1146">
        <v>4</v>
      </c>
      <c r="I2180" s="1138"/>
      <c r="J2180" s="1148">
        <v>9363.75</v>
      </c>
      <c r="K2180" s="1138">
        <f t="shared" si="113"/>
        <v>37455</v>
      </c>
    </row>
    <row r="2181" spans="1:11">
      <c r="A2181" s="1138">
        <v>7</v>
      </c>
      <c r="B2181" s="1139" t="s">
        <v>294</v>
      </c>
      <c r="C2181" s="1140" t="s">
        <v>2762</v>
      </c>
      <c r="D2181" s="1141" t="s">
        <v>2</v>
      </c>
      <c r="E2181" s="1142"/>
      <c r="F2181" s="1138"/>
      <c r="G2181" s="1138"/>
      <c r="H2181" s="1146">
        <v>368</v>
      </c>
      <c r="I2181" s="1138"/>
      <c r="J2181" s="1143">
        <v>280</v>
      </c>
      <c r="K2181" s="1138">
        <f t="shared" si="113"/>
        <v>103040</v>
      </c>
    </row>
    <row r="2182" spans="1:11">
      <c r="A2182" s="1138">
        <v>8</v>
      </c>
      <c r="B2182" s="1139" t="s">
        <v>628</v>
      </c>
      <c r="C2182" s="1149" t="s">
        <v>2763</v>
      </c>
      <c r="D2182" s="1142" t="s">
        <v>2</v>
      </c>
      <c r="E2182" s="1142"/>
      <c r="F2182" s="1138"/>
      <c r="G2182" s="1138"/>
      <c r="H2182" s="1146">
        <v>46</v>
      </c>
      <c r="I2182" s="1138"/>
      <c r="J2182" s="1150">
        <v>2340</v>
      </c>
      <c r="K2182" s="1138">
        <f t="shared" si="113"/>
        <v>107640</v>
      </c>
    </row>
    <row r="2183" spans="1:11">
      <c r="A2183" s="1138">
        <v>9</v>
      </c>
      <c r="B2183" s="1139" t="s">
        <v>167</v>
      </c>
      <c r="C2183" s="1149" t="s">
        <v>2764</v>
      </c>
      <c r="D2183" s="1142" t="s">
        <v>2</v>
      </c>
      <c r="E2183" s="1142"/>
      <c r="F2183" s="1138"/>
      <c r="G2183" s="1138"/>
      <c r="H2183" s="1146">
        <v>6</v>
      </c>
      <c r="I2183" s="1138"/>
      <c r="J2183" s="1151">
        <v>3977.0277999999998</v>
      </c>
      <c r="K2183" s="1138">
        <f t="shared" si="113"/>
        <v>23862.166799999999</v>
      </c>
    </row>
    <row r="2184" spans="1:11">
      <c r="A2184" s="1138">
        <v>10</v>
      </c>
      <c r="B2184" s="1139" t="s">
        <v>2013</v>
      </c>
      <c r="C2184" s="1149" t="s">
        <v>2765</v>
      </c>
      <c r="D2184" s="1142" t="s">
        <v>2</v>
      </c>
      <c r="E2184" s="1142"/>
      <c r="F2184" s="1138"/>
      <c r="G2184" s="1138"/>
      <c r="H2184" s="1138">
        <v>19</v>
      </c>
      <c r="I2184" s="1138"/>
      <c r="J2184" s="1150">
        <v>1133</v>
      </c>
      <c r="K2184" s="1138">
        <f t="shared" si="113"/>
        <v>21527</v>
      </c>
    </row>
    <row r="2185" spans="1:11">
      <c r="A2185" s="1138">
        <v>11</v>
      </c>
      <c r="B2185" s="1152" t="s">
        <v>202</v>
      </c>
      <c r="C2185" s="1153" t="s">
        <v>2766</v>
      </c>
      <c r="D2185" s="1154" t="s">
        <v>2</v>
      </c>
      <c r="E2185" s="1155">
        <v>14</v>
      </c>
      <c r="F2185" s="1156"/>
      <c r="G2185" s="1156"/>
      <c r="H2185" s="1156"/>
      <c r="I2185" s="1155"/>
      <c r="J2185" s="1157">
        <v>1500</v>
      </c>
      <c r="K2185" s="1145">
        <f t="shared" si="113"/>
        <v>21000</v>
      </c>
    </row>
    <row r="2186" spans="1:11">
      <c r="A2186" s="1138">
        <v>12</v>
      </c>
      <c r="B2186" s="1152" t="s">
        <v>315</v>
      </c>
      <c r="C2186" s="1153" t="s">
        <v>2767</v>
      </c>
      <c r="D2186" s="1154" t="s">
        <v>2</v>
      </c>
      <c r="E2186" s="1155">
        <v>9</v>
      </c>
      <c r="F2186" s="1156"/>
      <c r="G2186" s="1156"/>
      <c r="H2186" s="1156"/>
      <c r="I2186" s="1155"/>
      <c r="J2186" s="1157">
        <v>500</v>
      </c>
      <c r="K2186" s="1145">
        <f t="shared" si="113"/>
        <v>4500</v>
      </c>
    </row>
    <row r="2187" spans="1:11">
      <c r="A2187" s="1138">
        <v>13</v>
      </c>
      <c r="B2187" s="1139" t="s">
        <v>797</v>
      </c>
      <c r="C2187" s="1140" t="s">
        <v>2768</v>
      </c>
      <c r="D2187" s="1141" t="s">
        <v>2</v>
      </c>
      <c r="E2187" s="1142">
        <v>1</v>
      </c>
      <c r="F2187" s="1138"/>
      <c r="G2187" s="1138"/>
      <c r="H2187" s="1138"/>
      <c r="I2187" s="1138"/>
      <c r="J2187" s="1143">
        <v>100000</v>
      </c>
      <c r="K2187" s="1138">
        <f t="shared" si="113"/>
        <v>100000</v>
      </c>
    </row>
    <row r="2188" spans="1:11">
      <c r="A2188" s="1138">
        <v>14</v>
      </c>
      <c r="B2188" s="1139" t="s">
        <v>2769</v>
      </c>
      <c r="C2188" s="1140" t="s">
        <v>2770</v>
      </c>
      <c r="D2188" s="1141" t="s">
        <v>2</v>
      </c>
      <c r="E2188" s="1142"/>
      <c r="F2188" s="1138"/>
      <c r="G2188" s="1138"/>
      <c r="H2188" s="1138">
        <v>1</v>
      </c>
      <c r="I2188" s="1138"/>
      <c r="J2188" s="1143">
        <v>15000</v>
      </c>
      <c r="K2188" s="1138">
        <f t="shared" si="113"/>
        <v>15000</v>
      </c>
    </row>
    <row r="2189" spans="1:11">
      <c r="A2189" s="1138">
        <v>15</v>
      </c>
      <c r="B2189" s="1158" t="s">
        <v>730</v>
      </c>
      <c r="C2189" s="1159" t="s">
        <v>2771</v>
      </c>
      <c r="D2189" s="1141" t="s">
        <v>2</v>
      </c>
      <c r="E2189" s="1144">
        <v>1</v>
      </c>
      <c r="F2189" s="1138"/>
      <c r="G2189" s="1138"/>
      <c r="H2189" s="1138"/>
      <c r="I2189" s="1138"/>
      <c r="J2189" s="1143">
        <v>178180</v>
      </c>
      <c r="K2189" s="1145">
        <f t="shared" si="113"/>
        <v>178180</v>
      </c>
    </row>
    <row r="2190" spans="1:11">
      <c r="A2190" s="1138">
        <v>16</v>
      </c>
      <c r="B2190" s="1139" t="s">
        <v>436</v>
      </c>
      <c r="C2190" s="1140" t="s">
        <v>2772</v>
      </c>
      <c r="D2190" s="1141" t="s">
        <v>2</v>
      </c>
      <c r="E2190" s="1142">
        <v>1</v>
      </c>
      <c r="F2190" s="1138"/>
      <c r="G2190" s="1138"/>
      <c r="H2190" s="1138"/>
      <c r="I2190" s="1138"/>
      <c r="J2190" s="1143">
        <v>56455</v>
      </c>
      <c r="K2190" s="1138">
        <f t="shared" si="113"/>
        <v>56455</v>
      </c>
    </row>
    <row r="2191" spans="1:11">
      <c r="A2191" s="1138">
        <v>17</v>
      </c>
      <c r="B2191" s="1139" t="s">
        <v>2773</v>
      </c>
      <c r="C2191" s="1140" t="s">
        <v>2774</v>
      </c>
      <c r="D2191" s="1141" t="s">
        <v>2</v>
      </c>
      <c r="E2191" s="1142">
        <v>1</v>
      </c>
      <c r="F2191" s="1138"/>
      <c r="G2191" s="1138"/>
      <c r="H2191" s="1146"/>
      <c r="I2191" s="1138"/>
      <c r="J2191" s="1143">
        <v>25470</v>
      </c>
      <c r="K2191" s="1138">
        <f t="shared" si="113"/>
        <v>25470</v>
      </c>
    </row>
    <row r="2192" spans="1:11">
      <c r="A2192" s="1138">
        <v>18</v>
      </c>
      <c r="B2192" s="1139" t="s">
        <v>734</v>
      </c>
      <c r="C2192" s="1140" t="s">
        <v>2775</v>
      </c>
      <c r="D2192" s="1141" t="s">
        <v>2</v>
      </c>
      <c r="E2192" s="1142">
        <v>6</v>
      </c>
      <c r="F2192" s="1138"/>
      <c r="G2192" s="1138"/>
      <c r="H2192" s="1146"/>
      <c r="I2192" s="1138"/>
      <c r="J2192" s="1143">
        <v>19000</v>
      </c>
      <c r="K2192" s="1138">
        <f t="shared" si="113"/>
        <v>114000</v>
      </c>
    </row>
    <row r="2193" spans="1:11">
      <c r="A2193" s="1138">
        <v>19</v>
      </c>
      <c r="B2193" s="1139" t="s">
        <v>2776</v>
      </c>
      <c r="C2193" s="1159" t="s">
        <v>2777</v>
      </c>
      <c r="D2193" s="1141" t="s">
        <v>2</v>
      </c>
      <c r="E2193" s="1144"/>
      <c r="F2193" s="1138"/>
      <c r="G2193" s="1138">
        <v>5</v>
      </c>
      <c r="H2193" s="1138"/>
      <c r="I2193" s="1138"/>
      <c r="J2193" s="1157">
        <v>15000</v>
      </c>
      <c r="K2193" s="1145">
        <f t="shared" si="113"/>
        <v>75000</v>
      </c>
    </row>
    <row r="2194" spans="1:11">
      <c r="A2194" s="1160" t="s">
        <v>2778</v>
      </c>
      <c r="B2194" s="1161"/>
      <c r="C2194" s="1153"/>
      <c r="D2194" s="1154"/>
      <c r="E2194" s="1155"/>
      <c r="F2194" s="1156"/>
      <c r="G2194" s="1156"/>
      <c r="H2194" s="1156"/>
      <c r="I2194" s="1155"/>
      <c r="J2194" s="1157"/>
      <c r="K2194" s="1145"/>
    </row>
    <row r="2195" spans="1:11">
      <c r="A2195" s="1138">
        <v>1</v>
      </c>
      <c r="B2195" s="1139" t="s">
        <v>164</v>
      </c>
      <c r="C2195" s="1162" t="s">
        <v>2779</v>
      </c>
      <c r="D2195" s="1141" t="s">
        <v>1024</v>
      </c>
      <c r="E2195" s="1142">
        <v>160</v>
      </c>
      <c r="F2195" s="1138"/>
      <c r="G2195" s="1138"/>
      <c r="H2195" s="1138"/>
      <c r="I2195" s="1138"/>
      <c r="J2195" s="1143">
        <v>118</v>
      </c>
      <c r="K2195" s="1138">
        <f t="shared" ref="K2195:K2305" si="114">(E2195+F2195+G2195+H2195+I2195)*J2195</f>
        <v>18880</v>
      </c>
    </row>
    <row r="2196" spans="1:11">
      <c r="A2196" s="1138">
        <v>2</v>
      </c>
      <c r="B2196" s="1139" t="s">
        <v>273</v>
      </c>
      <c r="C2196" s="1162" t="s">
        <v>2780</v>
      </c>
      <c r="D2196" s="1147" t="s">
        <v>1024</v>
      </c>
      <c r="E2196" s="1142">
        <v>1410</v>
      </c>
      <c r="F2196" s="1138"/>
      <c r="G2196" s="1138"/>
      <c r="H2196" s="1138"/>
      <c r="I2196" s="1138"/>
      <c r="J2196" s="1163">
        <v>15.3225</v>
      </c>
      <c r="K2196" s="1138">
        <f t="shared" si="114"/>
        <v>21604.724999999999</v>
      </c>
    </row>
    <row r="2197" spans="1:11">
      <c r="A2197" s="1138">
        <v>3</v>
      </c>
      <c r="B2197" s="1146" t="s">
        <v>2781</v>
      </c>
      <c r="C2197" s="1162" t="s">
        <v>2782</v>
      </c>
      <c r="D2197" s="1147" t="s">
        <v>10</v>
      </c>
      <c r="E2197" s="1142">
        <v>5</v>
      </c>
      <c r="F2197" s="1138"/>
      <c r="G2197" s="1138"/>
      <c r="H2197" s="1164"/>
      <c r="I2197" s="1138"/>
      <c r="J2197" s="1148">
        <v>807.60500000000002</v>
      </c>
      <c r="K2197" s="1138">
        <f t="shared" si="114"/>
        <v>4038.0250000000001</v>
      </c>
    </row>
    <row r="2198" spans="1:11">
      <c r="A2198" s="1138">
        <v>4</v>
      </c>
      <c r="B2198" s="1152" t="s">
        <v>2783</v>
      </c>
      <c r="C2198" s="1162" t="s">
        <v>2784</v>
      </c>
      <c r="D2198" s="1141" t="s">
        <v>1024</v>
      </c>
      <c r="E2198" s="1144">
        <v>234</v>
      </c>
      <c r="F2198" s="1138"/>
      <c r="G2198" s="1138"/>
      <c r="H2198" s="1138"/>
      <c r="I2198" s="1138"/>
      <c r="J2198" s="1144">
        <v>40.86</v>
      </c>
      <c r="K2198" s="1138">
        <f t="shared" si="114"/>
        <v>9561.24</v>
      </c>
    </row>
    <row r="2199" spans="1:11">
      <c r="A2199" s="1138">
        <v>5</v>
      </c>
      <c r="B2199" s="1165" t="s">
        <v>350</v>
      </c>
      <c r="C2199" s="1166" t="s">
        <v>2785</v>
      </c>
      <c r="D2199" s="1167" t="s">
        <v>2786</v>
      </c>
      <c r="E2199" s="1155">
        <v>0.43</v>
      </c>
      <c r="F2199" s="1156"/>
      <c r="G2199" s="1156"/>
      <c r="H2199" s="1156"/>
      <c r="I2199" s="1155"/>
      <c r="J2199" s="1157">
        <v>239776</v>
      </c>
      <c r="K2199" s="1145">
        <f>(E2199+F2199+G2199+H2199+I2199)*J2199</f>
        <v>103103.67999999999</v>
      </c>
    </row>
    <row r="2200" spans="1:11">
      <c r="A2200" s="1138">
        <v>6</v>
      </c>
      <c r="B2200" s="1165" t="s">
        <v>2787</v>
      </c>
      <c r="C2200" s="1166" t="s">
        <v>2788</v>
      </c>
      <c r="D2200" s="1167" t="s">
        <v>2786</v>
      </c>
      <c r="E2200" s="1155">
        <v>0.39</v>
      </c>
      <c r="F2200" s="1156"/>
      <c r="G2200" s="1156"/>
      <c r="H2200" s="1156"/>
      <c r="I2200" s="1155"/>
      <c r="J2200" s="1157">
        <v>555201.80000000005</v>
      </c>
      <c r="K2200" s="1145">
        <f t="shared" si="114"/>
        <v>216528.70200000002</v>
      </c>
    </row>
    <row r="2201" spans="1:11">
      <c r="A2201" s="1138">
        <v>7</v>
      </c>
      <c r="B2201" s="1165" t="s">
        <v>2789</v>
      </c>
      <c r="C2201" s="1166" t="s">
        <v>2790</v>
      </c>
      <c r="D2201" s="1167" t="s">
        <v>2786</v>
      </c>
      <c r="E2201" s="1155">
        <v>0.3</v>
      </c>
      <c r="F2201" s="1156"/>
      <c r="G2201" s="1156"/>
      <c r="H2201" s="1156"/>
      <c r="I2201" s="1155"/>
      <c r="J2201" s="1157">
        <v>206298.22</v>
      </c>
      <c r="K2201" s="1145">
        <f t="shared" si="114"/>
        <v>61889.466</v>
      </c>
    </row>
    <row r="2202" spans="1:11" ht="25.5">
      <c r="A2202" s="1138">
        <v>8</v>
      </c>
      <c r="B2202" s="1165" t="s">
        <v>2791</v>
      </c>
      <c r="C2202" s="1166" t="s">
        <v>2792</v>
      </c>
      <c r="D2202" s="1168" t="s">
        <v>2</v>
      </c>
      <c r="E2202" s="1155">
        <v>1</v>
      </c>
      <c r="F2202" s="1156"/>
      <c r="G2202" s="1156"/>
      <c r="H2202" s="1156"/>
      <c r="I2202" s="1155"/>
      <c r="J2202" s="1157">
        <v>69561</v>
      </c>
      <c r="K2202" s="1145">
        <f t="shared" si="114"/>
        <v>69561</v>
      </c>
    </row>
    <row r="2203" spans="1:11">
      <c r="A2203" s="1138">
        <v>9</v>
      </c>
      <c r="B2203" s="1165" t="s">
        <v>2793</v>
      </c>
      <c r="C2203" s="1166" t="s">
        <v>2794</v>
      </c>
      <c r="D2203" s="1168" t="s">
        <v>2</v>
      </c>
      <c r="E2203" s="1155">
        <v>1</v>
      </c>
      <c r="F2203" s="1156"/>
      <c r="G2203" s="1156"/>
      <c r="H2203" s="1156"/>
      <c r="I2203" s="1155"/>
      <c r="J2203" s="1157">
        <v>1115.0999999999999</v>
      </c>
      <c r="K2203" s="1145">
        <f t="shared" si="114"/>
        <v>1115.0999999999999</v>
      </c>
    </row>
    <row r="2204" spans="1:11">
      <c r="A2204" s="1138">
        <v>10</v>
      </c>
      <c r="B2204" s="1165" t="s">
        <v>615</v>
      </c>
      <c r="C2204" s="1166" t="s">
        <v>2795</v>
      </c>
      <c r="D2204" s="1167" t="s">
        <v>462</v>
      </c>
      <c r="E2204" s="1155">
        <v>32</v>
      </c>
      <c r="F2204" s="1156"/>
      <c r="G2204" s="1156"/>
      <c r="H2204" s="1156"/>
      <c r="I2204" s="1155"/>
      <c r="J2204" s="1157">
        <v>354</v>
      </c>
      <c r="K2204" s="1145">
        <f>(E2204+F2204+G2204+H2204+I2204)*J2204</f>
        <v>11328</v>
      </c>
    </row>
    <row r="2205" spans="1:11">
      <c r="A2205" s="1138">
        <v>11</v>
      </c>
      <c r="B2205" s="1139" t="s">
        <v>2796</v>
      </c>
      <c r="C2205" s="1140" t="s">
        <v>2797</v>
      </c>
      <c r="D2205" s="1141" t="s">
        <v>552</v>
      </c>
      <c r="E2205" s="1138">
        <v>67</v>
      </c>
      <c r="F2205" s="1138"/>
      <c r="G2205" s="1138"/>
      <c r="H2205" s="447"/>
      <c r="I2205" s="1138"/>
      <c r="J2205" s="1143">
        <v>260</v>
      </c>
      <c r="K2205" s="1138">
        <f t="shared" si="114"/>
        <v>17420</v>
      </c>
    </row>
    <row r="2206" spans="1:11">
      <c r="A2206" s="1138">
        <v>12</v>
      </c>
      <c r="B2206" s="1152" t="s">
        <v>2798</v>
      </c>
      <c r="C2206" s="1169" t="s">
        <v>2799</v>
      </c>
      <c r="D2206" s="1141" t="s">
        <v>2</v>
      </c>
      <c r="E2206" s="1144"/>
      <c r="F2206" s="1138"/>
      <c r="G2206" s="1138"/>
      <c r="H2206" s="1146">
        <v>1</v>
      </c>
      <c r="I2206" s="1138"/>
      <c r="J2206" s="1144">
        <v>350</v>
      </c>
      <c r="K2206" s="1138">
        <f>(E2206+F2206+G2206+H2206+I2206)*J2206</f>
        <v>350</v>
      </c>
    </row>
    <row r="2207" spans="1:11">
      <c r="A2207" s="1138">
        <v>13</v>
      </c>
      <c r="B2207" s="1139" t="s">
        <v>1924</v>
      </c>
      <c r="C2207" s="1140" t="s">
        <v>2800</v>
      </c>
      <c r="D2207" s="1141" t="s">
        <v>552</v>
      </c>
      <c r="E2207" s="1142">
        <v>7.5</v>
      </c>
      <c r="F2207" s="1138"/>
      <c r="G2207" s="1138"/>
      <c r="H2207" s="1138"/>
      <c r="I2207" s="1138"/>
      <c r="J2207" s="1150">
        <v>448.32499999999999</v>
      </c>
      <c r="K2207" s="1138">
        <f t="shared" si="114"/>
        <v>3362.4375</v>
      </c>
    </row>
    <row r="2208" spans="1:11">
      <c r="A2208" s="1138">
        <v>14</v>
      </c>
      <c r="B2208" s="1165" t="s">
        <v>1926</v>
      </c>
      <c r="C2208" s="1166" t="s">
        <v>2801</v>
      </c>
      <c r="D2208" s="1168" t="s">
        <v>2</v>
      </c>
      <c r="E2208" s="1155">
        <v>2</v>
      </c>
      <c r="F2208" s="1156"/>
      <c r="G2208" s="1156"/>
      <c r="H2208" s="1156"/>
      <c r="I2208" s="1155"/>
      <c r="J2208" s="1157">
        <v>764.64</v>
      </c>
      <c r="K2208" s="1145">
        <f>(E2208+F2208+G2208+H2208+I2208)*J2208</f>
        <v>1529.28</v>
      </c>
    </row>
    <row r="2209" spans="1:11">
      <c r="A2209" s="1138">
        <v>15</v>
      </c>
      <c r="B2209" s="1158" t="s">
        <v>2802</v>
      </c>
      <c r="C2209" s="1159" t="s">
        <v>2803</v>
      </c>
      <c r="D2209" s="1141" t="s">
        <v>193</v>
      </c>
      <c r="E2209" s="1144">
        <v>0.1</v>
      </c>
      <c r="F2209" s="1138"/>
      <c r="G2209" s="1138"/>
      <c r="H2209" s="1138"/>
      <c r="I2209" s="1138"/>
      <c r="J2209" s="1143">
        <v>590</v>
      </c>
      <c r="K2209" s="1138">
        <f>(E2209+F2209+G2209+H2209+I2209)*J2209</f>
        <v>59</v>
      </c>
    </row>
    <row r="2210" spans="1:11">
      <c r="A2210" s="1138">
        <v>16</v>
      </c>
      <c r="B2210" s="1139" t="s">
        <v>166</v>
      </c>
      <c r="C2210" s="1162" t="s">
        <v>2804</v>
      </c>
      <c r="D2210" s="1141" t="s">
        <v>2</v>
      </c>
      <c r="E2210" s="1142">
        <v>32</v>
      </c>
      <c r="F2210" s="1138"/>
      <c r="G2210" s="1138"/>
      <c r="H2210" s="1138"/>
      <c r="I2210" s="1138"/>
      <c r="J2210" s="1150">
        <v>464</v>
      </c>
      <c r="K2210" s="1138">
        <f t="shared" si="114"/>
        <v>14848</v>
      </c>
    </row>
    <row r="2211" spans="1:11">
      <c r="A2211" s="1138">
        <v>17</v>
      </c>
      <c r="B2211" s="1139" t="s">
        <v>292</v>
      </c>
      <c r="C2211" s="1162" t="s">
        <v>2805</v>
      </c>
      <c r="D2211" s="1141" t="s">
        <v>2</v>
      </c>
      <c r="E2211" s="1142">
        <v>6</v>
      </c>
      <c r="F2211" s="1138"/>
      <c r="G2211" s="1138"/>
      <c r="H2211" s="1146"/>
      <c r="I2211" s="1138"/>
      <c r="J2211" s="1143">
        <v>1049.875</v>
      </c>
      <c r="K2211" s="1138">
        <f t="shared" si="114"/>
        <v>6299.25</v>
      </c>
    </row>
    <row r="2212" spans="1:11">
      <c r="A2212" s="1138">
        <v>18</v>
      </c>
      <c r="B2212" s="1165" t="s">
        <v>165</v>
      </c>
      <c r="C2212" s="1166" t="s">
        <v>240</v>
      </c>
      <c r="D2212" s="1167" t="s">
        <v>2</v>
      </c>
      <c r="E2212" s="1155">
        <v>10</v>
      </c>
      <c r="F2212" s="1156"/>
      <c r="G2212" s="1156"/>
      <c r="H2212" s="1156"/>
      <c r="I2212" s="1155"/>
      <c r="J2212" s="1157">
        <v>1660.26</v>
      </c>
      <c r="K2212" s="1145">
        <f>(E2212+F2212+G2212+H2212+I2212)*J2212</f>
        <v>16602.599999999999</v>
      </c>
    </row>
    <row r="2213" spans="1:11">
      <c r="A2213" s="1138">
        <v>19</v>
      </c>
      <c r="B2213" s="1139" t="s">
        <v>303</v>
      </c>
      <c r="C2213" s="1162" t="s">
        <v>2806</v>
      </c>
      <c r="D2213" s="1141" t="s">
        <v>2</v>
      </c>
      <c r="E2213" s="1142">
        <v>7</v>
      </c>
      <c r="F2213" s="1138"/>
      <c r="G2213" s="1138"/>
      <c r="H2213" s="1146"/>
      <c r="I2213" s="1138"/>
      <c r="J2213" s="1170">
        <v>3229.0749999999998</v>
      </c>
      <c r="K2213" s="1138">
        <f t="shared" si="114"/>
        <v>22603.524999999998</v>
      </c>
    </row>
    <row r="2214" spans="1:11">
      <c r="A2214" s="1138">
        <v>20</v>
      </c>
      <c r="B2214" s="1139" t="s">
        <v>635</v>
      </c>
      <c r="C2214" s="1162" t="s">
        <v>2807</v>
      </c>
      <c r="D2214" s="1141" t="s">
        <v>2</v>
      </c>
      <c r="E2214" s="1142">
        <v>9</v>
      </c>
      <c r="F2214" s="1138"/>
      <c r="G2214" s="1138"/>
      <c r="H2214" s="1146"/>
      <c r="I2214" s="1138"/>
      <c r="J2214" s="1170">
        <v>2252.9749999999999</v>
      </c>
      <c r="K2214" s="1138">
        <f t="shared" si="114"/>
        <v>20276.774999999998</v>
      </c>
    </row>
    <row r="2215" spans="1:11">
      <c r="A2215" s="1138">
        <v>21</v>
      </c>
      <c r="B2215" s="1139" t="s">
        <v>2808</v>
      </c>
      <c r="C2215" s="1162" t="s">
        <v>2809</v>
      </c>
      <c r="D2215" s="1168" t="s">
        <v>2</v>
      </c>
      <c r="E2215" s="1142"/>
      <c r="F2215" s="1138"/>
      <c r="G2215" s="1138"/>
      <c r="H2215" s="1146">
        <v>9</v>
      </c>
      <c r="I2215" s="1138"/>
      <c r="J2215" s="1171">
        <v>186.62334000000001</v>
      </c>
      <c r="K2215" s="1138">
        <f t="shared" si="114"/>
        <v>1679.6100600000002</v>
      </c>
    </row>
    <row r="2216" spans="1:11" ht="25.5">
      <c r="A2216" s="1138">
        <v>22</v>
      </c>
      <c r="B2216" s="1172" t="s">
        <v>2810</v>
      </c>
      <c r="C2216" s="1162" t="s">
        <v>2811</v>
      </c>
      <c r="D2216" s="1141" t="s">
        <v>2</v>
      </c>
      <c r="E2216" s="1144">
        <v>3</v>
      </c>
      <c r="F2216" s="1138"/>
      <c r="G2216" s="1138"/>
      <c r="H2216" s="1138"/>
      <c r="I2216" s="1138"/>
      <c r="J2216" s="1143">
        <v>1371.71</v>
      </c>
      <c r="K2216" s="1138">
        <f>(E2216+F2216+G2216+H2216+I2216)*J2216</f>
        <v>4115.13</v>
      </c>
    </row>
    <row r="2217" spans="1:11">
      <c r="A2217" s="1138">
        <v>23</v>
      </c>
      <c r="B2217" s="1139" t="s">
        <v>170</v>
      </c>
      <c r="C2217" s="1173" t="s">
        <v>2812</v>
      </c>
      <c r="D2217" s="1141" t="s">
        <v>2</v>
      </c>
      <c r="E2217" s="1142"/>
      <c r="F2217" s="1138"/>
      <c r="G2217" s="1138"/>
      <c r="H2217" s="1138">
        <v>15</v>
      </c>
      <c r="I2217" s="1138"/>
      <c r="J2217" s="1174">
        <v>1223.53</v>
      </c>
      <c r="K2217" s="1138">
        <f t="shared" si="114"/>
        <v>18352.95</v>
      </c>
    </row>
    <row r="2218" spans="1:11">
      <c r="A2218" s="1138">
        <v>24</v>
      </c>
      <c r="B2218" s="1139" t="s">
        <v>561</v>
      </c>
      <c r="C2218" s="1162" t="s">
        <v>2813</v>
      </c>
      <c r="D2218" s="1141" t="s">
        <v>2</v>
      </c>
      <c r="E2218" s="1142"/>
      <c r="F2218" s="1138"/>
      <c r="G2218" s="1138"/>
      <c r="H2218" s="1138">
        <v>10</v>
      </c>
      <c r="I2218" s="1138"/>
      <c r="J2218" s="1150">
        <v>508.48</v>
      </c>
      <c r="K2218" s="1138">
        <f t="shared" si="114"/>
        <v>5084.8</v>
      </c>
    </row>
    <row r="2219" spans="1:11">
      <c r="A2219" s="1138">
        <v>25</v>
      </c>
      <c r="B2219" s="1139" t="s">
        <v>567</v>
      </c>
      <c r="C2219" s="1162" t="s">
        <v>2814</v>
      </c>
      <c r="D2219" s="1141" t="s">
        <v>2</v>
      </c>
      <c r="E2219" s="1142"/>
      <c r="F2219" s="1138"/>
      <c r="G2219" s="1138"/>
      <c r="H2219" s="1146">
        <v>10</v>
      </c>
      <c r="I2219" s="1138"/>
      <c r="J2219" s="1150">
        <v>561.82500000000005</v>
      </c>
      <c r="K2219" s="1138">
        <f t="shared" si="114"/>
        <v>5618.25</v>
      </c>
    </row>
    <row r="2220" spans="1:11">
      <c r="A2220" s="1138">
        <v>26</v>
      </c>
      <c r="B2220" s="1165" t="s">
        <v>2815</v>
      </c>
      <c r="C2220" s="1175" t="s">
        <v>2816</v>
      </c>
      <c r="D2220" s="1147" t="s">
        <v>2</v>
      </c>
      <c r="E2220" s="1144">
        <v>3</v>
      </c>
      <c r="F2220" s="1138"/>
      <c r="G2220" s="1138"/>
      <c r="H2220" s="1146"/>
      <c r="I2220" s="1138"/>
      <c r="J2220" s="1144">
        <v>652.625</v>
      </c>
      <c r="K2220" s="1138">
        <f>(E2220+F2220+G2220+H2220+I2220)*J2220</f>
        <v>1957.875</v>
      </c>
    </row>
    <row r="2221" spans="1:11">
      <c r="A2221" s="1138">
        <v>27</v>
      </c>
      <c r="B2221" s="1139" t="s">
        <v>360</v>
      </c>
      <c r="C2221" s="1173" t="s">
        <v>2817</v>
      </c>
      <c r="D2221" s="1142" t="s">
        <v>2</v>
      </c>
      <c r="E2221" s="1142">
        <v>2</v>
      </c>
      <c r="F2221" s="1138"/>
      <c r="G2221" s="1138"/>
      <c r="H2221" s="1138"/>
      <c r="I2221" s="1138"/>
      <c r="J2221" s="1150">
        <v>11293.25</v>
      </c>
      <c r="K2221" s="1138">
        <f t="shared" si="114"/>
        <v>22586.5</v>
      </c>
    </row>
    <row r="2222" spans="1:11">
      <c r="A2222" s="1138">
        <v>28</v>
      </c>
      <c r="B2222" s="1139" t="s">
        <v>652</v>
      </c>
      <c r="C2222" s="1162" t="s">
        <v>2818</v>
      </c>
      <c r="D2222" s="1141" t="s">
        <v>2</v>
      </c>
      <c r="E2222" s="1142">
        <v>2</v>
      </c>
      <c r="F2222" s="1138"/>
      <c r="G2222" s="1138"/>
      <c r="H2222" s="1138"/>
      <c r="I2222" s="1138"/>
      <c r="J2222" s="1143">
        <v>9023.25</v>
      </c>
      <c r="K2222" s="1138">
        <f t="shared" si="114"/>
        <v>18046.5</v>
      </c>
    </row>
    <row r="2223" spans="1:11">
      <c r="A2223" s="1138">
        <v>29</v>
      </c>
      <c r="B2223" s="1139" t="s">
        <v>649</v>
      </c>
      <c r="C2223" s="1162" t="s">
        <v>2819</v>
      </c>
      <c r="D2223" s="1141" t="s">
        <v>2</v>
      </c>
      <c r="E2223" s="1142">
        <v>1</v>
      </c>
      <c r="F2223" s="1138"/>
      <c r="G2223" s="1138"/>
      <c r="H2223" s="1138"/>
      <c r="I2223" s="1138"/>
      <c r="J2223" s="1143">
        <v>28329.599999999999</v>
      </c>
      <c r="K2223" s="1138">
        <f t="shared" si="114"/>
        <v>28329.599999999999</v>
      </c>
    </row>
    <row r="2224" spans="1:11">
      <c r="A2224" s="1138">
        <v>30</v>
      </c>
      <c r="B2224" s="1139" t="s">
        <v>1067</v>
      </c>
      <c r="C2224" s="1162" t="s">
        <v>2820</v>
      </c>
      <c r="D2224" s="1141" t="s">
        <v>2</v>
      </c>
      <c r="E2224" s="1142">
        <v>2</v>
      </c>
      <c r="F2224" s="1138"/>
      <c r="G2224" s="1138"/>
      <c r="H2224" s="1138"/>
      <c r="I2224" s="1138"/>
      <c r="J2224" s="1143">
        <v>27217.3</v>
      </c>
      <c r="K2224" s="1138">
        <f>(E2224+F2224+G2224+H2224+I2224)*J2224</f>
        <v>54434.6</v>
      </c>
    </row>
    <row r="2225" spans="1:11">
      <c r="A2225" s="1138">
        <v>31</v>
      </c>
      <c r="B2225" s="1139" t="s">
        <v>771</v>
      </c>
      <c r="C2225" s="1162" t="s">
        <v>2821</v>
      </c>
      <c r="D2225" s="1141" t="s">
        <v>2</v>
      </c>
      <c r="E2225" s="1142">
        <v>5</v>
      </c>
      <c r="F2225" s="1138"/>
      <c r="G2225" s="1138"/>
      <c r="H2225" s="1138"/>
      <c r="I2225" s="1138"/>
      <c r="J2225" s="1176">
        <v>8266.9883000000009</v>
      </c>
      <c r="K2225" s="1138">
        <f t="shared" si="114"/>
        <v>41334.941500000001</v>
      </c>
    </row>
    <row r="2226" spans="1:11">
      <c r="A2226" s="1138">
        <v>32</v>
      </c>
      <c r="B2226" s="1139" t="s">
        <v>305</v>
      </c>
      <c r="C2226" s="1162" t="s">
        <v>2822</v>
      </c>
      <c r="D2226" s="1141" t="s">
        <v>2</v>
      </c>
      <c r="E2226" s="1142">
        <v>3</v>
      </c>
      <c r="F2226" s="1138"/>
      <c r="G2226" s="1138"/>
      <c r="H2226" s="1146"/>
      <c r="I2226" s="1138"/>
      <c r="J2226" s="1143">
        <v>7922.3</v>
      </c>
      <c r="K2226" s="1138">
        <f t="shared" si="114"/>
        <v>23766.9</v>
      </c>
    </row>
    <row r="2227" spans="1:11">
      <c r="A2227" s="1138">
        <v>33</v>
      </c>
      <c r="B2227" s="1139" t="s">
        <v>661</v>
      </c>
      <c r="C2227" s="1162" t="s">
        <v>2823</v>
      </c>
      <c r="D2227" s="1141" t="s">
        <v>2</v>
      </c>
      <c r="E2227" s="1142">
        <v>12</v>
      </c>
      <c r="F2227" s="1138"/>
      <c r="G2227" s="1138"/>
      <c r="H2227" s="1146"/>
      <c r="I2227" s="1138"/>
      <c r="J2227" s="1170">
        <v>3489.2150000000001</v>
      </c>
      <c r="K2227" s="1138">
        <f t="shared" si="114"/>
        <v>41870.58</v>
      </c>
    </row>
    <row r="2228" spans="1:11">
      <c r="A2228" s="1138">
        <v>34</v>
      </c>
      <c r="B2228" s="1139" t="s">
        <v>313</v>
      </c>
      <c r="C2228" s="1162" t="s">
        <v>2824</v>
      </c>
      <c r="D2228" s="1168" t="s">
        <v>2</v>
      </c>
      <c r="E2228" s="1142">
        <v>3</v>
      </c>
      <c r="F2228" s="1138"/>
      <c r="G2228" s="1138"/>
      <c r="H2228" s="1138"/>
      <c r="I2228" s="1138"/>
      <c r="J2228" s="1177">
        <v>5211.92</v>
      </c>
      <c r="K2228" s="1138">
        <f t="shared" si="114"/>
        <v>15635.76</v>
      </c>
    </row>
    <row r="2229" spans="1:11">
      <c r="A2229" s="1138">
        <v>35</v>
      </c>
      <c r="B2229" s="1139" t="s">
        <v>2825</v>
      </c>
      <c r="C2229" s="1162" t="s">
        <v>2826</v>
      </c>
      <c r="D2229" s="1147" t="s">
        <v>2</v>
      </c>
      <c r="E2229" s="1142">
        <v>1</v>
      </c>
      <c r="F2229" s="1138"/>
      <c r="G2229" s="1138"/>
      <c r="H2229" s="1138"/>
      <c r="I2229" s="1138"/>
      <c r="J2229" s="1148">
        <v>13614.325000000001</v>
      </c>
      <c r="K2229" s="1138">
        <f t="shared" si="114"/>
        <v>13614.325000000001</v>
      </c>
    </row>
    <row r="2230" spans="1:11" ht="25.5">
      <c r="A2230" s="1138">
        <v>36</v>
      </c>
      <c r="B2230" s="1139" t="s">
        <v>2827</v>
      </c>
      <c r="C2230" s="1162" t="s">
        <v>2828</v>
      </c>
      <c r="D2230" s="1141" t="s">
        <v>2</v>
      </c>
      <c r="E2230" s="1144">
        <v>3</v>
      </c>
      <c r="F2230" s="1138"/>
      <c r="G2230" s="1138"/>
      <c r="H2230" s="1138"/>
      <c r="I2230" s="1138"/>
      <c r="J2230" s="1143">
        <v>2831.83</v>
      </c>
      <c r="K2230" s="1138">
        <f>(E2230+F2230+G2230+H2230+I2230)*J2230</f>
        <v>8495.49</v>
      </c>
    </row>
    <row r="2231" spans="1:11">
      <c r="A2231" s="1138">
        <v>37</v>
      </c>
      <c r="B2231" s="1139" t="s">
        <v>663</v>
      </c>
      <c r="C2231" s="1162" t="s">
        <v>2048</v>
      </c>
      <c r="D2231" s="1141" t="s">
        <v>552</v>
      </c>
      <c r="E2231" s="1142">
        <v>17</v>
      </c>
      <c r="F2231" s="1138"/>
      <c r="G2231" s="1138"/>
      <c r="H2231" s="1138"/>
      <c r="I2231" s="1138"/>
      <c r="J2231" s="1143">
        <v>3852.7</v>
      </c>
      <c r="K2231" s="1138">
        <f t="shared" si="114"/>
        <v>65495.899999999994</v>
      </c>
    </row>
    <row r="2232" spans="1:11">
      <c r="A2232" s="1138">
        <v>38</v>
      </c>
      <c r="B2232" s="1139" t="s">
        <v>2829</v>
      </c>
      <c r="C2232" s="1162" t="s">
        <v>2830</v>
      </c>
      <c r="D2232" s="1141" t="s">
        <v>2</v>
      </c>
      <c r="E2232" s="1142">
        <v>3</v>
      </c>
      <c r="F2232" s="1138"/>
      <c r="G2232" s="1138"/>
      <c r="H2232" s="1138"/>
      <c r="I2232" s="1138"/>
      <c r="J2232" s="1143">
        <v>3393.65</v>
      </c>
      <c r="K2232" s="1138">
        <f t="shared" si="114"/>
        <v>10180.950000000001</v>
      </c>
    </row>
    <row r="2233" spans="1:11">
      <c r="A2233" s="1138">
        <v>39</v>
      </c>
      <c r="B2233" s="1165" t="s">
        <v>311</v>
      </c>
      <c r="C2233" s="1166" t="s">
        <v>2831</v>
      </c>
      <c r="D2233" s="1167" t="s">
        <v>2</v>
      </c>
      <c r="E2233" s="1155">
        <v>5</v>
      </c>
      <c r="F2233" s="1156"/>
      <c r="G2233" s="1156"/>
      <c r="H2233" s="1156"/>
      <c r="I2233" s="1155"/>
      <c r="J2233" s="1157">
        <v>7543.74</v>
      </c>
      <c r="K2233" s="1145">
        <f>(E2233+F2233+G2233+H2233+I2233)*J2233</f>
        <v>37718.699999999997</v>
      </c>
    </row>
    <row r="2234" spans="1:11">
      <c r="A2234" s="1138">
        <v>40</v>
      </c>
      <c r="B2234" s="1139" t="s">
        <v>2832</v>
      </c>
      <c r="C2234" s="1175" t="s">
        <v>2833</v>
      </c>
      <c r="D2234" s="1141" t="s">
        <v>2</v>
      </c>
      <c r="E2234" s="1144">
        <v>5</v>
      </c>
      <c r="F2234" s="1138"/>
      <c r="G2234" s="1138"/>
      <c r="H2234" s="1146"/>
      <c r="I2234" s="1138"/>
      <c r="J2234" s="1144">
        <v>2831.8249999999998</v>
      </c>
      <c r="K2234" s="1138">
        <f>(E2234+F2234+G2234+H2234+I2234)*J2234</f>
        <v>14159.125</v>
      </c>
    </row>
    <row r="2235" spans="1:11" ht="25.5">
      <c r="A2235" s="1138">
        <v>41</v>
      </c>
      <c r="B2235" s="1139" t="s">
        <v>2834</v>
      </c>
      <c r="C2235" s="1162" t="s">
        <v>2835</v>
      </c>
      <c r="D2235" s="1141" t="s">
        <v>2</v>
      </c>
      <c r="E2235" s="1144">
        <v>2</v>
      </c>
      <c r="F2235" s="1138"/>
      <c r="G2235" s="1138"/>
      <c r="H2235" s="1138"/>
      <c r="I2235" s="1138"/>
      <c r="J2235" s="1144">
        <v>1401</v>
      </c>
      <c r="K2235" s="1138">
        <f>(E2235+F2235+G2235+H2235+I2235)*J2235</f>
        <v>2802</v>
      </c>
    </row>
    <row r="2236" spans="1:11">
      <c r="A2236" s="1138">
        <v>42</v>
      </c>
      <c r="B2236" s="1178" t="s">
        <v>2836</v>
      </c>
      <c r="C2236" s="1162" t="s">
        <v>2837</v>
      </c>
      <c r="D2236" s="1141" t="s">
        <v>2</v>
      </c>
      <c r="E2236" s="1144">
        <v>1</v>
      </c>
      <c r="F2236" s="1138"/>
      <c r="G2236" s="1138"/>
      <c r="H2236" s="1138"/>
      <c r="I2236" s="1138"/>
      <c r="J2236" s="1143">
        <v>4301.6499999999996</v>
      </c>
      <c r="K2236" s="1138">
        <f>(E2236+F2236+G2236+H2236+I2236)*J2236</f>
        <v>4301.6499999999996</v>
      </c>
    </row>
    <row r="2237" spans="1:11">
      <c r="A2237" s="1138">
        <v>43</v>
      </c>
      <c r="B2237" s="1179"/>
      <c r="C2237" s="1162" t="s">
        <v>2838</v>
      </c>
      <c r="D2237" s="1141" t="s">
        <v>2</v>
      </c>
      <c r="E2237" s="1144">
        <v>5</v>
      </c>
      <c r="F2237" s="1138"/>
      <c r="G2237" s="1138"/>
      <c r="H2237" s="1138"/>
      <c r="I2237" s="1138"/>
      <c r="J2237" s="1143">
        <v>3382.3</v>
      </c>
      <c r="K2237" s="1138">
        <f>(E2237+F2237+G2237+H2237+I2237)*J2237</f>
        <v>16911.5</v>
      </c>
    </row>
    <row r="2238" spans="1:11">
      <c r="A2238" s="1138">
        <v>44</v>
      </c>
      <c r="B2238" s="1139" t="s">
        <v>202</v>
      </c>
      <c r="C2238" s="1162" t="s">
        <v>2839</v>
      </c>
      <c r="D2238" s="1141" t="s">
        <v>2</v>
      </c>
      <c r="E2238" s="1142">
        <v>1</v>
      </c>
      <c r="F2238" s="1138"/>
      <c r="G2238" s="1138"/>
      <c r="H2238" s="1138"/>
      <c r="I2238" s="1138"/>
      <c r="J2238" s="1143">
        <v>83178.2</v>
      </c>
      <c r="K2238" s="1138">
        <f t="shared" si="114"/>
        <v>83178.2</v>
      </c>
    </row>
    <row r="2239" spans="1:11">
      <c r="A2239" s="1138">
        <v>45</v>
      </c>
      <c r="B2239" s="1139" t="s">
        <v>315</v>
      </c>
      <c r="C2239" s="1162" t="s">
        <v>2840</v>
      </c>
      <c r="D2239" s="1168" t="s">
        <v>2</v>
      </c>
      <c r="E2239" s="1142">
        <v>1</v>
      </c>
      <c r="F2239" s="1138"/>
      <c r="G2239" s="1138"/>
      <c r="H2239" s="1138"/>
      <c r="I2239" s="1138"/>
      <c r="J2239" s="1180">
        <v>16720.8</v>
      </c>
      <c r="K2239" s="1138">
        <f t="shared" si="114"/>
        <v>16720.8</v>
      </c>
    </row>
    <row r="2240" spans="1:11">
      <c r="A2240" s="1138">
        <v>46</v>
      </c>
      <c r="B2240" s="1158" t="s">
        <v>2067</v>
      </c>
      <c r="C2240" s="1181" t="s">
        <v>2841</v>
      </c>
      <c r="D2240" s="1141" t="s">
        <v>2</v>
      </c>
      <c r="E2240" s="1144">
        <v>2</v>
      </c>
      <c r="F2240" s="1138"/>
      <c r="G2240" s="1138"/>
      <c r="H2240" s="1138"/>
      <c r="I2240" s="1138"/>
      <c r="J2240" s="1143">
        <v>6985.6</v>
      </c>
      <c r="K2240" s="1138">
        <f t="shared" si="114"/>
        <v>13971.2</v>
      </c>
    </row>
    <row r="2241" spans="1:11">
      <c r="A2241" s="1138">
        <v>47</v>
      </c>
      <c r="B2241" s="1158" t="s">
        <v>2069</v>
      </c>
      <c r="C2241" s="1181" t="s">
        <v>2842</v>
      </c>
      <c r="D2241" s="1141" t="s">
        <v>2</v>
      </c>
      <c r="E2241" s="1144">
        <v>3</v>
      </c>
      <c r="F2241" s="1138"/>
      <c r="G2241" s="1138"/>
      <c r="H2241" s="1138"/>
      <c r="I2241" s="1138"/>
      <c r="J2241" s="1143">
        <v>6985.6</v>
      </c>
      <c r="K2241" s="1138">
        <f t="shared" si="114"/>
        <v>20956.800000000003</v>
      </c>
    </row>
    <row r="2242" spans="1:11">
      <c r="A2242" s="1138">
        <v>48</v>
      </c>
      <c r="B2242" s="1146" t="s">
        <v>1133</v>
      </c>
      <c r="C2242" s="1162" t="s">
        <v>2843</v>
      </c>
      <c r="D2242" s="1147" t="s">
        <v>2</v>
      </c>
      <c r="E2242" s="1142">
        <v>3</v>
      </c>
      <c r="F2242" s="1138"/>
      <c r="G2242" s="1138"/>
      <c r="H2242" s="1138"/>
      <c r="I2242" s="1138"/>
      <c r="J2242" s="1148">
        <v>5141.05</v>
      </c>
      <c r="K2242" s="1138">
        <f t="shared" si="114"/>
        <v>15423.150000000001</v>
      </c>
    </row>
    <row r="2243" spans="1:11">
      <c r="A2243" s="1138">
        <v>49</v>
      </c>
      <c r="B2243" s="1146" t="s">
        <v>298</v>
      </c>
      <c r="C2243" s="1162" t="s">
        <v>2844</v>
      </c>
      <c r="D2243" s="1147" t="s">
        <v>2</v>
      </c>
      <c r="E2243" s="1142">
        <v>2</v>
      </c>
      <c r="F2243" s="1138"/>
      <c r="G2243" s="1138"/>
      <c r="H2243" s="1138"/>
      <c r="I2243" s="1138"/>
      <c r="J2243" s="1148">
        <v>5141.05</v>
      </c>
      <c r="K2243" s="1138">
        <f t="shared" si="114"/>
        <v>10282.1</v>
      </c>
    </row>
    <row r="2244" spans="1:11">
      <c r="A2244" s="1138">
        <v>50</v>
      </c>
      <c r="B2244" s="1139" t="s">
        <v>2845</v>
      </c>
      <c r="C2244" s="1181" t="s">
        <v>2846</v>
      </c>
      <c r="D2244" s="1141" t="s">
        <v>2</v>
      </c>
      <c r="E2244" s="1144">
        <v>5</v>
      </c>
      <c r="F2244" s="1138"/>
      <c r="G2244" s="1138"/>
      <c r="H2244" s="1138"/>
      <c r="I2244" s="1138"/>
      <c r="J2244" s="1143">
        <v>6979.7</v>
      </c>
      <c r="K2244" s="1138">
        <f t="shared" si="114"/>
        <v>34898.5</v>
      </c>
    </row>
    <row r="2245" spans="1:11">
      <c r="A2245" s="1138">
        <v>51</v>
      </c>
      <c r="B2245" s="1139" t="s">
        <v>2847</v>
      </c>
      <c r="C2245" s="1181" t="s">
        <v>2848</v>
      </c>
      <c r="D2245" s="1141" t="s">
        <v>2</v>
      </c>
      <c r="E2245" s="1144">
        <v>4</v>
      </c>
      <c r="F2245" s="1138"/>
      <c r="G2245" s="1138"/>
      <c r="H2245" s="1138"/>
      <c r="I2245" s="1138"/>
      <c r="J2245" s="1143">
        <v>6979.7</v>
      </c>
      <c r="K2245" s="1145">
        <f t="shared" si="114"/>
        <v>27918.799999999999</v>
      </c>
    </row>
    <row r="2246" spans="1:11">
      <c r="A2246" s="1138">
        <v>52</v>
      </c>
      <c r="B2246" s="1139" t="s">
        <v>2849</v>
      </c>
      <c r="C2246" s="1162" t="s">
        <v>2850</v>
      </c>
      <c r="D2246" s="1141" t="s">
        <v>2</v>
      </c>
      <c r="E2246" s="1142">
        <v>5</v>
      </c>
      <c r="F2246" s="1138"/>
      <c r="G2246" s="1138"/>
      <c r="H2246" s="1138"/>
      <c r="I2246" s="1138"/>
      <c r="J2246" s="1143">
        <v>703.28</v>
      </c>
      <c r="K2246" s="1138">
        <f t="shared" si="114"/>
        <v>3516.3999999999996</v>
      </c>
    </row>
    <row r="2247" spans="1:11">
      <c r="A2247" s="1138">
        <v>53</v>
      </c>
      <c r="B2247" s="1139" t="s">
        <v>2851</v>
      </c>
      <c r="C2247" s="1162" t="s">
        <v>2852</v>
      </c>
      <c r="D2247" s="1141" t="s">
        <v>2</v>
      </c>
      <c r="E2247" s="1142">
        <v>2</v>
      </c>
      <c r="F2247" s="1138"/>
      <c r="G2247" s="1138"/>
      <c r="H2247" s="1138"/>
      <c r="I2247" s="1138"/>
      <c r="J2247" s="1143">
        <v>703.28</v>
      </c>
      <c r="K2247" s="1138">
        <f t="shared" si="114"/>
        <v>1406.56</v>
      </c>
    </row>
    <row r="2248" spans="1:11">
      <c r="A2248" s="1138">
        <v>54</v>
      </c>
      <c r="B2248" s="1139" t="s">
        <v>2853</v>
      </c>
      <c r="C2248" s="1162" t="s">
        <v>2854</v>
      </c>
      <c r="D2248" s="1141" t="s">
        <v>2</v>
      </c>
      <c r="E2248" s="1142">
        <v>2</v>
      </c>
      <c r="F2248" s="1138"/>
      <c r="G2248" s="1138"/>
      <c r="H2248" s="1138"/>
      <c r="I2248" s="1138"/>
      <c r="J2248" s="1143">
        <v>703.28</v>
      </c>
      <c r="K2248" s="1182">
        <f t="shared" si="114"/>
        <v>1406.56</v>
      </c>
    </row>
    <row r="2249" spans="1:11">
      <c r="A2249" s="1138">
        <v>55</v>
      </c>
      <c r="B2249" s="1139" t="s">
        <v>2855</v>
      </c>
      <c r="C2249" s="1162" t="s">
        <v>2856</v>
      </c>
      <c r="D2249" s="1141" t="s">
        <v>2</v>
      </c>
      <c r="E2249" s="1142">
        <v>1</v>
      </c>
      <c r="F2249" s="1138"/>
      <c r="G2249" s="1138"/>
      <c r="H2249" s="1138"/>
      <c r="I2249" s="1138"/>
      <c r="J2249" s="1150">
        <v>540</v>
      </c>
      <c r="K2249" s="1138">
        <f t="shared" si="114"/>
        <v>540</v>
      </c>
    </row>
    <row r="2250" spans="1:11">
      <c r="A2250" s="1138">
        <v>56</v>
      </c>
      <c r="B2250" s="1139" t="s">
        <v>2857</v>
      </c>
      <c r="C2250" s="1162" t="s">
        <v>2858</v>
      </c>
      <c r="D2250" s="1141" t="s">
        <v>2</v>
      </c>
      <c r="E2250" s="1142">
        <v>1</v>
      </c>
      <c r="F2250" s="1138"/>
      <c r="G2250" s="1138"/>
      <c r="H2250" s="1138"/>
      <c r="I2250" s="1138"/>
      <c r="J2250" s="1150">
        <v>700</v>
      </c>
      <c r="K2250" s="1138">
        <f t="shared" si="114"/>
        <v>700</v>
      </c>
    </row>
    <row r="2251" spans="1:11">
      <c r="A2251" s="1138">
        <v>57</v>
      </c>
      <c r="B2251" s="1165" t="s">
        <v>237</v>
      </c>
      <c r="C2251" s="1166" t="s">
        <v>2859</v>
      </c>
      <c r="D2251" s="1168" t="s">
        <v>2</v>
      </c>
      <c r="E2251" s="1155">
        <v>24</v>
      </c>
      <c r="F2251" s="1156"/>
      <c r="G2251" s="1156"/>
      <c r="H2251" s="1156"/>
      <c r="I2251" s="1155"/>
      <c r="J2251" s="1157">
        <v>1649.64</v>
      </c>
      <c r="K2251" s="1145">
        <f>(E2251+F2251+G2251+H2251+I2251)*J2251</f>
        <v>39591.360000000001</v>
      </c>
    </row>
    <row r="2252" spans="1:11">
      <c r="A2252" s="1138">
        <v>58</v>
      </c>
      <c r="B2252" s="1165" t="s">
        <v>2860</v>
      </c>
      <c r="C2252" s="1166" t="s">
        <v>2861</v>
      </c>
      <c r="D2252" s="1168" t="s">
        <v>2</v>
      </c>
      <c r="E2252" s="1155">
        <v>12</v>
      </c>
      <c r="F2252" s="1156"/>
      <c r="G2252" s="1156"/>
      <c r="H2252" s="1156"/>
      <c r="I2252" s="1155"/>
      <c r="J2252" s="1157">
        <v>18526</v>
      </c>
      <c r="K2252" s="1145">
        <f>(E2252+F2252+G2252+H2252+I2252)*J2252</f>
        <v>222312</v>
      </c>
    </row>
    <row r="2253" spans="1:11">
      <c r="A2253" s="1138">
        <v>59</v>
      </c>
      <c r="B2253" s="1139" t="s">
        <v>380</v>
      </c>
      <c r="C2253" s="1173" t="s">
        <v>2862</v>
      </c>
      <c r="D2253" s="1141" t="s">
        <v>2</v>
      </c>
      <c r="E2253" s="1142">
        <v>6</v>
      </c>
      <c r="F2253" s="1138"/>
      <c r="G2253" s="1138"/>
      <c r="H2253" s="1138"/>
      <c r="I2253" s="1138"/>
      <c r="J2253" s="1150">
        <v>3400.46</v>
      </c>
      <c r="K2253" s="1138">
        <f t="shared" si="114"/>
        <v>20402.760000000002</v>
      </c>
    </row>
    <row r="2254" spans="1:11">
      <c r="A2254" s="1138">
        <v>60</v>
      </c>
      <c r="B2254" s="1139" t="s">
        <v>382</v>
      </c>
      <c r="C2254" s="1173" t="s">
        <v>2863</v>
      </c>
      <c r="D2254" s="1141" t="s">
        <v>2</v>
      </c>
      <c r="E2254" s="1142">
        <v>3</v>
      </c>
      <c r="F2254" s="1138"/>
      <c r="G2254" s="1138"/>
      <c r="H2254" s="1138"/>
      <c r="I2254" s="1138"/>
      <c r="J2254" s="1150">
        <v>4653.5</v>
      </c>
      <c r="K2254" s="1138">
        <f t="shared" si="114"/>
        <v>13960.5</v>
      </c>
    </row>
    <row r="2255" spans="1:11">
      <c r="A2255" s="1138">
        <v>61</v>
      </c>
      <c r="B2255" s="1139" t="s">
        <v>2092</v>
      </c>
      <c r="C2255" s="1173" t="s">
        <v>2864</v>
      </c>
      <c r="D2255" s="1141" t="s">
        <v>2</v>
      </c>
      <c r="E2255" s="1142">
        <v>5</v>
      </c>
      <c r="F2255" s="1138"/>
      <c r="G2255" s="1138"/>
      <c r="H2255" s="1138"/>
      <c r="I2255" s="1138"/>
      <c r="J2255" s="1150">
        <v>6800</v>
      </c>
      <c r="K2255" s="1138">
        <f t="shared" si="114"/>
        <v>34000</v>
      </c>
    </row>
    <row r="2256" spans="1:11">
      <c r="A2256" s="1138">
        <v>62</v>
      </c>
      <c r="B2256" s="1139" t="s">
        <v>1306</v>
      </c>
      <c r="C2256" s="1173" t="s">
        <v>2865</v>
      </c>
      <c r="D2256" s="1141" t="s">
        <v>2</v>
      </c>
      <c r="E2256" s="1142">
        <v>10</v>
      </c>
      <c r="F2256" s="1138"/>
      <c r="G2256" s="1138"/>
      <c r="H2256" s="1138"/>
      <c r="I2256" s="1138"/>
      <c r="J2256" s="1150">
        <v>3575.3</v>
      </c>
      <c r="K2256" s="1138">
        <f t="shared" si="114"/>
        <v>35753</v>
      </c>
    </row>
    <row r="2257" spans="1:11">
      <c r="A2257" s="1138">
        <v>63</v>
      </c>
      <c r="B2257" s="1139" t="s">
        <v>2866</v>
      </c>
      <c r="C2257" s="1162" t="s">
        <v>2867</v>
      </c>
      <c r="D2257" s="1168" t="s">
        <v>2</v>
      </c>
      <c r="E2257" s="1142">
        <v>10</v>
      </c>
      <c r="F2257" s="1138"/>
      <c r="G2257" s="1138"/>
      <c r="H2257" s="1138"/>
      <c r="I2257" s="1138"/>
      <c r="J2257" s="1177">
        <v>3121.3</v>
      </c>
      <c r="K2257" s="1138">
        <f t="shared" si="114"/>
        <v>31213</v>
      </c>
    </row>
    <row r="2258" spans="1:11">
      <c r="A2258" s="1138">
        <v>64</v>
      </c>
      <c r="B2258" s="1183" t="s">
        <v>689</v>
      </c>
      <c r="C2258" s="1166" t="s">
        <v>2868</v>
      </c>
      <c r="D2258" s="1167" t="s">
        <v>2</v>
      </c>
      <c r="E2258" s="1155">
        <v>5</v>
      </c>
      <c r="F2258" s="1156"/>
      <c r="G2258" s="1156"/>
      <c r="H2258" s="1156"/>
      <c r="I2258" s="1155"/>
      <c r="J2258" s="1157">
        <v>2820.2</v>
      </c>
      <c r="K2258" s="1145">
        <f>(E2258+F2258+G2258+H2258+I2258)*J2258</f>
        <v>14101</v>
      </c>
    </row>
    <row r="2259" spans="1:11">
      <c r="A2259" s="1138">
        <v>65</v>
      </c>
      <c r="B2259" s="1184"/>
      <c r="C2259" s="1181" t="s">
        <v>2869</v>
      </c>
      <c r="D2259" s="1141" t="s">
        <v>2</v>
      </c>
      <c r="E2259" s="1144">
        <v>5</v>
      </c>
      <c r="F2259" s="1138"/>
      <c r="G2259" s="1138"/>
      <c r="H2259" s="1138"/>
      <c r="I2259" s="1138"/>
      <c r="J2259" s="1143">
        <v>2339.94</v>
      </c>
      <c r="K2259" s="1138">
        <f>(E2259+F2259+G2259+H2259+I2259)*J2259</f>
        <v>11699.7</v>
      </c>
    </row>
    <row r="2260" spans="1:11">
      <c r="A2260" s="1138">
        <v>66</v>
      </c>
      <c r="B2260" s="1139" t="s">
        <v>2870</v>
      </c>
      <c r="C2260" s="1162" t="s">
        <v>2871</v>
      </c>
      <c r="D2260" s="1168" t="s">
        <v>2</v>
      </c>
      <c r="E2260" s="1142">
        <v>6</v>
      </c>
      <c r="F2260" s="1138"/>
      <c r="G2260" s="1138"/>
      <c r="H2260" s="1138"/>
      <c r="I2260" s="1138"/>
      <c r="J2260" s="1185">
        <v>1139.2750000000001</v>
      </c>
      <c r="K2260" s="1138">
        <f t="shared" si="114"/>
        <v>6835.6500000000005</v>
      </c>
    </row>
    <row r="2261" spans="1:11">
      <c r="A2261" s="1138">
        <v>67</v>
      </c>
      <c r="B2261" s="1139" t="s">
        <v>2872</v>
      </c>
      <c r="C2261" s="1173" t="s">
        <v>2873</v>
      </c>
      <c r="D2261" s="1141" t="s">
        <v>2</v>
      </c>
      <c r="E2261" s="1142">
        <v>2</v>
      </c>
      <c r="F2261" s="1138"/>
      <c r="G2261" s="1138"/>
      <c r="H2261" s="1138"/>
      <c r="I2261" s="1138"/>
      <c r="J2261" s="1150">
        <v>913.71</v>
      </c>
      <c r="K2261" s="1138">
        <f t="shared" si="114"/>
        <v>1827.42</v>
      </c>
    </row>
    <row r="2262" spans="1:11" ht="25.5">
      <c r="A2262" s="1138">
        <v>68</v>
      </c>
      <c r="B2262" s="1139" t="s">
        <v>2874</v>
      </c>
      <c r="C2262" s="1162" t="s">
        <v>2875</v>
      </c>
      <c r="D2262" s="1141" t="s">
        <v>2</v>
      </c>
      <c r="E2262" s="1144">
        <v>5</v>
      </c>
      <c r="F2262" s="1138"/>
      <c r="G2262" s="1138"/>
      <c r="H2262" s="1138"/>
      <c r="I2262" s="1138"/>
      <c r="J2262" s="1143">
        <v>4483.25</v>
      </c>
      <c r="K2262" s="1138">
        <f>(E2262+F2262+G2262+H2262+I2262)*J2262</f>
        <v>22416.25</v>
      </c>
    </row>
    <row r="2263" spans="1:11">
      <c r="A2263" s="1138">
        <v>69</v>
      </c>
      <c r="B2263" s="1152" t="s">
        <v>695</v>
      </c>
      <c r="C2263" s="1162" t="s">
        <v>2876</v>
      </c>
      <c r="D2263" s="1141" t="s">
        <v>2</v>
      </c>
      <c r="E2263" s="1144">
        <v>1</v>
      </c>
      <c r="F2263" s="1138"/>
      <c r="G2263" s="1138"/>
      <c r="H2263" s="1138"/>
      <c r="I2263" s="1138"/>
      <c r="J2263" s="1144">
        <v>68</v>
      </c>
      <c r="K2263" s="1138">
        <f>(E2263+F2263+G2263+H2263+I2263)*J2263</f>
        <v>68</v>
      </c>
    </row>
    <row r="2264" spans="1:11">
      <c r="A2264" s="1138">
        <v>70</v>
      </c>
      <c r="B2264" s="1152" t="s">
        <v>1206</v>
      </c>
      <c r="C2264" s="1162" t="s">
        <v>2877</v>
      </c>
      <c r="D2264" s="1141" t="s">
        <v>2</v>
      </c>
      <c r="E2264" s="1144">
        <v>7</v>
      </c>
      <c r="F2264" s="1138"/>
      <c r="G2264" s="1138"/>
      <c r="H2264" s="1138"/>
      <c r="I2264" s="1138"/>
      <c r="J2264" s="1144">
        <v>64</v>
      </c>
      <c r="K2264" s="1138">
        <f>(E2264+F2264+G2264+H2264+I2264)*J2264</f>
        <v>448</v>
      </c>
    </row>
    <row r="2265" spans="1:11">
      <c r="A2265" s="1138">
        <v>71</v>
      </c>
      <c r="B2265" s="1152" t="s">
        <v>2878</v>
      </c>
      <c r="C2265" s="1162" t="s">
        <v>2879</v>
      </c>
      <c r="D2265" s="1141" t="s">
        <v>2</v>
      </c>
      <c r="E2265" s="1144">
        <v>12</v>
      </c>
      <c r="F2265" s="1138"/>
      <c r="G2265" s="1138"/>
      <c r="H2265" s="1138"/>
      <c r="I2265" s="1138"/>
      <c r="J2265" s="1144">
        <v>62</v>
      </c>
      <c r="K2265" s="1138">
        <f>(E2265+F2265+G2265+H2265+I2265)*J2265</f>
        <v>744</v>
      </c>
    </row>
    <row r="2266" spans="1:11">
      <c r="A2266" s="1138">
        <v>72</v>
      </c>
      <c r="B2266" s="1152" t="s">
        <v>2880</v>
      </c>
      <c r="C2266" s="1162" t="s">
        <v>2881</v>
      </c>
      <c r="D2266" s="1168" t="s">
        <v>2</v>
      </c>
      <c r="E2266" s="1144">
        <v>9</v>
      </c>
      <c r="F2266" s="1138"/>
      <c r="G2266" s="1138"/>
      <c r="H2266" s="1138"/>
      <c r="I2266" s="1138"/>
      <c r="J2266" s="1144">
        <v>60</v>
      </c>
      <c r="K2266" s="1138">
        <f t="shared" ref="K2266:K2272" si="115">(E2266+F2266+G2266+H2266+I2266)*J2266</f>
        <v>540</v>
      </c>
    </row>
    <row r="2267" spans="1:11">
      <c r="A2267" s="1138">
        <v>73</v>
      </c>
      <c r="B2267" s="1183" t="s">
        <v>2882</v>
      </c>
      <c r="C2267" s="1162" t="s">
        <v>2883</v>
      </c>
      <c r="D2267" s="1141" t="s">
        <v>2</v>
      </c>
      <c r="E2267" s="1144">
        <v>4</v>
      </c>
      <c r="F2267" s="1138"/>
      <c r="G2267" s="1138"/>
      <c r="H2267" s="1146"/>
      <c r="I2267" s="1138"/>
      <c r="J2267" s="1144">
        <v>448.33</v>
      </c>
      <c r="K2267" s="1138">
        <f t="shared" si="115"/>
        <v>1793.32</v>
      </c>
    </row>
    <row r="2268" spans="1:11">
      <c r="A2268" s="1138">
        <v>74</v>
      </c>
      <c r="B2268" s="1184"/>
      <c r="C2268" s="1162" t="s">
        <v>2884</v>
      </c>
      <c r="D2268" s="1141" t="s">
        <v>2</v>
      </c>
      <c r="E2268" s="1144">
        <v>6</v>
      </c>
      <c r="F2268" s="1138"/>
      <c r="G2268" s="1138"/>
      <c r="H2268" s="1146"/>
      <c r="I2268" s="1138"/>
      <c r="J2268" s="1144">
        <v>675.32500000000005</v>
      </c>
      <c r="K2268" s="1138">
        <f t="shared" si="115"/>
        <v>4051.9500000000003</v>
      </c>
    </row>
    <row r="2269" spans="1:11">
      <c r="A2269" s="1138">
        <v>75</v>
      </c>
      <c r="B2269" s="1152" t="s">
        <v>2885</v>
      </c>
      <c r="C2269" s="1162" t="s">
        <v>2886</v>
      </c>
      <c r="D2269" s="1141" t="s">
        <v>2</v>
      </c>
      <c r="E2269" s="1144">
        <v>2</v>
      </c>
      <c r="F2269" s="1138"/>
      <c r="G2269" s="1138"/>
      <c r="H2269" s="1138"/>
      <c r="I2269" s="1138"/>
      <c r="J2269" s="1144">
        <v>675.32500000000005</v>
      </c>
      <c r="K2269" s="1138">
        <f t="shared" si="115"/>
        <v>1350.65</v>
      </c>
    </row>
    <row r="2270" spans="1:11">
      <c r="A2270" s="1138">
        <v>76</v>
      </c>
      <c r="B2270" s="1152" t="s">
        <v>2887</v>
      </c>
      <c r="C2270" s="1162" t="s">
        <v>2888</v>
      </c>
      <c r="D2270" s="1141" t="s">
        <v>2</v>
      </c>
      <c r="E2270" s="1144">
        <v>5</v>
      </c>
      <c r="F2270" s="1138"/>
      <c r="G2270" s="1138"/>
      <c r="H2270" s="1146"/>
      <c r="I2270" s="1138"/>
      <c r="J2270" s="1144">
        <v>675.32500000000005</v>
      </c>
      <c r="K2270" s="1138">
        <f t="shared" si="115"/>
        <v>3376.625</v>
      </c>
    </row>
    <row r="2271" spans="1:11">
      <c r="A2271" s="1138">
        <v>77</v>
      </c>
      <c r="B2271" s="1152" t="s">
        <v>2889</v>
      </c>
      <c r="C2271" s="1162" t="s">
        <v>2890</v>
      </c>
      <c r="D2271" s="1141" t="s">
        <v>2</v>
      </c>
      <c r="E2271" s="1144">
        <v>5</v>
      </c>
      <c r="F2271" s="1138"/>
      <c r="G2271" s="1138"/>
      <c r="H2271" s="1138"/>
      <c r="I2271" s="1138"/>
      <c r="J2271" s="1144">
        <v>681</v>
      </c>
      <c r="K2271" s="1138">
        <f t="shared" si="115"/>
        <v>3405</v>
      </c>
    </row>
    <row r="2272" spans="1:11">
      <c r="A2272" s="1138">
        <v>78</v>
      </c>
      <c r="B2272" s="1183" t="s">
        <v>2115</v>
      </c>
      <c r="C2272" s="1162" t="s">
        <v>2891</v>
      </c>
      <c r="D2272" s="1168" t="s">
        <v>2</v>
      </c>
      <c r="E2272" s="1144">
        <v>8</v>
      </c>
      <c r="F2272" s="1138"/>
      <c r="G2272" s="1138"/>
      <c r="H2272" s="1146"/>
      <c r="I2272" s="1138"/>
      <c r="J2272" s="1144">
        <v>448.33</v>
      </c>
      <c r="K2272" s="1138">
        <f t="shared" si="115"/>
        <v>3586.64</v>
      </c>
    </row>
    <row r="2273" spans="1:11">
      <c r="A2273" s="1138">
        <v>79</v>
      </c>
      <c r="B2273" s="1184"/>
      <c r="C2273" s="1162" t="s">
        <v>2892</v>
      </c>
      <c r="D2273" s="1141" t="s">
        <v>2</v>
      </c>
      <c r="E2273" s="1144">
        <v>4</v>
      </c>
      <c r="F2273" s="1138"/>
      <c r="G2273" s="1138"/>
      <c r="H2273" s="1138"/>
      <c r="I2273" s="1138"/>
      <c r="J2273" s="1144">
        <v>675.32500000000005</v>
      </c>
      <c r="K2273" s="1138">
        <f>(E2273+F2273+G2273+H2273+I2273)*J2273</f>
        <v>2701.3</v>
      </c>
    </row>
    <row r="2274" spans="1:11" ht="38.25">
      <c r="A2274" s="1138">
        <v>80</v>
      </c>
      <c r="B2274" s="1186" t="s">
        <v>2893</v>
      </c>
      <c r="C2274" s="1162" t="s">
        <v>2894</v>
      </c>
      <c r="D2274" s="1141" t="s">
        <v>2</v>
      </c>
      <c r="E2274" s="1144">
        <v>2</v>
      </c>
      <c r="F2274" s="1138"/>
      <c r="G2274" s="1138"/>
      <c r="H2274" s="1138"/>
      <c r="I2274" s="1138"/>
      <c r="J2274" s="1143">
        <v>11336.380000000001</v>
      </c>
      <c r="K2274" s="1138">
        <f>(E2274+F2274+G2274+H2274+I2274)*J2274</f>
        <v>22672.760000000002</v>
      </c>
    </row>
    <row r="2275" spans="1:11">
      <c r="A2275" s="1138">
        <v>81</v>
      </c>
      <c r="B2275" s="1139" t="s">
        <v>741</v>
      </c>
      <c r="C2275" s="1162" t="s">
        <v>2895</v>
      </c>
      <c r="D2275" s="1141" t="s">
        <v>2</v>
      </c>
      <c r="E2275" s="1142">
        <v>3</v>
      </c>
      <c r="F2275" s="1138"/>
      <c r="G2275" s="1138"/>
      <c r="H2275" s="1138"/>
      <c r="I2275" s="1138"/>
      <c r="J2275" s="1143">
        <v>13614.33</v>
      </c>
      <c r="K2275" s="1138">
        <f t="shared" si="114"/>
        <v>40842.99</v>
      </c>
    </row>
    <row r="2276" spans="1:11">
      <c r="A2276" s="1138">
        <v>82</v>
      </c>
      <c r="B2276" s="1139" t="s">
        <v>2145</v>
      </c>
      <c r="C2276" s="1162" t="s">
        <v>2896</v>
      </c>
      <c r="D2276" s="1141" t="s">
        <v>2</v>
      </c>
      <c r="E2276" s="1142">
        <v>3</v>
      </c>
      <c r="F2276" s="1138"/>
      <c r="G2276" s="1138"/>
      <c r="H2276" s="1138"/>
      <c r="I2276" s="1138"/>
      <c r="J2276" s="1143">
        <v>10430.65</v>
      </c>
      <c r="K2276" s="1138">
        <f t="shared" si="114"/>
        <v>31291.949999999997</v>
      </c>
    </row>
    <row r="2277" spans="1:11">
      <c r="A2277" s="1138">
        <v>83</v>
      </c>
      <c r="B2277" s="1152" t="s">
        <v>139</v>
      </c>
      <c r="C2277" s="1153" t="s">
        <v>1323</v>
      </c>
      <c r="D2277" s="1141" t="s">
        <v>34</v>
      </c>
      <c r="E2277" s="1144">
        <v>826</v>
      </c>
      <c r="F2277" s="1138"/>
      <c r="G2277" s="1138"/>
      <c r="H2277" s="1138"/>
      <c r="I2277" s="1138"/>
      <c r="J2277" s="1157">
        <v>50</v>
      </c>
      <c r="K2277" s="1145">
        <f>(E2277+F2277+G2277+H2277+I2277)*J2277</f>
        <v>41300</v>
      </c>
    </row>
    <row r="2278" spans="1:11">
      <c r="A2278" s="1138">
        <v>84</v>
      </c>
      <c r="B2278" s="1152" t="s">
        <v>738</v>
      </c>
      <c r="C2278" s="1153" t="s">
        <v>2897</v>
      </c>
      <c r="D2278" s="1141" t="s">
        <v>2</v>
      </c>
      <c r="E2278" s="1144">
        <v>13</v>
      </c>
      <c r="F2278" s="1138"/>
      <c r="G2278" s="1138"/>
      <c r="H2278" s="1138"/>
      <c r="I2278" s="1138"/>
      <c r="J2278" s="1157">
        <v>250</v>
      </c>
      <c r="K2278" s="1145">
        <f>(E2278+F2278+G2278+H2278+I2278)*J2278</f>
        <v>3250</v>
      </c>
    </row>
    <row r="2279" spans="1:11">
      <c r="A2279" s="1138">
        <v>85</v>
      </c>
      <c r="B2279" s="1139" t="s">
        <v>2898</v>
      </c>
      <c r="C2279" s="1162" t="s">
        <v>2899</v>
      </c>
      <c r="D2279" s="1141" t="s">
        <v>2</v>
      </c>
      <c r="E2279" s="1142">
        <v>1</v>
      </c>
      <c r="F2279" s="1138"/>
      <c r="G2279" s="1138"/>
      <c r="H2279" s="1146"/>
      <c r="I2279" s="1138"/>
      <c r="J2279" s="1170">
        <v>18154.325000000001</v>
      </c>
      <c r="K2279" s="1138">
        <f t="shared" si="114"/>
        <v>18154.325000000001</v>
      </c>
    </row>
    <row r="2280" spans="1:11">
      <c r="A2280" s="1138">
        <v>86</v>
      </c>
      <c r="B2280" s="1183" t="s">
        <v>713</v>
      </c>
      <c r="C2280" s="1166" t="s">
        <v>2900</v>
      </c>
      <c r="D2280" s="1167" t="s">
        <v>2</v>
      </c>
      <c r="E2280" s="1155">
        <v>7</v>
      </c>
      <c r="F2280" s="1156"/>
      <c r="G2280" s="1156"/>
      <c r="H2280" s="1156"/>
      <c r="I2280" s="1155"/>
      <c r="J2280" s="1157">
        <v>1652</v>
      </c>
      <c r="K2280" s="1145">
        <f t="shared" si="114"/>
        <v>11564</v>
      </c>
    </row>
    <row r="2281" spans="1:11">
      <c r="A2281" s="1138">
        <v>87</v>
      </c>
      <c r="B2281" s="1187"/>
      <c r="C2281" s="1166" t="s">
        <v>2901</v>
      </c>
      <c r="D2281" s="1168" t="s">
        <v>2</v>
      </c>
      <c r="E2281" s="1155">
        <v>5</v>
      </c>
      <c r="F2281" s="1156"/>
      <c r="G2281" s="1156"/>
      <c r="H2281" s="1156"/>
      <c r="I2281" s="1155"/>
      <c r="J2281" s="1157">
        <v>1469.1</v>
      </c>
      <c r="K2281" s="1145">
        <f>(E2281+F2281+G2281+H2281+I2281)*J2281</f>
        <v>7345.5</v>
      </c>
    </row>
    <row r="2282" spans="1:11">
      <c r="A2282" s="1138">
        <v>88</v>
      </c>
      <c r="B2282" s="1165" t="s">
        <v>2902</v>
      </c>
      <c r="C2282" s="1166" t="s">
        <v>2903</v>
      </c>
      <c r="D2282" s="1167" t="s">
        <v>2</v>
      </c>
      <c r="E2282" s="1155">
        <v>1</v>
      </c>
      <c r="F2282" s="1156"/>
      <c r="G2282" s="1156"/>
      <c r="H2282" s="1156"/>
      <c r="I2282" s="1155"/>
      <c r="J2282" s="1157">
        <v>33619.379999999997</v>
      </c>
      <c r="K2282" s="1145">
        <f t="shared" si="114"/>
        <v>33619.379999999997</v>
      </c>
    </row>
    <row r="2283" spans="1:11">
      <c r="A2283" s="1138">
        <v>89</v>
      </c>
      <c r="B2283" s="1165" t="s">
        <v>728</v>
      </c>
      <c r="C2283" s="1166" t="s">
        <v>2904</v>
      </c>
      <c r="D2283" s="1167" t="s">
        <v>462</v>
      </c>
      <c r="E2283" s="1155">
        <v>40</v>
      </c>
      <c r="F2283" s="1156"/>
      <c r="G2283" s="1156"/>
      <c r="H2283" s="1156"/>
      <c r="I2283" s="1155"/>
      <c r="J2283" s="1157">
        <v>595.9</v>
      </c>
      <c r="K2283" s="1145">
        <f t="shared" si="114"/>
        <v>23836</v>
      </c>
    </row>
    <row r="2284" spans="1:11">
      <c r="A2284" s="1138">
        <v>90</v>
      </c>
      <c r="B2284" s="1183" t="s">
        <v>2905</v>
      </c>
      <c r="C2284" s="1175" t="s">
        <v>2906</v>
      </c>
      <c r="D2284" s="1141" t="s">
        <v>2</v>
      </c>
      <c r="E2284" s="1144">
        <v>1</v>
      </c>
      <c r="F2284" s="1138"/>
      <c r="G2284" s="1138"/>
      <c r="H2284" s="1146"/>
      <c r="I2284" s="1138"/>
      <c r="J2284" s="1144">
        <v>2264.3249999999998</v>
      </c>
      <c r="K2284" s="1138">
        <f t="shared" si="114"/>
        <v>2264.3249999999998</v>
      </c>
    </row>
    <row r="2285" spans="1:11">
      <c r="A2285" s="1138">
        <v>91</v>
      </c>
      <c r="B2285" s="1187"/>
      <c r="C2285" s="1162" t="s">
        <v>2907</v>
      </c>
      <c r="D2285" s="1141" t="s">
        <v>2</v>
      </c>
      <c r="E2285" s="1144">
        <v>3</v>
      </c>
      <c r="F2285" s="1138"/>
      <c r="G2285" s="1138"/>
      <c r="H2285" s="1138"/>
      <c r="I2285" s="1138"/>
      <c r="J2285" s="1144">
        <v>1856.25</v>
      </c>
      <c r="K2285" s="1188">
        <f>(E2285+F2285+G2285+H2285+I2285)*J2285</f>
        <v>5568.75</v>
      </c>
    </row>
    <row r="2286" spans="1:11">
      <c r="A2286" s="1138">
        <v>92</v>
      </c>
      <c r="B2286" s="1187"/>
      <c r="C2286" s="1166" t="s">
        <v>2908</v>
      </c>
      <c r="D2286" s="1168" t="s">
        <v>2</v>
      </c>
      <c r="E2286" s="1155">
        <v>2</v>
      </c>
      <c r="F2286" s="1156"/>
      <c r="G2286" s="1156"/>
      <c r="H2286" s="1156"/>
      <c r="I2286" s="1155"/>
      <c r="J2286" s="1157">
        <v>1115.0999999999999</v>
      </c>
      <c r="K2286" s="1145">
        <f>(E2286+F2286+G2286+H2286+I2286)*J2286</f>
        <v>2230.1999999999998</v>
      </c>
    </row>
    <row r="2287" spans="1:11">
      <c r="A2287" s="1138">
        <v>93</v>
      </c>
      <c r="B2287" s="1187"/>
      <c r="C2287" s="1181" t="s">
        <v>2909</v>
      </c>
      <c r="D2287" s="1141" t="s">
        <v>2</v>
      </c>
      <c r="E2287" s="1144">
        <v>4</v>
      </c>
      <c r="F2287" s="1138"/>
      <c r="G2287" s="1138"/>
      <c r="H2287" s="1138"/>
      <c r="I2287" s="1138"/>
      <c r="J2287" s="1157">
        <v>12873.8</v>
      </c>
      <c r="K2287" s="1145">
        <f>(E2287+F2287+G2287+H2287+I2287)*J2287</f>
        <v>51495.199999999997</v>
      </c>
    </row>
    <row r="2288" spans="1:11">
      <c r="A2288" s="1138">
        <v>94</v>
      </c>
      <c r="B2288" s="1184"/>
      <c r="C2288" s="1162" t="s">
        <v>2910</v>
      </c>
      <c r="D2288" s="1141" t="s">
        <v>10</v>
      </c>
      <c r="E2288" s="1144">
        <v>27</v>
      </c>
      <c r="F2288" s="1138"/>
      <c r="G2288" s="1138"/>
      <c r="H2288" s="1146"/>
      <c r="I2288" s="1138"/>
      <c r="J2288" s="1143">
        <v>200</v>
      </c>
      <c r="K2288" s="1138">
        <f>(E2288+F2288+G2288+H2288+I2288)*J2288</f>
        <v>5400</v>
      </c>
    </row>
    <row r="2289" spans="1:11">
      <c r="A2289" s="1160" t="s">
        <v>1</v>
      </c>
      <c r="B2289" s="1161"/>
      <c r="C2289" s="1166"/>
      <c r="D2289" s="1168"/>
      <c r="E2289" s="1155"/>
      <c r="F2289" s="1156"/>
      <c r="G2289" s="1156"/>
      <c r="H2289" s="1156"/>
      <c r="I2289" s="1155"/>
      <c r="J2289" s="1157"/>
      <c r="K2289" s="1145"/>
    </row>
    <row r="2290" spans="1:11">
      <c r="A2290" s="1138">
        <v>1</v>
      </c>
      <c r="B2290" s="1183" t="s">
        <v>754</v>
      </c>
      <c r="C2290" s="1189" t="s">
        <v>2911</v>
      </c>
      <c r="D2290" s="1168" t="s">
        <v>2</v>
      </c>
      <c r="E2290" s="1180"/>
      <c r="F2290" s="1138"/>
      <c r="G2290" s="1138"/>
      <c r="H2290" s="1138"/>
      <c r="I2290" s="1190">
        <v>8</v>
      </c>
      <c r="J2290" s="1191">
        <v>500</v>
      </c>
      <c r="K2290" s="1192">
        <f t="shared" si="114"/>
        <v>4000</v>
      </c>
    </row>
    <row r="2291" spans="1:11">
      <c r="A2291" s="1138">
        <v>2</v>
      </c>
      <c r="B2291" s="1187"/>
      <c r="C2291" s="1189" t="s">
        <v>2912</v>
      </c>
      <c r="D2291" s="1141" t="s">
        <v>2</v>
      </c>
      <c r="E2291" s="1150"/>
      <c r="F2291" s="1138"/>
      <c r="G2291" s="1138"/>
      <c r="H2291" s="1138"/>
      <c r="I2291" s="1190">
        <v>156</v>
      </c>
      <c r="J2291" s="1193">
        <v>200</v>
      </c>
      <c r="K2291" s="1192">
        <f t="shared" si="114"/>
        <v>31200</v>
      </c>
    </row>
    <row r="2292" spans="1:11">
      <c r="A2292" s="1138">
        <v>3</v>
      </c>
      <c r="B2292" s="1187"/>
      <c r="C2292" s="1189" t="s">
        <v>2912</v>
      </c>
      <c r="D2292" s="1141" t="s">
        <v>2</v>
      </c>
      <c r="E2292" s="1150"/>
      <c r="F2292" s="1138"/>
      <c r="G2292" s="1138"/>
      <c r="H2292" s="1138"/>
      <c r="I2292" s="1190">
        <v>73</v>
      </c>
      <c r="J2292" s="1193">
        <v>250</v>
      </c>
      <c r="K2292" s="1192">
        <f t="shared" si="114"/>
        <v>18250</v>
      </c>
    </row>
    <row r="2293" spans="1:11">
      <c r="A2293" s="1138">
        <v>4</v>
      </c>
      <c r="B2293" s="1187"/>
      <c r="C2293" s="1189" t="s">
        <v>2913</v>
      </c>
      <c r="D2293" s="1141" t="s">
        <v>2</v>
      </c>
      <c r="E2293" s="1148"/>
      <c r="F2293" s="1138"/>
      <c r="G2293" s="1138"/>
      <c r="H2293" s="1138"/>
      <c r="I2293" s="1194">
        <v>2</v>
      </c>
      <c r="J2293" s="1195">
        <v>150</v>
      </c>
      <c r="K2293" s="1192">
        <f t="shared" si="114"/>
        <v>300</v>
      </c>
    </row>
    <row r="2294" spans="1:11">
      <c r="A2294" s="1138">
        <v>5</v>
      </c>
      <c r="B2294" s="1187"/>
      <c r="C2294" s="1189" t="s">
        <v>2914</v>
      </c>
      <c r="D2294" s="1141" t="s">
        <v>2</v>
      </c>
      <c r="E2294" s="1148"/>
      <c r="F2294" s="1138"/>
      <c r="G2294" s="1138"/>
      <c r="H2294" s="1138"/>
      <c r="I2294" s="1194">
        <v>4</v>
      </c>
      <c r="J2294" s="1195">
        <v>300</v>
      </c>
      <c r="K2294" s="1192">
        <f t="shared" si="114"/>
        <v>1200</v>
      </c>
    </row>
    <row r="2295" spans="1:11">
      <c r="A2295" s="1138">
        <v>6</v>
      </c>
      <c r="B2295" s="1187"/>
      <c r="C2295" s="1189" t="s">
        <v>2915</v>
      </c>
      <c r="D2295" s="1141" t="s">
        <v>2</v>
      </c>
      <c r="E2295" s="1148"/>
      <c r="F2295" s="1138"/>
      <c r="G2295" s="1138"/>
      <c r="H2295" s="1138"/>
      <c r="I2295" s="1194">
        <v>2</v>
      </c>
      <c r="J2295" s="1195">
        <v>675</v>
      </c>
      <c r="K2295" s="1192">
        <f>(E2295+F2295+G2295+H2295+I2295)*J2295</f>
        <v>1350</v>
      </c>
    </row>
    <row r="2296" spans="1:11">
      <c r="A2296" s="1138">
        <v>7</v>
      </c>
      <c r="B2296" s="1187"/>
      <c r="C2296" s="1189" t="s">
        <v>2916</v>
      </c>
      <c r="D2296" s="1141" t="s">
        <v>2</v>
      </c>
      <c r="E2296" s="1148"/>
      <c r="F2296" s="1138"/>
      <c r="G2296" s="1138"/>
      <c r="H2296" s="1138"/>
      <c r="I2296" s="1194">
        <v>2</v>
      </c>
      <c r="J2296" s="1195">
        <v>1650</v>
      </c>
      <c r="K2296" s="1192">
        <f t="shared" si="114"/>
        <v>3300</v>
      </c>
    </row>
    <row r="2297" spans="1:11">
      <c r="A2297" s="1138">
        <v>8</v>
      </c>
      <c r="B2297" s="1187"/>
      <c r="C2297" s="1189" t="s">
        <v>2917</v>
      </c>
      <c r="D2297" s="1141" t="s">
        <v>2</v>
      </c>
      <c r="E2297" s="1148"/>
      <c r="F2297" s="1138"/>
      <c r="G2297" s="1138"/>
      <c r="H2297" s="1138"/>
      <c r="I2297" s="1194">
        <v>2</v>
      </c>
      <c r="J2297" s="1195">
        <v>100</v>
      </c>
      <c r="K2297" s="1192">
        <f t="shared" si="114"/>
        <v>200</v>
      </c>
    </row>
    <row r="2298" spans="1:11">
      <c r="A2298" s="1138">
        <v>9</v>
      </c>
      <c r="B2298" s="1187"/>
      <c r="C2298" s="1189" t="s">
        <v>2918</v>
      </c>
      <c r="D2298" s="1141" t="s">
        <v>2</v>
      </c>
      <c r="E2298" s="1148"/>
      <c r="F2298" s="1138"/>
      <c r="G2298" s="1138"/>
      <c r="H2298" s="1138"/>
      <c r="I2298" s="1194">
        <v>4</v>
      </c>
      <c r="J2298" s="1195">
        <v>100</v>
      </c>
      <c r="K2298" s="1192">
        <f t="shared" si="114"/>
        <v>400</v>
      </c>
    </row>
    <row r="2299" spans="1:11">
      <c r="A2299" s="1138">
        <v>10</v>
      </c>
      <c r="B2299" s="1187"/>
      <c r="C2299" s="1189" t="s">
        <v>2918</v>
      </c>
      <c r="D2299" s="1141" t="s">
        <v>2</v>
      </c>
      <c r="E2299" s="1148"/>
      <c r="F2299" s="1138"/>
      <c r="G2299" s="1138"/>
      <c r="H2299" s="1138"/>
      <c r="I2299" s="1194">
        <v>10</v>
      </c>
      <c r="J2299" s="1195">
        <v>100</v>
      </c>
      <c r="K2299" s="1192">
        <f>(E2299+F2299+G2299+H2299+I2299)*J2299</f>
        <v>1000</v>
      </c>
    </row>
    <row r="2300" spans="1:11">
      <c r="A2300" s="1138">
        <v>11</v>
      </c>
      <c r="B2300" s="1187"/>
      <c r="C2300" s="1189" t="s">
        <v>2919</v>
      </c>
      <c r="D2300" s="1141" t="s">
        <v>2</v>
      </c>
      <c r="E2300" s="1148"/>
      <c r="F2300" s="1138"/>
      <c r="G2300" s="1138"/>
      <c r="H2300" s="1138"/>
      <c r="I2300" s="1194">
        <v>4</v>
      </c>
      <c r="J2300" s="1195">
        <v>250</v>
      </c>
      <c r="K2300" s="1196">
        <f t="shared" si="114"/>
        <v>1000</v>
      </c>
    </row>
    <row r="2301" spans="1:11">
      <c r="A2301" s="1138">
        <v>12</v>
      </c>
      <c r="B2301" s="1187"/>
      <c r="C2301" s="1189" t="s">
        <v>2920</v>
      </c>
      <c r="D2301" s="1141" t="s">
        <v>2</v>
      </c>
      <c r="E2301" s="1148"/>
      <c r="F2301" s="1138"/>
      <c r="G2301" s="1138"/>
      <c r="H2301" s="1138"/>
      <c r="I2301" s="1194">
        <v>1</v>
      </c>
      <c r="J2301" s="1195">
        <v>50</v>
      </c>
      <c r="K2301" s="1196">
        <f t="shared" si="114"/>
        <v>50</v>
      </c>
    </row>
    <row r="2302" spans="1:11">
      <c r="A2302" s="1138">
        <v>13</v>
      </c>
      <c r="B2302" s="1187"/>
      <c r="C2302" s="1189" t="s">
        <v>2921</v>
      </c>
      <c r="D2302" s="1141" t="s">
        <v>2</v>
      </c>
      <c r="E2302" s="1148"/>
      <c r="F2302" s="1138"/>
      <c r="G2302" s="1138"/>
      <c r="H2302" s="1138"/>
      <c r="I2302" s="1194">
        <v>1</v>
      </c>
      <c r="J2302" s="1195">
        <v>500</v>
      </c>
      <c r="K2302" s="1196">
        <f t="shared" si="114"/>
        <v>500</v>
      </c>
    </row>
    <row r="2303" spans="1:11">
      <c r="A2303" s="1138">
        <v>14</v>
      </c>
      <c r="B2303" s="1184"/>
      <c r="C2303" s="1189" t="s">
        <v>2922</v>
      </c>
      <c r="D2303" s="1141" t="s">
        <v>193</v>
      </c>
      <c r="E2303" s="1148"/>
      <c r="F2303" s="1138"/>
      <c r="G2303" s="1138"/>
      <c r="H2303" s="1138"/>
      <c r="I2303" s="1194">
        <v>70</v>
      </c>
      <c r="J2303" s="1195">
        <v>40</v>
      </c>
      <c r="K2303" s="1196">
        <f>(E2303+F2303+G2303+H2303+I2303)*J2303</f>
        <v>2800</v>
      </c>
    </row>
    <row r="2304" spans="1:11">
      <c r="A2304" s="1138">
        <v>15</v>
      </c>
      <c r="B2304" s="1197" t="s">
        <v>815</v>
      </c>
      <c r="C2304" s="1198" t="s">
        <v>2923</v>
      </c>
      <c r="D2304" s="1147" t="s">
        <v>2</v>
      </c>
      <c r="E2304" s="1148"/>
      <c r="F2304" s="1138"/>
      <c r="G2304" s="1138"/>
      <c r="H2304" s="1138"/>
      <c r="I2304" s="1190">
        <v>55</v>
      </c>
      <c r="J2304" s="1195">
        <v>200</v>
      </c>
      <c r="K2304" s="1192">
        <f>(E2304+F2304+G2304+H2304+I2304)*J2304</f>
        <v>11000</v>
      </c>
    </row>
    <row r="2305" spans="1:16">
      <c r="A2305" s="1138">
        <v>16</v>
      </c>
      <c r="B2305" s="1199" t="s">
        <v>431</v>
      </c>
      <c r="C2305" s="1198" t="s">
        <v>2924</v>
      </c>
      <c r="D2305" s="1141" t="s">
        <v>2</v>
      </c>
      <c r="E2305" s="1148"/>
      <c r="F2305" s="1138"/>
      <c r="G2305" s="1138"/>
      <c r="H2305" s="1138"/>
      <c r="I2305" s="1194">
        <v>1</v>
      </c>
      <c r="J2305" s="1195">
        <v>5000</v>
      </c>
      <c r="K2305" s="1196">
        <f t="shared" si="114"/>
        <v>5000</v>
      </c>
    </row>
    <row r="2306" spans="1:16">
      <c r="A2306" s="145"/>
      <c r="B2306" s="145"/>
      <c r="C2306" s="145"/>
      <c r="D2306" s="145"/>
      <c r="E2306" s="145"/>
      <c r="F2306" s="145"/>
      <c r="G2306" s="145"/>
      <c r="H2306" s="145"/>
      <c r="I2306" s="145"/>
      <c r="J2306" s="145"/>
      <c r="K2306" s="145">
        <f>SUM(K2175:K2305)</f>
        <v>3597960.5455900012</v>
      </c>
    </row>
    <row r="2307" spans="1:16">
      <c r="A2307" s="145"/>
      <c r="B2307" s="145"/>
      <c r="C2307" s="145"/>
      <c r="D2307" s="145"/>
      <c r="E2307" s="145"/>
      <c r="F2307" s="145"/>
      <c r="G2307" s="145"/>
      <c r="H2307" s="145"/>
      <c r="I2307" s="145"/>
      <c r="J2307" s="145"/>
      <c r="K2307" s="145"/>
    </row>
    <row r="2308" spans="1:16">
      <c r="A2308" s="145"/>
      <c r="B2308" s="145"/>
      <c r="C2308" s="145"/>
      <c r="D2308" s="145"/>
      <c r="E2308" s="145"/>
      <c r="F2308" s="145"/>
      <c r="G2308" s="145"/>
      <c r="H2308" s="145"/>
      <c r="I2308" s="145"/>
      <c r="J2308" s="145"/>
      <c r="K2308" s="145"/>
    </row>
    <row r="2309" spans="1:16">
      <c r="A2309" s="145"/>
      <c r="B2309" s="145"/>
      <c r="C2309" s="145" t="s">
        <v>534</v>
      </c>
      <c r="D2309" s="145"/>
      <c r="E2309" s="145"/>
      <c r="F2309" s="145" t="s">
        <v>535</v>
      </c>
      <c r="G2309" s="145"/>
      <c r="H2309" s="145"/>
      <c r="I2309" s="145"/>
      <c r="J2309" s="145" t="s">
        <v>536</v>
      </c>
      <c r="K2309" s="145"/>
    </row>
    <row r="2310" spans="1:16">
      <c r="A2310" s="145"/>
      <c r="B2310" s="145"/>
      <c r="C2310" s="145" t="s">
        <v>2925</v>
      </c>
      <c r="D2310" s="145"/>
      <c r="E2310" s="145"/>
      <c r="F2310" s="145" t="s">
        <v>2926</v>
      </c>
      <c r="G2310" s="145"/>
      <c r="H2310" s="145"/>
      <c r="I2310" s="1200" t="s">
        <v>2927</v>
      </c>
      <c r="J2310" s="1126"/>
      <c r="K2310" s="1126"/>
    </row>
    <row r="2311" spans="1:16">
      <c r="A2311" s="145"/>
      <c r="B2311" s="145"/>
      <c r="C2311" s="145"/>
      <c r="D2311" s="145"/>
      <c r="E2311" s="145"/>
      <c r="F2311" s="145"/>
      <c r="G2311" s="145"/>
      <c r="H2311" s="145"/>
      <c r="I2311" s="145"/>
      <c r="J2311" s="145"/>
      <c r="K2311" s="145"/>
    </row>
    <row r="2313" spans="1:16" ht="18.75">
      <c r="A2313" s="1201" t="s">
        <v>2928</v>
      </c>
      <c r="B2313" s="1201"/>
      <c r="C2313" s="1201"/>
      <c r="D2313"/>
      <c r="E2313"/>
      <c r="F2313"/>
      <c r="G2313"/>
      <c r="H2313"/>
      <c r="I2313"/>
      <c r="J2313"/>
      <c r="K2313"/>
      <c r="L2313"/>
      <c r="M2313"/>
      <c r="N2313"/>
      <c r="O2313"/>
      <c r="P2313"/>
    </row>
    <row r="2314" spans="1:16" ht="18.75">
      <c r="A2314" s="1201" t="s">
        <v>2929</v>
      </c>
      <c r="B2314" s="1201"/>
      <c r="C2314" s="1201"/>
      <c r="D2314"/>
      <c r="E2314"/>
      <c r="F2314"/>
      <c r="G2314"/>
      <c r="H2314"/>
      <c r="I2314"/>
      <c r="J2314"/>
      <c r="K2314"/>
      <c r="L2314"/>
      <c r="M2314"/>
      <c r="N2314"/>
      <c r="O2314"/>
      <c r="P2314"/>
    </row>
    <row r="2315" spans="1:16" ht="37.5">
      <c r="A2315" s="1202" t="s">
        <v>1363</v>
      </c>
      <c r="B2315" s="1202" t="s">
        <v>28</v>
      </c>
      <c r="C2315" s="1202" t="s">
        <v>1364</v>
      </c>
      <c r="D2315" s="1202" t="s">
        <v>8</v>
      </c>
      <c r="E2315" s="1202" t="s">
        <v>1365</v>
      </c>
      <c r="F2315" s="1203" t="s">
        <v>18</v>
      </c>
      <c r="G2315" s="1204"/>
      <c r="H2315" s="1203" t="s">
        <v>1366</v>
      </c>
      <c r="I2315" s="1204"/>
      <c r="J2315" s="1203" t="s">
        <v>1367</v>
      </c>
      <c r="K2315" s="1204"/>
      <c r="L2315" s="1203" t="s">
        <v>11</v>
      </c>
      <c r="M2315" s="1204"/>
      <c r="N2315" s="1203" t="s">
        <v>1</v>
      </c>
      <c r="O2315" s="1204"/>
      <c r="P2315" s="1205" t="s">
        <v>2930</v>
      </c>
    </row>
    <row r="2316" spans="1:16" ht="75">
      <c r="A2316" s="1206"/>
      <c r="B2316" s="1206"/>
      <c r="C2316" s="1206"/>
      <c r="D2316" s="1206"/>
      <c r="E2316" s="1206"/>
      <c r="F2316" s="1202" t="s">
        <v>1156</v>
      </c>
      <c r="G2316" s="1202" t="s">
        <v>1157</v>
      </c>
      <c r="H2316" s="1202" t="s">
        <v>1156</v>
      </c>
      <c r="I2316" s="1202" t="s">
        <v>1157</v>
      </c>
      <c r="J2316" s="1202" t="s">
        <v>1156</v>
      </c>
      <c r="K2316" s="1202" t="s">
        <v>1157</v>
      </c>
      <c r="L2316" s="1202" t="s">
        <v>1156</v>
      </c>
      <c r="M2316" s="1202" t="s">
        <v>1157</v>
      </c>
      <c r="N2316" s="1202" t="s">
        <v>1156</v>
      </c>
      <c r="O2316" s="1202" t="s">
        <v>1157</v>
      </c>
      <c r="P2316" s="1205"/>
    </row>
    <row r="2317" spans="1:16" ht="37.5">
      <c r="A2317" s="1206">
        <v>1</v>
      </c>
      <c r="B2317" s="789" t="s">
        <v>2931</v>
      </c>
      <c r="C2317" s="1207" t="s">
        <v>2932</v>
      </c>
      <c r="D2317" s="1208" t="s">
        <v>2933</v>
      </c>
      <c r="E2317" s="1209">
        <v>300</v>
      </c>
      <c r="F2317" s="1210">
        <v>584</v>
      </c>
      <c r="G2317" s="1202">
        <f t="shared" ref="G2317:G2319" si="116">F2317*E2317</f>
        <v>175200</v>
      </c>
      <c r="H2317" s="1202" t="s">
        <v>2934</v>
      </c>
      <c r="I2317" s="1202" t="s">
        <v>2934</v>
      </c>
      <c r="J2317" s="1202" t="s">
        <v>2934</v>
      </c>
      <c r="K2317" s="1202" t="s">
        <v>2934</v>
      </c>
      <c r="L2317" s="1202" t="s">
        <v>2934</v>
      </c>
      <c r="M2317" s="1202" t="s">
        <v>2934</v>
      </c>
      <c r="N2317" s="1202" t="s">
        <v>2934</v>
      </c>
      <c r="O2317" s="1211" t="s">
        <v>2934</v>
      </c>
      <c r="P2317" s="1202">
        <f t="shared" ref="P2317:P2318" si="117">F2317*E2317</f>
        <v>175200</v>
      </c>
    </row>
    <row r="2318" spans="1:16" ht="37.5">
      <c r="A2318" s="1206">
        <v>2</v>
      </c>
      <c r="B2318" s="1210" t="s">
        <v>317</v>
      </c>
      <c r="C2318" s="1212" t="s">
        <v>2935</v>
      </c>
      <c r="D2318" s="1208" t="s">
        <v>2933</v>
      </c>
      <c r="E2318" s="13">
        <v>90</v>
      </c>
      <c r="F2318" s="1213">
        <v>204</v>
      </c>
      <c r="G2318" s="1214">
        <f t="shared" si="116"/>
        <v>18360</v>
      </c>
      <c r="H2318" s="1202" t="s">
        <v>2934</v>
      </c>
      <c r="I2318" s="1202" t="s">
        <v>2934</v>
      </c>
      <c r="J2318" s="1202" t="s">
        <v>2934</v>
      </c>
      <c r="K2318" s="1202" t="s">
        <v>2934</v>
      </c>
      <c r="L2318" s="1202" t="s">
        <v>2934</v>
      </c>
      <c r="M2318" s="1202" t="s">
        <v>2934</v>
      </c>
      <c r="N2318" s="1202" t="s">
        <v>2934</v>
      </c>
      <c r="O2318" s="1211" t="s">
        <v>2934</v>
      </c>
      <c r="P2318" s="1202">
        <f t="shared" si="117"/>
        <v>18360</v>
      </c>
    </row>
    <row r="2319" spans="1:16" ht="37.5">
      <c r="A2319" s="1206">
        <v>3</v>
      </c>
      <c r="B2319" s="1206" t="s">
        <v>164</v>
      </c>
      <c r="C2319" s="1215" t="s">
        <v>2936</v>
      </c>
      <c r="D2319" s="478" t="s">
        <v>2933</v>
      </c>
      <c r="E2319" s="1209">
        <v>30</v>
      </c>
      <c r="F2319" s="1210">
        <v>2640</v>
      </c>
      <c r="G2319" s="1202">
        <f t="shared" si="116"/>
        <v>79200</v>
      </c>
      <c r="H2319" s="1202" t="s">
        <v>2937</v>
      </c>
      <c r="I2319" s="1202" t="s">
        <v>2934</v>
      </c>
      <c r="J2319" s="1202" t="s">
        <v>2934</v>
      </c>
      <c r="K2319" s="1202" t="s">
        <v>2934</v>
      </c>
      <c r="L2319" s="1202" t="s">
        <v>2934</v>
      </c>
      <c r="M2319" s="1202" t="s">
        <v>2934</v>
      </c>
      <c r="N2319" s="1202" t="s">
        <v>2934</v>
      </c>
      <c r="O2319" s="1211" t="s">
        <v>2934</v>
      </c>
      <c r="P2319" s="1202">
        <f>F2319*E2319</f>
        <v>79200</v>
      </c>
    </row>
    <row r="2320" spans="1:16" ht="21">
      <c r="A2320" s="1206">
        <v>4</v>
      </c>
      <c r="B2320" s="1210" t="s">
        <v>2938</v>
      </c>
      <c r="C2320" s="1216" t="s">
        <v>2939</v>
      </c>
      <c r="D2320" s="1217" t="s">
        <v>455</v>
      </c>
      <c r="E2320" s="1209">
        <v>30</v>
      </c>
      <c r="F2320" s="12">
        <v>80</v>
      </c>
      <c r="G2320" s="1202">
        <f>F2320*E2320</f>
        <v>2400</v>
      </c>
      <c r="H2320" s="1202" t="s">
        <v>2934</v>
      </c>
      <c r="I2320" s="1202" t="s">
        <v>2934</v>
      </c>
      <c r="J2320" s="1202" t="s">
        <v>2934</v>
      </c>
      <c r="K2320" s="1202" t="s">
        <v>2934</v>
      </c>
      <c r="L2320" s="1202" t="s">
        <v>2934</v>
      </c>
      <c r="M2320" s="1202" t="s">
        <v>2934</v>
      </c>
      <c r="N2320" s="1202" t="s">
        <v>2934</v>
      </c>
      <c r="O2320" s="1211" t="s">
        <v>2934</v>
      </c>
      <c r="P2320" s="1202">
        <f t="shared" ref="P2320:P2322" si="118">F2320*E2320</f>
        <v>2400</v>
      </c>
    </row>
    <row r="2321" spans="1:16" ht="37.5">
      <c r="A2321" s="1206">
        <v>5</v>
      </c>
      <c r="B2321" s="1210" t="s">
        <v>2940</v>
      </c>
      <c r="C2321" s="1218" t="s">
        <v>2941</v>
      </c>
      <c r="D2321" s="478" t="s">
        <v>5</v>
      </c>
      <c r="E2321" s="1209">
        <v>20</v>
      </c>
      <c r="F2321" s="1219">
        <v>5800</v>
      </c>
      <c r="G2321" s="1202">
        <f>F2321*E2321</f>
        <v>116000</v>
      </c>
      <c r="H2321" s="1202" t="s">
        <v>2934</v>
      </c>
      <c r="I2321" s="1202" t="s">
        <v>2934</v>
      </c>
      <c r="J2321" s="1202" t="s">
        <v>2934</v>
      </c>
      <c r="K2321" s="1202" t="s">
        <v>2934</v>
      </c>
      <c r="L2321" s="1202" t="s">
        <v>2934</v>
      </c>
      <c r="M2321" s="1202" t="s">
        <v>2934</v>
      </c>
      <c r="N2321" s="1202" t="s">
        <v>2934</v>
      </c>
      <c r="O2321" s="1211" t="s">
        <v>2934</v>
      </c>
      <c r="P2321" s="1202">
        <f t="shared" si="118"/>
        <v>116000</v>
      </c>
    </row>
    <row r="2322" spans="1:16" ht="37.5">
      <c r="A2322" s="1206">
        <v>6</v>
      </c>
      <c r="B2322" s="1210" t="s">
        <v>2942</v>
      </c>
      <c r="C2322" s="1220" t="s">
        <v>2943</v>
      </c>
      <c r="D2322" s="1219" t="s">
        <v>193</v>
      </c>
      <c r="E2322" s="1221">
        <v>24.646999999999998</v>
      </c>
      <c r="F2322" s="1210">
        <v>16955</v>
      </c>
      <c r="G2322" s="1202">
        <f t="shared" ref="G2322" si="119">F2322*E2322</f>
        <v>417889.88499999995</v>
      </c>
      <c r="H2322" s="1202" t="s">
        <v>2934</v>
      </c>
      <c r="I2322" s="1202" t="s">
        <v>2934</v>
      </c>
      <c r="J2322" s="1202" t="s">
        <v>2934</v>
      </c>
      <c r="K2322" s="1202" t="s">
        <v>2934</v>
      </c>
      <c r="L2322" s="1202" t="s">
        <v>2934</v>
      </c>
      <c r="M2322" s="1202" t="s">
        <v>2934</v>
      </c>
      <c r="N2322" s="1202" t="s">
        <v>2934</v>
      </c>
      <c r="O2322" s="1211" t="s">
        <v>2934</v>
      </c>
      <c r="P2322" s="1214">
        <f t="shared" si="118"/>
        <v>417889.88499999995</v>
      </c>
    </row>
    <row r="2323" spans="1:16" ht="37.5">
      <c r="A2323" s="1206">
        <v>7</v>
      </c>
      <c r="B2323" s="1210" t="s">
        <v>2944</v>
      </c>
      <c r="C2323" s="1222" t="s">
        <v>2945</v>
      </c>
      <c r="D2323" s="478" t="s">
        <v>5</v>
      </c>
      <c r="E2323" s="1209">
        <v>25</v>
      </c>
      <c r="F2323" s="1219">
        <v>936</v>
      </c>
      <c r="G2323" s="1202">
        <f>F2323*E2323</f>
        <v>23400</v>
      </c>
      <c r="H2323" s="1202" t="s">
        <v>2937</v>
      </c>
      <c r="I2323" s="1202" t="s">
        <v>2937</v>
      </c>
      <c r="J2323" s="1202" t="s">
        <v>2937</v>
      </c>
      <c r="K2323" s="1202" t="s">
        <v>2937</v>
      </c>
      <c r="L2323" s="1202" t="s">
        <v>2937</v>
      </c>
      <c r="M2323" s="1202" t="s">
        <v>2937</v>
      </c>
      <c r="N2323" s="1202" t="s">
        <v>2937</v>
      </c>
      <c r="O2323" s="1211" t="s">
        <v>2937</v>
      </c>
      <c r="P2323" s="1202">
        <f>F2323*E2323</f>
        <v>23400</v>
      </c>
    </row>
    <row r="2324" spans="1:16" ht="37.5">
      <c r="A2324" s="1206">
        <v>8</v>
      </c>
      <c r="B2324" s="1210" t="s">
        <v>2946</v>
      </c>
      <c r="C2324" s="1223" t="s">
        <v>2947</v>
      </c>
      <c r="D2324" s="478" t="s">
        <v>2948</v>
      </c>
      <c r="E2324" s="1209">
        <v>97589.19</v>
      </c>
      <c r="F2324" s="1210">
        <v>0.70499999999999996</v>
      </c>
      <c r="G2324" s="1214">
        <f t="shared" ref="G2324" si="120">F2324*E2324</f>
        <v>68800.378949999998</v>
      </c>
      <c r="H2324" s="1202" t="s">
        <v>2934</v>
      </c>
      <c r="I2324" s="1202" t="s">
        <v>2934</v>
      </c>
      <c r="J2324" s="1202" t="s">
        <v>2934</v>
      </c>
      <c r="K2324" s="1202" t="s">
        <v>2934</v>
      </c>
      <c r="L2324" s="1202" t="s">
        <v>2934</v>
      </c>
      <c r="M2324" s="1202" t="s">
        <v>2934</v>
      </c>
      <c r="N2324" s="1202" t="s">
        <v>2934</v>
      </c>
      <c r="O2324" s="1211" t="s">
        <v>2934</v>
      </c>
      <c r="P2324" s="1214">
        <f t="shared" ref="P2324" si="121">F2324*E2324</f>
        <v>68800.378949999998</v>
      </c>
    </row>
    <row r="2325" spans="1:16" ht="18.75">
      <c r="A2325" s="1206">
        <v>9</v>
      </c>
      <c r="B2325" s="1210" t="s">
        <v>1111</v>
      </c>
      <c r="C2325" s="1224" t="s">
        <v>2949</v>
      </c>
      <c r="D2325" s="478" t="s">
        <v>462</v>
      </c>
      <c r="E2325" s="13">
        <v>120</v>
      </c>
      <c r="F2325" s="1210" t="s">
        <v>2937</v>
      </c>
      <c r="G2325" s="1210" t="s">
        <v>2937</v>
      </c>
      <c r="H2325" s="1210"/>
      <c r="I2325" s="1210"/>
      <c r="J2325" s="1210"/>
      <c r="K2325" s="1210"/>
      <c r="L2325" s="1210"/>
      <c r="M2325" s="1210"/>
      <c r="N2325" s="1202">
        <v>10</v>
      </c>
      <c r="O2325" s="1211">
        <f t="shared" ref="O2325" si="122">N2325*E2325</f>
        <v>1200</v>
      </c>
      <c r="P2325" s="1202">
        <f t="shared" ref="P2325" si="123">O2325</f>
        <v>1200</v>
      </c>
    </row>
    <row r="2326" spans="1:16" ht="18.75">
      <c r="A2326" s="1206">
        <v>10</v>
      </c>
      <c r="B2326" s="1210" t="s">
        <v>166</v>
      </c>
      <c r="C2326" s="1215" t="s">
        <v>2950</v>
      </c>
      <c r="D2326" s="1225" t="s">
        <v>654</v>
      </c>
      <c r="E2326" s="1209">
        <v>90</v>
      </c>
      <c r="F2326" s="1226">
        <v>5</v>
      </c>
      <c r="G2326" s="1202">
        <f t="shared" ref="G2326:G2327" si="124">F2326*E2326</f>
        <v>450</v>
      </c>
      <c r="H2326" s="1202"/>
      <c r="I2326" s="1202" t="s">
        <v>2934</v>
      </c>
      <c r="J2326" s="1202" t="s">
        <v>2934</v>
      </c>
      <c r="K2326" s="1202" t="s">
        <v>2934</v>
      </c>
      <c r="L2326" s="1202" t="s">
        <v>2934</v>
      </c>
      <c r="M2326" s="1202" t="s">
        <v>2934</v>
      </c>
      <c r="N2326" s="1202" t="s">
        <v>2934</v>
      </c>
      <c r="O2326" s="1211" t="s">
        <v>2934</v>
      </c>
      <c r="P2326" s="1202">
        <f t="shared" ref="P2326:P2336" si="125">F2326*E2326</f>
        <v>450</v>
      </c>
    </row>
    <row r="2327" spans="1:16" ht="18.75">
      <c r="A2327" s="1206">
        <v>11</v>
      </c>
      <c r="B2327" s="1210" t="s">
        <v>290</v>
      </c>
      <c r="C2327" s="1227" t="s">
        <v>2951</v>
      </c>
      <c r="D2327" s="62" t="s">
        <v>9</v>
      </c>
      <c r="E2327" s="13">
        <v>150</v>
      </c>
      <c r="F2327" s="1213">
        <v>27</v>
      </c>
      <c r="G2327" s="1214">
        <f t="shared" si="124"/>
        <v>4050</v>
      </c>
      <c r="H2327" s="1202" t="s">
        <v>2934</v>
      </c>
      <c r="I2327" s="1202" t="s">
        <v>2934</v>
      </c>
      <c r="J2327" s="1202" t="s">
        <v>2934</v>
      </c>
      <c r="K2327" s="1202" t="s">
        <v>2934</v>
      </c>
      <c r="L2327" s="1202" t="s">
        <v>2934</v>
      </c>
      <c r="M2327" s="1202" t="s">
        <v>2934</v>
      </c>
      <c r="N2327" s="1202" t="s">
        <v>2934</v>
      </c>
      <c r="O2327" s="1211" t="s">
        <v>2934</v>
      </c>
      <c r="P2327" s="1202">
        <f t="shared" si="125"/>
        <v>4050</v>
      </c>
    </row>
    <row r="2328" spans="1:16" ht="18.75">
      <c r="A2328" s="1206">
        <v>12</v>
      </c>
      <c r="B2328" s="1210" t="s">
        <v>2952</v>
      </c>
      <c r="C2328" s="1228" t="s">
        <v>2953</v>
      </c>
      <c r="D2328" s="478" t="s">
        <v>9</v>
      </c>
      <c r="E2328" s="1209">
        <v>696.2</v>
      </c>
      <c r="F2328" s="1210">
        <v>3</v>
      </c>
      <c r="G2328" s="1202">
        <f>F2328*E2328</f>
        <v>2088.6000000000004</v>
      </c>
      <c r="H2328" s="1202" t="s">
        <v>2934</v>
      </c>
      <c r="I2328" s="1202" t="s">
        <v>2934</v>
      </c>
      <c r="J2328" s="1202" t="s">
        <v>2934</v>
      </c>
      <c r="K2328" s="1202" t="s">
        <v>2934</v>
      </c>
      <c r="L2328" s="1202" t="s">
        <v>2934</v>
      </c>
      <c r="M2328" s="1202" t="s">
        <v>2934</v>
      </c>
      <c r="N2328" s="1202" t="s">
        <v>2934</v>
      </c>
      <c r="O2328" s="1211" t="s">
        <v>2934</v>
      </c>
      <c r="P2328" s="1202">
        <f t="shared" si="125"/>
        <v>2088.6000000000004</v>
      </c>
    </row>
    <row r="2329" spans="1:16" ht="30">
      <c r="A2329" s="1206">
        <v>13</v>
      </c>
      <c r="B2329" s="1210" t="s">
        <v>2954</v>
      </c>
      <c r="C2329" s="1229" t="s">
        <v>2955</v>
      </c>
      <c r="D2329" s="62" t="s">
        <v>9</v>
      </c>
      <c r="E2329" s="12">
        <v>4932.3999999999996</v>
      </c>
      <c r="F2329" s="12">
        <v>1</v>
      </c>
      <c r="G2329" s="12">
        <f>F2329*E2329</f>
        <v>4932.3999999999996</v>
      </c>
      <c r="H2329" s="1202" t="s">
        <v>2934</v>
      </c>
      <c r="I2329" s="1202" t="s">
        <v>2934</v>
      </c>
      <c r="J2329" s="1202" t="s">
        <v>2934</v>
      </c>
      <c r="K2329" s="1202" t="s">
        <v>2934</v>
      </c>
      <c r="L2329" s="1202" t="s">
        <v>2934</v>
      </c>
      <c r="M2329" s="1202" t="s">
        <v>2934</v>
      </c>
      <c r="N2329" s="1202" t="s">
        <v>2934</v>
      </c>
      <c r="O2329" s="1211" t="s">
        <v>2934</v>
      </c>
      <c r="P2329" s="1202">
        <f t="shared" si="125"/>
        <v>4932.3999999999996</v>
      </c>
    </row>
    <row r="2330" spans="1:16" ht="21">
      <c r="A2330" s="1206">
        <v>14</v>
      </c>
      <c r="B2330" s="1230" t="s">
        <v>388</v>
      </c>
      <c r="C2330" s="1231" t="s">
        <v>2956</v>
      </c>
      <c r="D2330" s="1217" t="s">
        <v>13</v>
      </c>
      <c r="E2330" s="1209">
        <v>3186</v>
      </c>
      <c r="F2330" s="12">
        <v>12</v>
      </c>
      <c r="G2330" s="1202">
        <f t="shared" ref="G2330:G2332" si="126">F2330*E2330</f>
        <v>38232</v>
      </c>
      <c r="H2330" s="1202" t="s">
        <v>2934</v>
      </c>
      <c r="I2330" s="1202" t="s">
        <v>2934</v>
      </c>
      <c r="J2330" s="1202" t="s">
        <v>2934</v>
      </c>
      <c r="K2330" s="1202" t="s">
        <v>2934</v>
      </c>
      <c r="L2330" s="1202" t="s">
        <v>2934</v>
      </c>
      <c r="M2330" s="1202" t="s">
        <v>2934</v>
      </c>
      <c r="N2330" s="1202" t="s">
        <v>2934</v>
      </c>
      <c r="O2330" s="1211" t="s">
        <v>2934</v>
      </c>
      <c r="P2330" s="1202">
        <f t="shared" si="125"/>
        <v>38232</v>
      </c>
    </row>
    <row r="2331" spans="1:16" ht="21">
      <c r="A2331" s="1206">
        <v>15</v>
      </c>
      <c r="B2331" s="1210" t="s">
        <v>2411</v>
      </c>
      <c r="C2331" s="1231" t="s">
        <v>2957</v>
      </c>
      <c r="D2331" s="1217" t="s">
        <v>13</v>
      </c>
      <c r="E2331" s="1209">
        <v>1770</v>
      </c>
      <c r="F2331" s="12">
        <v>1</v>
      </c>
      <c r="G2331" s="1202">
        <f t="shared" si="126"/>
        <v>1770</v>
      </c>
      <c r="H2331" s="1202" t="s">
        <v>2934</v>
      </c>
      <c r="I2331" s="1202" t="s">
        <v>2934</v>
      </c>
      <c r="J2331" s="1202" t="s">
        <v>2934</v>
      </c>
      <c r="K2331" s="1202" t="s">
        <v>2934</v>
      </c>
      <c r="L2331" s="1202" t="s">
        <v>2934</v>
      </c>
      <c r="M2331" s="1202" t="s">
        <v>2934</v>
      </c>
      <c r="N2331" s="1202" t="s">
        <v>2934</v>
      </c>
      <c r="O2331" s="1211" t="s">
        <v>2934</v>
      </c>
      <c r="P2331" s="1202">
        <f t="shared" si="125"/>
        <v>1770</v>
      </c>
    </row>
    <row r="2332" spans="1:16" ht="18.75">
      <c r="A2332" s="1206">
        <v>16</v>
      </c>
      <c r="B2332" s="1210" t="s">
        <v>170</v>
      </c>
      <c r="C2332" s="1232" t="s">
        <v>2958</v>
      </c>
      <c r="D2332" s="478" t="s">
        <v>9</v>
      </c>
      <c r="E2332" s="1209">
        <v>1067.05</v>
      </c>
      <c r="F2332" s="1210">
        <v>18</v>
      </c>
      <c r="G2332" s="1202">
        <f t="shared" si="126"/>
        <v>19206.899999999998</v>
      </c>
      <c r="H2332" s="1202" t="s">
        <v>2934</v>
      </c>
      <c r="I2332" s="1202" t="s">
        <v>2934</v>
      </c>
      <c r="J2332" s="1202" t="s">
        <v>2934</v>
      </c>
      <c r="K2332" s="1202" t="s">
        <v>2934</v>
      </c>
      <c r="L2332" s="1202" t="s">
        <v>2934</v>
      </c>
      <c r="M2332" s="1202" t="s">
        <v>2934</v>
      </c>
      <c r="N2332" s="1202" t="s">
        <v>2934</v>
      </c>
      <c r="O2332" s="1211" t="s">
        <v>2934</v>
      </c>
      <c r="P2332" s="1202">
        <f t="shared" si="125"/>
        <v>19206.899999999998</v>
      </c>
    </row>
    <row r="2333" spans="1:16" ht="18.75">
      <c r="A2333" s="1206">
        <v>17</v>
      </c>
      <c r="B2333" s="1210" t="s">
        <v>171</v>
      </c>
      <c r="C2333" s="1233" t="s">
        <v>2959</v>
      </c>
      <c r="D2333" s="478" t="s">
        <v>9</v>
      </c>
      <c r="E2333" s="1209">
        <v>649</v>
      </c>
      <c r="F2333" s="1210">
        <v>18</v>
      </c>
      <c r="G2333" s="1202">
        <f>F2333*E2333</f>
        <v>11682</v>
      </c>
      <c r="H2333" s="1202" t="s">
        <v>2934</v>
      </c>
      <c r="I2333" s="1202" t="s">
        <v>2934</v>
      </c>
      <c r="J2333" s="1202" t="s">
        <v>2934</v>
      </c>
      <c r="K2333" s="1202" t="s">
        <v>2934</v>
      </c>
      <c r="L2333" s="1202" t="s">
        <v>2934</v>
      </c>
      <c r="M2333" s="1202" t="s">
        <v>2934</v>
      </c>
      <c r="N2333" s="1202" t="s">
        <v>2934</v>
      </c>
      <c r="O2333" s="1211" t="s">
        <v>2934</v>
      </c>
      <c r="P2333" s="1202">
        <f t="shared" si="125"/>
        <v>11682</v>
      </c>
    </row>
    <row r="2334" spans="1:16" ht="37.5">
      <c r="A2334" s="1206">
        <v>18</v>
      </c>
      <c r="B2334" s="1210" t="s">
        <v>565</v>
      </c>
      <c r="C2334" s="1220" t="s">
        <v>2960</v>
      </c>
      <c r="D2334" s="478" t="s">
        <v>9</v>
      </c>
      <c r="E2334" s="1209">
        <v>30</v>
      </c>
      <c r="F2334" s="1210">
        <v>3</v>
      </c>
      <c r="G2334" s="1202">
        <f t="shared" ref="G2334:G2336" si="127">F2334*E2334</f>
        <v>90</v>
      </c>
      <c r="H2334" s="1202" t="s">
        <v>2934</v>
      </c>
      <c r="I2334" s="1202" t="s">
        <v>2934</v>
      </c>
      <c r="J2334" s="1202" t="s">
        <v>2934</v>
      </c>
      <c r="K2334" s="1202" t="s">
        <v>2934</v>
      </c>
      <c r="L2334" s="1202" t="s">
        <v>2934</v>
      </c>
      <c r="M2334" s="1202" t="s">
        <v>2934</v>
      </c>
      <c r="N2334" s="1202" t="s">
        <v>2934</v>
      </c>
      <c r="O2334" s="1211" t="s">
        <v>2934</v>
      </c>
      <c r="P2334" s="1202">
        <f t="shared" si="125"/>
        <v>90</v>
      </c>
    </row>
    <row r="2335" spans="1:16" ht="18.75">
      <c r="A2335" s="1206">
        <v>19</v>
      </c>
      <c r="B2335" s="1210" t="s">
        <v>544</v>
      </c>
      <c r="C2335" s="1232" t="s">
        <v>2961</v>
      </c>
      <c r="D2335" s="478" t="s">
        <v>10</v>
      </c>
      <c r="E2335" s="1209">
        <v>1277.82</v>
      </c>
      <c r="F2335" s="1210">
        <v>10</v>
      </c>
      <c r="G2335" s="1202">
        <f t="shared" si="127"/>
        <v>12778.199999999999</v>
      </c>
      <c r="H2335" s="1202" t="s">
        <v>2937</v>
      </c>
      <c r="I2335" s="1202" t="s">
        <v>2934</v>
      </c>
      <c r="J2335" s="1202" t="s">
        <v>2934</v>
      </c>
      <c r="K2335" s="1202" t="s">
        <v>2934</v>
      </c>
      <c r="L2335" s="1202" t="s">
        <v>2934</v>
      </c>
      <c r="M2335" s="1202" t="s">
        <v>2934</v>
      </c>
      <c r="N2335" s="1202" t="s">
        <v>2934</v>
      </c>
      <c r="O2335" s="1211" t="s">
        <v>2934</v>
      </c>
      <c r="P2335" s="1202">
        <f t="shared" si="125"/>
        <v>12778.199999999999</v>
      </c>
    </row>
    <row r="2336" spans="1:16" ht="21">
      <c r="A2336" s="1206">
        <v>20</v>
      </c>
      <c r="B2336" s="1234" t="s">
        <v>2962</v>
      </c>
      <c r="C2336" s="1231" t="s">
        <v>2963</v>
      </c>
      <c r="D2336" s="1217" t="s">
        <v>13</v>
      </c>
      <c r="E2336" s="1209">
        <v>1298</v>
      </c>
      <c r="F2336" s="12">
        <v>32</v>
      </c>
      <c r="G2336" s="1202">
        <f t="shared" si="127"/>
        <v>41536</v>
      </c>
      <c r="H2336" s="1202" t="s">
        <v>2934</v>
      </c>
      <c r="I2336" s="1202" t="s">
        <v>2934</v>
      </c>
      <c r="J2336" s="1202" t="s">
        <v>2934</v>
      </c>
      <c r="K2336" s="1202" t="s">
        <v>2934</v>
      </c>
      <c r="L2336" s="1202" t="s">
        <v>2934</v>
      </c>
      <c r="M2336" s="1202" t="s">
        <v>2934</v>
      </c>
      <c r="N2336" s="1202" t="s">
        <v>2934</v>
      </c>
      <c r="O2336" s="1211" t="s">
        <v>2934</v>
      </c>
      <c r="P2336" s="1202">
        <f t="shared" si="125"/>
        <v>41536</v>
      </c>
    </row>
    <row r="2337" spans="1:16" ht="18.75">
      <c r="A2337" s="1206">
        <v>21</v>
      </c>
      <c r="B2337" s="1206" t="s">
        <v>169</v>
      </c>
      <c r="C2337" s="1215" t="s">
        <v>2964</v>
      </c>
      <c r="D2337" s="1225" t="s">
        <v>9</v>
      </c>
      <c r="E2337" s="1209">
        <v>1105.75</v>
      </c>
      <c r="F2337" s="1210">
        <v>8</v>
      </c>
      <c r="G2337" s="1202">
        <f>F2337*E2337</f>
        <v>8846</v>
      </c>
      <c r="H2337" s="1202" t="s">
        <v>2934</v>
      </c>
      <c r="I2337" s="1202" t="s">
        <v>2934</v>
      </c>
      <c r="J2337" s="1202" t="s">
        <v>2934</v>
      </c>
      <c r="K2337" s="1202" t="s">
        <v>2934</v>
      </c>
      <c r="L2337" s="1202" t="s">
        <v>2934</v>
      </c>
      <c r="M2337" s="1202" t="s">
        <v>2934</v>
      </c>
      <c r="N2337" s="1202" t="s">
        <v>2934</v>
      </c>
      <c r="O2337" s="1211" t="s">
        <v>2934</v>
      </c>
      <c r="P2337" s="1202">
        <f>F2337*E2337</f>
        <v>8846</v>
      </c>
    </row>
    <row r="2338" spans="1:16" ht="42">
      <c r="A2338" s="1206">
        <v>22</v>
      </c>
      <c r="B2338" s="1234" t="s">
        <v>2965</v>
      </c>
      <c r="C2338" s="1235" t="s">
        <v>2966</v>
      </c>
      <c r="D2338" s="1236" t="s">
        <v>2967</v>
      </c>
      <c r="E2338" s="1209">
        <v>6962</v>
      </c>
      <c r="F2338" s="12">
        <v>3</v>
      </c>
      <c r="G2338" s="1202">
        <f t="shared" ref="G2338:G2340" si="128">F2338*E2338</f>
        <v>20886</v>
      </c>
      <c r="H2338" s="1202" t="s">
        <v>2934</v>
      </c>
      <c r="I2338" s="1202" t="s">
        <v>2934</v>
      </c>
      <c r="J2338" s="1202" t="s">
        <v>2934</v>
      </c>
      <c r="K2338" s="1202" t="s">
        <v>2934</v>
      </c>
      <c r="L2338" s="1202" t="s">
        <v>2934</v>
      </c>
      <c r="M2338" s="1202" t="s">
        <v>2934</v>
      </c>
      <c r="N2338" s="1202" t="s">
        <v>2934</v>
      </c>
      <c r="O2338" s="1211" t="s">
        <v>2934</v>
      </c>
      <c r="P2338" s="1202">
        <f t="shared" ref="P2338:P2340" si="129">F2338*E2338</f>
        <v>20886</v>
      </c>
    </row>
    <row r="2339" spans="1:16" ht="18.75">
      <c r="A2339" s="1206">
        <v>23</v>
      </c>
      <c r="B2339" s="1210" t="s">
        <v>2013</v>
      </c>
      <c r="C2339" s="1215" t="s">
        <v>2968</v>
      </c>
      <c r="D2339" s="62" t="s">
        <v>9</v>
      </c>
      <c r="E2339" s="13">
        <v>160</v>
      </c>
      <c r="F2339" s="12">
        <v>4</v>
      </c>
      <c r="G2339" s="1214">
        <f t="shared" si="128"/>
        <v>640</v>
      </c>
      <c r="H2339" s="1202" t="s">
        <v>2934</v>
      </c>
      <c r="I2339" s="1202" t="s">
        <v>2934</v>
      </c>
      <c r="J2339" s="1202" t="s">
        <v>2934</v>
      </c>
      <c r="K2339" s="1202" t="s">
        <v>2934</v>
      </c>
      <c r="L2339" s="1202" t="s">
        <v>2934</v>
      </c>
      <c r="M2339" s="1202" t="s">
        <v>2934</v>
      </c>
      <c r="N2339" s="1202" t="s">
        <v>2934</v>
      </c>
      <c r="O2339" s="1211" t="s">
        <v>2934</v>
      </c>
      <c r="P2339" s="1202">
        <f t="shared" si="129"/>
        <v>640</v>
      </c>
    </row>
    <row r="2340" spans="1:16" ht="37.5">
      <c r="A2340" s="1206">
        <v>24</v>
      </c>
      <c r="B2340" s="1210" t="s">
        <v>558</v>
      </c>
      <c r="C2340" s="1225" t="s">
        <v>2969</v>
      </c>
      <c r="D2340" s="478" t="s">
        <v>9</v>
      </c>
      <c r="E2340" s="1209">
        <v>4653.92</v>
      </c>
      <c r="F2340" s="1210">
        <v>4</v>
      </c>
      <c r="G2340" s="1202">
        <f t="shared" si="128"/>
        <v>18615.68</v>
      </c>
      <c r="H2340" s="1202" t="s">
        <v>2934</v>
      </c>
      <c r="I2340" s="1202" t="s">
        <v>2934</v>
      </c>
      <c r="J2340" s="1202" t="s">
        <v>2934</v>
      </c>
      <c r="K2340" s="1202" t="s">
        <v>2934</v>
      </c>
      <c r="L2340" s="1202" t="s">
        <v>2934</v>
      </c>
      <c r="M2340" s="1202" t="s">
        <v>2934</v>
      </c>
      <c r="N2340" s="1202" t="s">
        <v>2934</v>
      </c>
      <c r="O2340" s="1211" t="s">
        <v>2934</v>
      </c>
      <c r="P2340" s="1202">
        <f t="shared" si="129"/>
        <v>18615.68</v>
      </c>
    </row>
    <row r="2341" spans="1:16" ht="37.5">
      <c r="A2341" s="1206">
        <v>25</v>
      </c>
      <c r="B2341" s="1210" t="s">
        <v>570</v>
      </c>
      <c r="C2341" s="1237" t="s">
        <v>2970</v>
      </c>
      <c r="D2341" s="478" t="s">
        <v>10</v>
      </c>
      <c r="E2341" s="1209">
        <v>1669.7</v>
      </c>
      <c r="F2341" s="1219">
        <v>6</v>
      </c>
      <c r="G2341" s="1202">
        <f>F2341*E2341</f>
        <v>10018.200000000001</v>
      </c>
      <c r="H2341" s="1202" t="s">
        <v>2934</v>
      </c>
      <c r="I2341" s="1202" t="s">
        <v>2934</v>
      </c>
      <c r="J2341" s="1202" t="s">
        <v>2934</v>
      </c>
      <c r="K2341" s="1202" t="s">
        <v>2934</v>
      </c>
      <c r="L2341" s="1202" t="s">
        <v>2934</v>
      </c>
      <c r="M2341" s="1202" t="s">
        <v>2934</v>
      </c>
      <c r="N2341" s="1202" t="s">
        <v>2934</v>
      </c>
      <c r="O2341" s="1211" t="s">
        <v>2934</v>
      </c>
      <c r="P2341" s="1202">
        <f>F2341*E2341</f>
        <v>10018.200000000001</v>
      </c>
    </row>
    <row r="2342" spans="1:16" ht="18.75">
      <c r="A2342" s="1206">
        <v>26</v>
      </c>
      <c r="B2342" s="1210" t="s">
        <v>355</v>
      </c>
      <c r="C2342" s="1220" t="s">
        <v>2971</v>
      </c>
      <c r="D2342" s="62" t="s">
        <v>9</v>
      </c>
      <c r="E2342" s="13">
        <v>300</v>
      </c>
      <c r="F2342" s="12">
        <v>18</v>
      </c>
      <c r="G2342" s="1214">
        <f t="shared" ref="G2342:G2353" si="130">F2342*E2342</f>
        <v>5400</v>
      </c>
      <c r="H2342" s="1202" t="s">
        <v>2934</v>
      </c>
      <c r="I2342" s="1202" t="s">
        <v>2934</v>
      </c>
      <c r="J2342" s="1202" t="s">
        <v>2934</v>
      </c>
      <c r="K2342" s="1202" t="s">
        <v>2934</v>
      </c>
      <c r="L2342" s="1202" t="s">
        <v>2934</v>
      </c>
      <c r="M2342" s="1202" t="s">
        <v>2934</v>
      </c>
      <c r="N2342" s="1202" t="s">
        <v>2934</v>
      </c>
      <c r="O2342" s="1211" t="s">
        <v>2934</v>
      </c>
      <c r="P2342" s="1202">
        <f t="shared" ref="P2342:P2353" si="131">F2342*E2342</f>
        <v>5400</v>
      </c>
    </row>
    <row r="2343" spans="1:16" ht="18.75">
      <c r="A2343" s="1206">
        <v>27</v>
      </c>
      <c r="B2343" s="1210" t="s">
        <v>652</v>
      </c>
      <c r="C2343" s="1238" t="s">
        <v>2972</v>
      </c>
      <c r="D2343" s="1219" t="s">
        <v>2</v>
      </c>
      <c r="E2343" s="1209">
        <v>0</v>
      </c>
      <c r="F2343" s="1210">
        <v>4</v>
      </c>
      <c r="G2343" s="1202">
        <f t="shared" si="130"/>
        <v>0</v>
      </c>
      <c r="H2343" s="1202" t="s">
        <v>2934</v>
      </c>
      <c r="I2343" s="1202" t="s">
        <v>2934</v>
      </c>
      <c r="J2343" s="1202" t="s">
        <v>2934</v>
      </c>
      <c r="K2343" s="1202" t="s">
        <v>2934</v>
      </c>
      <c r="L2343" s="1202" t="s">
        <v>2934</v>
      </c>
      <c r="M2343" s="1202" t="s">
        <v>2934</v>
      </c>
      <c r="N2343" s="1202" t="s">
        <v>2934</v>
      </c>
      <c r="O2343" s="1211" t="s">
        <v>2934</v>
      </c>
      <c r="P2343" s="1202">
        <f t="shared" si="131"/>
        <v>0</v>
      </c>
    </row>
    <row r="2344" spans="1:16" ht="18.75">
      <c r="A2344" s="1206">
        <v>28</v>
      </c>
      <c r="B2344" s="1226" t="s">
        <v>652</v>
      </c>
      <c r="C2344" s="1238" t="s">
        <v>2973</v>
      </c>
      <c r="D2344" s="1239" t="s">
        <v>2</v>
      </c>
      <c r="E2344" s="1209">
        <v>3916</v>
      </c>
      <c r="F2344" s="1210">
        <v>3</v>
      </c>
      <c r="G2344" s="1202">
        <f t="shared" si="130"/>
        <v>11748</v>
      </c>
      <c r="H2344" s="1202" t="s">
        <v>2934</v>
      </c>
      <c r="I2344" s="1202" t="s">
        <v>2934</v>
      </c>
      <c r="J2344" s="1202" t="s">
        <v>2934</v>
      </c>
      <c r="K2344" s="1202" t="s">
        <v>2934</v>
      </c>
      <c r="L2344" s="1202" t="s">
        <v>2934</v>
      </c>
      <c r="M2344" s="1202" t="s">
        <v>2934</v>
      </c>
      <c r="N2344" s="1202" t="s">
        <v>2934</v>
      </c>
      <c r="O2344" s="1211" t="s">
        <v>2934</v>
      </c>
      <c r="P2344" s="1202">
        <f t="shared" si="131"/>
        <v>11748</v>
      </c>
    </row>
    <row r="2345" spans="1:16" ht="18.75">
      <c r="A2345" s="1206">
        <v>29</v>
      </c>
      <c r="B2345" s="1210" t="s">
        <v>2832</v>
      </c>
      <c r="C2345" s="1238" t="s">
        <v>2974</v>
      </c>
      <c r="D2345" s="1239" t="s">
        <v>2</v>
      </c>
      <c r="E2345" s="1209">
        <v>2459</v>
      </c>
      <c r="F2345" s="1210">
        <v>4</v>
      </c>
      <c r="G2345" s="1202">
        <f t="shared" si="130"/>
        <v>9836</v>
      </c>
      <c r="H2345" s="1202" t="s">
        <v>2934</v>
      </c>
      <c r="I2345" s="1202" t="s">
        <v>2934</v>
      </c>
      <c r="J2345" s="1202" t="s">
        <v>2934</v>
      </c>
      <c r="K2345" s="1202" t="s">
        <v>2934</v>
      </c>
      <c r="L2345" s="1202" t="s">
        <v>2934</v>
      </c>
      <c r="M2345" s="1202" t="s">
        <v>2934</v>
      </c>
      <c r="N2345" s="1202" t="s">
        <v>2934</v>
      </c>
      <c r="O2345" s="1211" t="s">
        <v>2934</v>
      </c>
      <c r="P2345" s="1202">
        <f t="shared" si="131"/>
        <v>9836</v>
      </c>
    </row>
    <row r="2346" spans="1:16" ht="18.75">
      <c r="A2346" s="1206">
        <v>30</v>
      </c>
      <c r="B2346" s="1210" t="s">
        <v>647</v>
      </c>
      <c r="C2346" s="1238" t="s">
        <v>2975</v>
      </c>
      <c r="D2346" s="1219" t="s">
        <v>2</v>
      </c>
      <c r="E2346" s="1209">
        <v>12267</v>
      </c>
      <c r="F2346" s="1210">
        <v>2</v>
      </c>
      <c r="G2346" s="1202">
        <f t="shared" si="130"/>
        <v>24534</v>
      </c>
      <c r="H2346" s="1202" t="s">
        <v>2934</v>
      </c>
      <c r="I2346" s="1202" t="s">
        <v>2934</v>
      </c>
      <c r="J2346" s="1202" t="s">
        <v>2934</v>
      </c>
      <c r="K2346" s="1202" t="s">
        <v>2934</v>
      </c>
      <c r="L2346" s="1202" t="s">
        <v>2934</v>
      </c>
      <c r="M2346" s="1202" t="s">
        <v>2934</v>
      </c>
      <c r="N2346" s="1202" t="s">
        <v>2934</v>
      </c>
      <c r="O2346" s="1211" t="s">
        <v>2934</v>
      </c>
      <c r="P2346" s="1202">
        <f t="shared" si="131"/>
        <v>24534</v>
      </c>
    </row>
    <row r="2347" spans="1:16" ht="18.75">
      <c r="A2347" s="1206">
        <v>31</v>
      </c>
      <c r="B2347" s="1210" t="s">
        <v>2041</v>
      </c>
      <c r="C2347" s="1238" t="s">
        <v>2976</v>
      </c>
      <c r="D2347" s="1219" t="s">
        <v>2</v>
      </c>
      <c r="E2347" s="1209">
        <v>0</v>
      </c>
      <c r="F2347" s="1210">
        <v>1</v>
      </c>
      <c r="G2347" s="1202">
        <f t="shared" si="130"/>
        <v>0</v>
      </c>
      <c r="H2347" s="1202" t="s">
        <v>2934</v>
      </c>
      <c r="I2347" s="1202" t="s">
        <v>2934</v>
      </c>
      <c r="J2347" s="1202" t="s">
        <v>2934</v>
      </c>
      <c r="K2347" s="1202" t="s">
        <v>2934</v>
      </c>
      <c r="L2347" s="1202" t="s">
        <v>2934</v>
      </c>
      <c r="M2347" s="1202" t="s">
        <v>2934</v>
      </c>
      <c r="N2347" s="1202" t="s">
        <v>2934</v>
      </c>
      <c r="O2347" s="1211" t="s">
        <v>2934</v>
      </c>
      <c r="P2347" s="1202">
        <f t="shared" si="131"/>
        <v>0</v>
      </c>
    </row>
    <row r="2348" spans="1:16" ht="18.75">
      <c r="A2348" s="1206">
        <v>32</v>
      </c>
      <c r="B2348" s="1210" t="s">
        <v>2977</v>
      </c>
      <c r="C2348" s="1238" t="s">
        <v>2978</v>
      </c>
      <c r="D2348" s="1239" t="s">
        <v>2</v>
      </c>
      <c r="E2348" s="1209">
        <v>7882.5</v>
      </c>
      <c r="F2348" s="1210">
        <v>2</v>
      </c>
      <c r="G2348" s="1202">
        <f t="shared" si="130"/>
        <v>15765</v>
      </c>
      <c r="H2348" s="1202" t="s">
        <v>2934</v>
      </c>
      <c r="I2348" s="1202" t="s">
        <v>2934</v>
      </c>
      <c r="J2348" s="1202" t="s">
        <v>2934</v>
      </c>
      <c r="K2348" s="1202" t="s">
        <v>2934</v>
      </c>
      <c r="L2348" s="1202" t="s">
        <v>2934</v>
      </c>
      <c r="M2348" s="1202" t="s">
        <v>2934</v>
      </c>
      <c r="N2348" s="1202" t="s">
        <v>2934</v>
      </c>
      <c r="O2348" s="1211" t="s">
        <v>2934</v>
      </c>
      <c r="P2348" s="1202">
        <f t="shared" si="131"/>
        <v>15765</v>
      </c>
    </row>
    <row r="2349" spans="1:16" ht="18.75">
      <c r="A2349" s="1206">
        <v>33</v>
      </c>
      <c r="B2349" s="1210" t="s">
        <v>663</v>
      </c>
      <c r="C2349" s="1232" t="s">
        <v>2979</v>
      </c>
      <c r="D2349" s="478" t="s">
        <v>552</v>
      </c>
      <c r="E2349" s="13">
        <v>5830.82</v>
      </c>
      <c r="F2349" s="1210">
        <v>10</v>
      </c>
      <c r="G2349" s="1202">
        <f t="shared" si="130"/>
        <v>58308.2</v>
      </c>
      <c r="H2349" s="1202" t="s">
        <v>2934</v>
      </c>
      <c r="I2349" s="1202" t="s">
        <v>2934</v>
      </c>
      <c r="J2349" s="1202" t="s">
        <v>2934</v>
      </c>
      <c r="K2349" s="1202" t="s">
        <v>2934</v>
      </c>
      <c r="L2349" s="1202" t="s">
        <v>2934</v>
      </c>
      <c r="M2349" s="1202" t="s">
        <v>2934</v>
      </c>
      <c r="N2349" s="1202" t="s">
        <v>2934</v>
      </c>
      <c r="O2349" s="1211" t="s">
        <v>2934</v>
      </c>
      <c r="P2349" s="1202">
        <f t="shared" si="131"/>
        <v>58308.2</v>
      </c>
    </row>
    <row r="2350" spans="1:16" ht="18.75">
      <c r="A2350" s="1206">
        <v>34</v>
      </c>
      <c r="B2350" s="1210" t="s">
        <v>1112</v>
      </c>
      <c r="C2350" s="1238" t="s">
        <v>2980</v>
      </c>
      <c r="D2350" s="1239" t="s">
        <v>2</v>
      </c>
      <c r="E2350" s="1209">
        <v>0</v>
      </c>
      <c r="F2350" s="1210">
        <v>2</v>
      </c>
      <c r="G2350" s="1202">
        <f t="shared" si="130"/>
        <v>0</v>
      </c>
      <c r="H2350" s="1202" t="s">
        <v>2934</v>
      </c>
      <c r="I2350" s="1202" t="s">
        <v>2934</v>
      </c>
      <c r="J2350" s="1202" t="s">
        <v>2934</v>
      </c>
      <c r="K2350" s="1202" t="s">
        <v>2934</v>
      </c>
      <c r="L2350" s="1202" t="s">
        <v>2934</v>
      </c>
      <c r="M2350" s="1202" t="s">
        <v>2934</v>
      </c>
      <c r="N2350" s="1202" t="s">
        <v>2934</v>
      </c>
      <c r="O2350" s="1211" t="s">
        <v>2934</v>
      </c>
      <c r="P2350" s="1202">
        <f t="shared" si="131"/>
        <v>0</v>
      </c>
    </row>
    <row r="2351" spans="1:16" ht="30">
      <c r="A2351" s="1206">
        <v>35</v>
      </c>
      <c r="B2351" s="1210" t="s">
        <v>2981</v>
      </c>
      <c r="C2351" s="1229" t="s">
        <v>2982</v>
      </c>
      <c r="D2351" s="62" t="s">
        <v>9</v>
      </c>
      <c r="E2351" s="12">
        <v>1410.1</v>
      </c>
      <c r="F2351" s="12">
        <v>2</v>
      </c>
      <c r="G2351" s="1202">
        <f t="shared" si="130"/>
        <v>2820.2</v>
      </c>
      <c r="H2351" s="1202" t="s">
        <v>2934</v>
      </c>
      <c r="I2351" s="1202" t="s">
        <v>2934</v>
      </c>
      <c r="J2351" s="1202" t="s">
        <v>2934</v>
      </c>
      <c r="K2351" s="1202" t="s">
        <v>2934</v>
      </c>
      <c r="L2351" s="1202" t="s">
        <v>2934</v>
      </c>
      <c r="M2351" s="1202" t="s">
        <v>2934</v>
      </c>
      <c r="N2351" s="1202" t="s">
        <v>2934</v>
      </c>
      <c r="O2351" s="1211" t="s">
        <v>2934</v>
      </c>
      <c r="P2351" s="1202">
        <f t="shared" si="131"/>
        <v>2820.2</v>
      </c>
    </row>
    <row r="2352" spans="1:16" ht="18.75">
      <c r="A2352" s="1206">
        <v>36</v>
      </c>
      <c r="B2352" s="1210" t="s">
        <v>202</v>
      </c>
      <c r="C2352" s="1232" t="s">
        <v>2983</v>
      </c>
      <c r="D2352" s="478" t="s">
        <v>9</v>
      </c>
      <c r="E2352" s="1209">
        <v>800</v>
      </c>
      <c r="F2352" s="1210">
        <v>1</v>
      </c>
      <c r="G2352" s="1202">
        <f t="shared" si="130"/>
        <v>800</v>
      </c>
      <c r="H2352" s="1202" t="s">
        <v>2934</v>
      </c>
      <c r="I2352" s="1202" t="s">
        <v>2934</v>
      </c>
      <c r="J2352" s="1202" t="s">
        <v>2934</v>
      </c>
      <c r="K2352" s="1202" t="s">
        <v>2934</v>
      </c>
      <c r="L2352" s="1202" t="s">
        <v>2934</v>
      </c>
      <c r="M2352" s="1202" t="s">
        <v>2934</v>
      </c>
      <c r="N2352" s="1202" t="s">
        <v>2934</v>
      </c>
      <c r="O2352" s="1211" t="s">
        <v>2934</v>
      </c>
      <c r="P2352" s="1202">
        <f t="shared" si="131"/>
        <v>800</v>
      </c>
    </row>
    <row r="2353" spans="1:16" ht="42">
      <c r="A2353" s="1206">
        <v>37</v>
      </c>
      <c r="B2353" s="1240" t="s">
        <v>2984</v>
      </c>
      <c r="C2353" s="1231" t="s">
        <v>2985</v>
      </c>
      <c r="D2353" s="1236" t="s">
        <v>2967</v>
      </c>
      <c r="E2353" s="1209">
        <v>11682</v>
      </c>
      <c r="F2353" s="12">
        <v>3</v>
      </c>
      <c r="G2353" s="1202">
        <f t="shared" si="130"/>
        <v>35046</v>
      </c>
      <c r="H2353" s="1202" t="s">
        <v>2934</v>
      </c>
      <c r="I2353" s="1202" t="s">
        <v>2934</v>
      </c>
      <c r="J2353" s="1202" t="s">
        <v>2934</v>
      </c>
      <c r="K2353" s="1202" t="s">
        <v>2934</v>
      </c>
      <c r="L2353" s="1202" t="s">
        <v>2934</v>
      </c>
      <c r="M2353" s="1202" t="s">
        <v>2934</v>
      </c>
      <c r="N2353" s="1202" t="s">
        <v>2934</v>
      </c>
      <c r="O2353" s="1211" t="s">
        <v>2934</v>
      </c>
      <c r="P2353" s="1202">
        <f t="shared" si="131"/>
        <v>35046</v>
      </c>
    </row>
    <row r="2354" spans="1:16" ht="18.75">
      <c r="A2354" s="1206">
        <v>38</v>
      </c>
      <c r="B2354" s="1210" t="s">
        <v>2986</v>
      </c>
      <c r="C2354" s="1241" t="s">
        <v>2987</v>
      </c>
      <c r="D2354" s="478" t="s">
        <v>9</v>
      </c>
      <c r="E2354" s="13">
        <v>150</v>
      </c>
      <c r="F2354" s="1210" t="s">
        <v>2934</v>
      </c>
      <c r="G2354" s="1210" t="s">
        <v>2937</v>
      </c>
      <c r="H2354" s="1210"/>
      <c r="I2354" s="1210"/>
      <c r="J2354" s="1210"/>
      <c r="K2354" s="1210"/>
      <c r="L2354" s="1210"/>
      <c r="M2354" s="1210"/>
      <c r="N2354" s="1202">
        <v>11</v>
      </c>
      <c r="O2354" s="1211">
        <f t="shared" ref="O2354" si="132">N2354*E2354</f>
        <v>1650</v>
      </c>
      <c r="P2354" s="1202">
        <f t="shared" ref="P2354" si="133">O2354</f>
        <v>1650</v>
      </c>
    </row>
    <row r="2355" spans="1:16" ht="18.75">
      <c r="A2355" s="1206">
        <v>39</v>
      </c>
      <c r="B2355" s="1210" t="s">
        <v>2988</v>
      </c>
      <c r="C2355" s="1242" t="s">
        <v>2989</v>
      </c>
      <c r="D2355" s="478" t="s">
        <v>462</v>
      </c>
      <c r="E2355" s="1209">
        <v>15</v>
      </c>
      <c r="F2355" s="1219">
        <v>330</v>
      </c>
      <c r="G2355" s="1202">
        <f t="shared" ref="G2355:G2369" si="134">F2355*E2355</f>
        <v>4950</v>
      </c>
      <c r="H2355" s="1210" t="s">
        <v>2934</v>
      </c>
      <c r="I2355" s="1210" t="s">
        <v>2934</v>
      </c>
      <c r="J2355" s="1210" t="s">
        <v>2934</v>
      </c>
      <c r="K2355" s="1210" t="s">
        <v>2934</v>
      </c>
      <c r="L2355" s="1210" t="s">
        <v>2934</v>
      </c>
      <c r="M2355" s="1210" t="s">
        <v>2934</v>
      </c>
      <c r="N2355" s="1210" t="s">
        <v>2934</v>
      </c>
      <c r="O2355" s="1243" t="s">
        <v>2934</v>
      </c>
      <c r="P2355" s="1202">
        <f>F2355*E2355</f>
        <v>4950</v>
      </c>
    </row>
    <row r="2356" spans="1:16" ht="56.25">
      <c r="A2356" s="1206">
        <v>40</v>
      </c>
      <c r="B2356" s="1210" t="s">
        <v>382</v>
      </c>
      <c r="C2356" s="1244" t="s">
        <v>2990</v>
      </c>
      <c r="D2356" s="478" t="s">
        <v>9</v>
      </c>
      <c r="E2356" s="1209">
        <v>19116</v>
      </c>
      <c r="F2356" s="1219">
        <v>3</v>
      </c>
      <c r="G2356" s="1202">
        <f t="shared" si="134"/>
        <v>57348</v>
      </c>
      <c r="H2356" s="1202" t="s">
        <v>2934</v>
      </c>
      <c r="I2356" s="1202" t="s">
        <v>2934</v>
      </c>
      <c r="J2356" s="1202" t="s">
        <v>2934</v>
      </c>
      <c r="K2356" s="1202" t="s">
        <v>2934</v>
      </c>
      <c r="L2356" s="1202" t="s">
        <v>2934</v>
      </c>
      <c r="M2356" s="1202" t="s">
        <v>2934</v>
      </c>
      <c r="N2356" s="1202" t="s">
        <v>2934</v>
      </c>
      <c r="O2356" s="1211" t="s">
        <v>2934</v>
      </c>
      <c r="P2356" s="1202">
        <f>F2356*E2356</f>
        <v>57348</v>
      </c>
    </row>
    <row r="2357" spans="1:16" ht="112.5">
      <c r="A2357" s="1206">
        <v>41</v>
      </c>
      <c r="B2357" s="1226" t="s">
        <v>382</v>
      </c>
      <c r="C2357" s="1206" t="s">
        <v>2991</v>
      </c>
      <c r="D2357" s="478" t="s">
        <v>9</v>
      </c>
      <c r="E2357" s="1209">
        <v>19057</v>
      </c>
      <c r="F2357" s="1219">
        <v>2</v>
      </c>
      <c r="G2357" s="1202">
        <f t="shared" si="134"/>
        <v>38114</v>
      </c>
      <c r="H2357" s="1202" t="s">
        <v>2934</v>
      </c>
      <c r="I2357" s="1202" t="s">
        <v>2934</v>
      </c>
      <c r="J2357" s="1202" t="s">
        <v>2934</v>
      </c>
      <c r="K2357" s="1202" t="s">
        <v>2934</v>
      </c>
      <c r="L2357" s="1202" t="s">
        <v>2934</v>
      </c>
      <c r="M2357" s="1202" t="s">
        <v>2934</v>
      </c>
      <c r="N2357" s="1202" t="s">
        <v>2934</v>
      </c>
      <c r="O2357" s="1211" t="s">
        <v>2934</v>
      </c>
      <c r="P2357" s="1202">
        <f t="shared" ref="P2357:P2371" si="135">F2357*E2357</f>
        <v>38114</v>
      </c>
    </row>
    <row r="2358" spans="1:16" ht="56.25">
      <c r="A2358" s="1206">
        <v>42</v>
      </c>
      <c r="B2358" s="1210" t="s">
        <v>376</v>
      </c>
      <c r="C2358" s="1245" t="s">
        <v>2992</v>
      </c>
      <c r="D2358" s="478" t="s">
        <v>9</v>
      </c>
      <c r="E2358" s="1209">
        <v>19470</v>
      </c>
      <c r="F2358" s="1219">
        <v>3</v>
      </c>
      <c r="G2358" s="1202">
        <f t="shared" si="134"/>
        <v>58410</v>
      </c>
      <c r="H2358" s="1202" t="s">
        <v>2934</v>
      </c>
      <c r="I2358" s="1202" t="s">
        <v>2934</v>
      </c>
      <c r="J2358" s="1202" t="s">
        <v>2934</v>
      </c>
      <c r="K2358" s="1202" t="s">
        <v>2934</v>
      </c>
      <c r="L2358" s="1202" t="s">
        <v>2934</v>
      </c>
      <c r="M2358" s="1202" t="s">
        <v>2934</v>
      </c>
      <c r="N2358" s="1202" t="s">
        <v>2934</v>
      </c>
      <c r="O2358" s="1211" t="s">
        <v>2934</v>
      </c>
      <c r="P2358" s="1202">
        <f t="shared" si="135"/>
        <v>58410</v>
      </c>
    </row>
    <row r="2359" spans="1:16" ht="108">
      <c r="A2359" s="1206">
        <v>43</v>
      </c>
      <c r="B2359" s="1226" t="s">
        <v>376</v>
      </c>
      <c r="C2359" s="1246" t="s">
        <v>2993</v>
      </c>
      <c r="D2359" s="478" t="s">
        <v>9</v>
      </c>
      <c r="E2359" s="1209">
        <v>19883</v>
      </c>
      <c r="F2359" s="1219">
        <v>2</v>
      </c>
      <c r="G2359" s="1202">
        <f t="shared" si="134"/>
        <v>39766</v>
      </c>
      <c r="H2359" s="1202" t="s">
        <v>2934</v>
      </c>
      <c r="I2359" s="1202" t="s">
        <v>2934</v>
      </c>
      <c r="J2359" s="1202" t="s">
        <v>2934</v>
      </c>
      <c r="K2359" s="1202" t="s">
        <v>2934</v>
      </c>
      <c r="L2359" s="1202" t="s">
        <v>2934</v>
      </c>
      <c r="M2359" s="1202" t="s">
        <v>2934</v>
      </c>
      <c r="N2359" s="1202" t="s">
        <v>2934</v>
      </c>
      <c r="O2359" s="1211" t="s">
        <v>2934</v>
      </c>
      <c r="P2359" s="1202">
        <f t="shared" si="135"/>
        <v>39766</v>
      </c>
    </row>
    <row r="2360" spans="1:16" ht="18.75">
      <c r="A2360" s="1206">
        <v>44</v>
      </c>
      <c r="B2360" s="1210" t="s">
        <v>2994</v>
      </c>
      <c r="C2360" s="1238" t="s">
        <v>2995</v>
      </c>
      <c r="D2360" s="1219" t="s">
        <v>2</v>
      </c>
      <c r="E2360" s="1209">
        <v>0</v>
      </c>
      <c r="F2360" s="1210">
        <v>3</v>
      </c>
      <c r="G2360" s="1202">
        <f t="shared" si="134"/>
        <v>0</v>
      </c>
      <c r="H2360" s="1202" t="s">
        <v>2934</v>
      </c>
      <c r="I2360" s="1202" t="s">
        <v>2934</v>
      </c>
      <c r="J2360" s="1202" t="s">
        <v>2934</v>
      </c>
      <c r="K2360" s="1202" t="s">
        <v>2934</v>
      </c>
      <c r="L2360" s="1202" t="s">
        <v>2934</v>
      </c>
      <c r="M2360" s="1202" t="s">
        <v>2934</v>
      </c>
      <c r="N2360" s="1202" t="s">
        <v>2934</v>
      </c>
      <c r="O2360" s="1211" t="s">
        <v>2934</v>
      </c>
      <c r="P2360" s="1202">
        <f t="shared" si="135"/>
        <v>0</v>
      </c>
    </row>
    <row r="2361" spans="1:16" ht="18.75">
      <c r="A2361" s="1206">
        <v>45</v>
      </c>
      <c r="B2361" s="1210" t="s">
        <v>2092</v>
      </c>
      <c r="C2361" s="1238" t="s">
        <v>2996</v>
      </c>
      <c r="D2361" s="1239" t="s">
        <v>2</v>
      </c>
      <c r="E2361" s="1209">
        <v>15000</v>
      </c>
      <c r="F2361" s="1210">
        <v>3</v>
      </c>
      <c r="G2361" s="1202">
        <f t="shared" si="134"/>
        <v>45000</v>
      </c>
      <c r="H2361" s="1202" t="s">
        <v>2934</v>
      </c>
      <c r="I2361" s="1202" t="s">
        <v>2934</v>
      </c>
      <c r="J2361" s="1202" t="s">
        <v>2934</v>
      </c>
      <c r="K2361" s="1202" t="s">
        <v>2934</v>
      </c>
      <c r="L2361" s="1202" t="s">
        <v>2934</v>
      </c>
      <c r="M2361" s="1202" t="s">
        <v>2934</v>
      </c>
      <c r="N2361" s="1202" t="s">
        <v>2934</v>
      </c>
      <c r="O2361" s="1211" t="s">
        <v>2934</v>
      </c>
      <c r="P2361" s="1202">
        <f t="shared" si="135"/>
        <v>45000</v>
      </c>
    </row>
    <row r="2362" spans="1:16" ht="30">
      <c r="A2362" s="1206">
        <v>46</v>
      </c>
      <c r="B2362" s="1210" t="s">
        <v>2997</v>
      </c>
      <c r="C2362" s="1229" t="s">
        <v>2998</v>
      </c>
      <c r="D2362" s="62" t="s">
        <v>9</v>
      </c>
      <c r="E2362" s="12">
        <v>1174.0999999999999</v>
      </c>
      <c r="F2362" s="12">
        <v>1</v>
      </c>
      <c r="G2362" s="1202">
        <f t="shared" si="134"/>
        <v>1174.0999999999999</v>
      </c>
      <c r="H2362" s="1202" t="s">
        <v>2934</v>
      </c>
      <c r="I2362" s="1202" t="s">
        <v>2934</v>
      </c>
      <c r="J2362" s="1202" t="s">
        <v>2934</v>
      </c>
      <c r="K2362" s="1202" t="s">
        <v>2934</v>
      </c>
      <c r="L2362" s="1202" t="s">
        <v>2934</v>
      </c>
      <c r="M2362" s="1202" t="s">
        <v>2934</v>
      </c>
      <c r="N2362" s="1202" t="s">
        <v>2934</v>
      </c>
      <c r="O2362" s="1211" t="s">
        <v>2934</v>
      </c>
      <c r="P2362" s="1202">
        <f t="shared" si="135"/>
        <v>1174.0999999999999</v>
      </c>
    </row>
    <row r="2363" spans="1:16" ht="21">
      <c r="A2363" s="1206">
        <v>47</v>
      </c>
      <c r="B2363" s="1234" t="s">
        <v>1948</v>
      </c>
      <c r="C2363" s="1231" t="s">
        <v>2999</v>
      </c>
      <c r="D2363" s="1217" t="s">
        <v>13</v>
      </c>
      <c r="E2363" s="1209">
        <v>2242</v>
      </c>
      <c r="F2363" s="12">
        <v>4</v>
      </c>
      <c r="G2363" s="1202">
        <f t="shared" si="134"/>
        <v>8968</v>
      </c>
      <c r="H2363" s="1202" t="s">
        <v>2934</v>
      </c>
      <c r="I2363" s="1202" t="s">
        <v>2934</v>
      </c>
      <c r="J2363" s="1202" t="s">
        <v>2934</v>
      </c>
      <c r="K2363" s="1202" t="s">
        <v>2934</v>
      </c>
      <c r="L2363" s="1202" t="s">
        <v>2934</v>
      </c>
      <c r="M2363" s="1202" t="s">
        <v>2934</v>
      </c>
      <c r="N2363" s="1202" t="s">
        <v>2934</v>
      </c>
      <c r="O2363" s="1211" t="s">
        <v>2934</v>
      </c>
      <c r="P2363" s="1202">
        <f t="shared" si="135"/>
        <v>8968</v>
      </c>
    </row>
    <row r="2364" spans="1:16" ht="18.75">
      <c r="A2364" s="1206">
        <v>48</v>
      </c>
      <c r="B2364" s="1210" t="s">
        <v>693</v>
      </c>
      <c r="C2364" s="1227" t="s">
        <v>3000</v>
      </c>
      <c r="D2364" s="62" t="s">
        <v>9</v>
      </c>
      <c r="E2364" s="13">
        <v>180</v>
      </c>
      <c r="F2364" s="1213">
        <v>8</v>
      </c>
      <c r="G2364" s="1214">
        <f t="shared" si="134"/>
        <v>1440</v>
      </c>
      <c r="H2364" s="1202" t="s">
        <v>2934</v>
      </c>
      <c r="I2364" s="1202" t="s">
        <v>2934</v>
      </c>
      <c r="J2364" s="1202" t="s">
        <v>2934</v>
      </c>
      <c r="K2364" s="1202" t="s">
        <v>2934</v>
      </c>
      <c r="L2364" s="1202" t="s">
        <v>2934</v>
      </c>
      <c r="M2364" s="1202" t="s">
        <v>2934</v>
      </c>
      <c r="N2364" s="1202" t="s">
        <v>2934</v>
      </c>
      <c r="O2364" s="1211" t="s">
        <v>2934</v>
      </c>
      <c r="P2364" s="1202">
        <f t="shared" si="135"/>
        <v>1440</v>
      </c>
    </row>
    <row r="2365" spans="1:16" ht="18.75">
      <c r="A2365" s="1206">
        <v>49</v>
      </c>
      <c r="B2365" s="1210" t="s">
        <v>689</v>
      </c>
      <c r="C2365" s="1229" t="s">
        <v>3001</v>
      </c>
      <c r="D2365" s="62" t="s">
        <v>9</v>
      </c>
      <c r="E2365" s="12">
        <v>1286.2</v>
      </c>
      <c r="F2365" s="12">
        <v>2</v>
      </c>
      <c r="G2365" s="1202">
        <f t="shared" si="134"/>
        <v>2572.4</v>
      </c>
      <c r="H2365" s="1202" t="s">
        <v>2934</v>
      </c>
      <c r="I2365" s="1202" t="s">
        <v>2934</v>
      </c>
      <c r="J2365" s="1202" t="s">
        <v>2934</v>
      </c>
      <c r="K2365" s="1202" t="s">
        <v>2934</v>
      </c>
      <c r="L2365" s="1202" t="s">
        <v>2934</v>
      </c>
      <c r="M2365" s="1202" t="s">
        <v>2934</v>
      </c>
      <c r="N2365" s="1202" t="s">
        <v>2934</v>
      </c>
      <c r="O2365" s="1211" t="s">
        <v>2934</v>
      </c>
      <c r="P2365" s="1202">
        <f t="shared" si="135"/>
        <v>2572.4</v>
      </c>
    </row>
    <row r="2366" spans="1:16" ht="18.75">
      <c r="A2366" s="1206">
        <v>50</v>
      </c>
      <c r="B2366" s="1210" t="s">
        <v>3002</v>
      </c>
      <c r="C2366" s="1238" t="s">
        <v>3003</v>
      </c>
      <c r="D2366" s="478" t="s">
        <v>9</v>
      </c>
      <c r="E2366" s="1209">
        <v>914.92</v>
      </c>
      <c r="F2366" s="1247">
        <v>9</v>
      </c>
      <c r="G2366" s="1202">
        <f t="shared" si="134"/>
        <v>8234.2799999999988</v>
      </c>
      <c r="H2366" s="1202" t="s">
        <v>2934</v>
      </c>
      <c r="I2366" s="1202" t="s">
        <v>2934</v>
      </c>
      <c r="J2366" s="1202" t="s">
        <v>2934</v>
      </c>
      <c r="K2366" s="1202" t="s">
        <v>2934</v>
      </c>
      <c r="L2366" s="1202" t="s">
        <v>2934</v>
      </c>
      <c r="M2366" s="1202" t="s">
        <v>2934</v>
      </c>
      <c r="N2366" s="1202" t="s">
        <v>2934</v>
      </c>
      <c r="O2366" s="1211" t="s">
        <v>2934</v>
      </c>
      <c r="P2366" s="1202">
        <f t="shared" si="135"/>
        <v>8234.2799999999988</v>
      </c>
    </row>
    <row r="2367" spans="1:16" ht="37.5">
      <c r="A2367" s="1206">
        <v>51</v>
      </c>
      <c r="B2367" s="1210" t="s">
        <v>1044</v>
      </c>
      <c r="C2367" s="1233" t="s">
        <v>3004</v>
      </c>
      <c r="D2367" s="478" t="s">
        <v>9</v>
      </c>
      <c r="E2367" s="1209">
        <v>1298</v>
      </c>
      <c r="F2367" s="1210">
        <v>1</v>
      </c>
      <c r="G2367" s="1202">
        <f t="shared" si="134"/>
        <v>1298</v>
      </c>
      <c r="H2367" s="1202" t="s">
        <v>2934</v>
      </c>
      <c r="I2367" s="1202" t="s">
        <v>2934</v>
      </c>
      <c r="J2367" s="1202" t="s">
        <v>2934</v>
      </c>
      <c r="K2367" s="1202" t="s">
        <v>2934</v>
      </c>
      <c r="L2367" s="1202" t="s">
        <v>2934</v>
      </c>
      <c r="M2367" s="1202" t="s">
        <v>2934</v>
      </c>
      <c r="N2367" s="1202" t="s">
        <v>2934</v>
      </c>
      <c r="O2367" s="1211" t="s">
        <v>2934</v>
      </c>
      <c r="P2367" s="1202">
        <f t="shared" si="135"/>
        <v>1298</v>
      </c>
    </row>
    <row r="2368" spans="1:16" ht="37.5">
      <c r="A2368" s="1206">
        <v>52</v>
      </c>
      <c r="B2368" s="1210" t="s">
        <v>3005</v>
      </c>
      <c r="C2368" s="1220" t="s">
        <v>3006</v>
      </c>
      <c r="D2368" s="478" t="s">
        <v>9</v>
      </c>
      <c r="E2368" s="1209">
        <v>1593.73</v>
      </c>
      <c r="F2368" s="1210">
        <v>2</v>
      </c>
      <c r="G2368" s="1202">
        <f t="shared" si="134"/>
        <v>3187.46</v>
      </c>
      <c r="H2368" s="1202" t="s">
        <v>2934</v>
      </c>
      <c r="I2368" s="1202" t="s">
        <v>2934</v>
      </c>
      <c r="J2368" s="1202" t="s">
        <v>2934</v>
      </c>
      <c r="K2368" s="1202" t="s">
        <v>2934</v>
      </c>
      <c r="L2368" s="1202" t="s">
        <v>2934</v>
      </c>
      <c r="M2368" s="1202" t="s">
        <v>2934</v>
      </c>
      <c r="N2368" s="1202" t="s">
        <v>2934</v>
      </c>
      <c r="O2368" s="1211" t="s">
        <v>2934</v>
      </c>
      <c r="P2368" s="1202">
        <f t="shared" si="135"/>
        <v>3187.46</v>
      </c>
    </row>
    <row r="2369" spans="1:16" ht="31.5">
      <c r="A2369" s="1206">
        <v>53</v>
      </c>
      <c r="B2369" s="1210" t="s">
        <v>1052</v>
      </c>
      <c r="C2369" s="1248" t="s">
        <v>3007</v>
      </c>
      <c r="D2369" s="62" t="s">
        <v>9</v>
      </c>
      <c r="E2369" s="12">
        <v>1410.1</v>
      </c>
      <c r="F2369" s="12">
        <v>2</v>
      </c>
      <c r="G2369" s="1202">
        <f t="shared" si="134"/>
        <v>2820.2</v>
      </c>
      <c r="H2369" s="1202" t="s">
        <v>2934</v>
      </c>
      <c r="I2369" s="1202" t="s">
        <v>2934</v>
      </c>
      <c r="J2369" s="1202" t="s">
        <v>2934</v>
      </c>
      <c r="K2369" s="1202" t="s">
        <v>2934</v>
      </c>
      <c r="L2369" s="1202" t="s">
        <v>2934</v>
      </c>
      <c r="M2369" s="1202" t="s">
        <v>2934</v>
      </c>
      <c r="N2369" s="1202" t="s">
        <v>2934</v>
      </c>
      <c r="O2369" s="1211" t="s">
        <v>2934</v>
      </c>
      <c r="P2369" s="1202">
        <f t="shared" si="135"/>
        <v>2820.2</v>
      </c>
    </row>
    <row r="2370" spans="1:16" ht="42">
      <c r="A2370" s="1206">
        <v>54</v>
      </c>
      <c r="B2370" s="1210" t="s">
        <v>3008</v>
      </c>
      <c r="C2370" s="1249" t="s">
        <v>3009</v>
      </c>
      <c r="D2370" s="62" t="s">
        <v>9</v>
      </c>
      <c r="E2370" s="12">
        <v>10145.64</v>
      </c>
      <c r="F2370" s="12">
        <v>1</v>
      </c>
      <c r="G2370" s="1214">
        <f>F2370*E2370</f>
        <v>10145.64</v>
      </c>
      <c r="H2370" s="1202" t="s">
        <v>2934</v>
      </c>
      <c r="I2370" s="1202" t="s">
        <v>2934</v>
      </c>
      <c r="J2370" s="1202" t="s">
        <v>2934</v>
      </c>
      <c r="K2370" s="1202" t="s">
        <v>2934</v>
      </c>
      <c r="L2370" s="1202" t="s">
        <v>2934</v>
      </c>
      <c r="M2370" s="1202" t="s">
        <v>2934</v>
      </c>
      <c r="N2370" s="1202" t="s">
        <v>2934</v>
      </c>
      <c r="O2370" s="1211" t="s">
        <v>2934</v>
      </c>
      <c r="P2370" s="1202">
        <f t="shared" si="135"/>
        <v>10145.64</v>
      </c>
    </row>
    <row r="2371" spans="1:16" ht="42">
      <c r="A2371" s="1206">
        <v>55</v>
      </c>
      <c r="B2371" s="1210" t="s">
        <v>2138</v>
      </c>
      <c r="C2371" s="1249" t="s">
        <v>3010</v>
      </c>
      <c r="D2371" s="62" t="s">
        <v>9</v>
      </c>
      <c r="E2371" s="12">
        <v>7430.46</v>
      </c>
      <c r="F2371" s="12">
        <v>1</v>
      </c>
      <c r="G2371" s="1214">
        <f>F2371*E2371</f>
        <v>7430.46</v>
      </c>
      <c r="H2371" s="1202" t="s">
        <v>2934</v>
      </c>
      <c r="I2371" s="1202" t="s">
        <v>2934</v>
      </c>
      <c r="J2371" s="1202" t="s">
        <v>2934</v>
      </c>
      <c r="K2371" s="1202" t="s">
        <v>2934</v>
      </c>
      <c r="L2371" s="1202" t="s">
        <v>2934</v>
      </c>
      <c r="M2371" s="1202" t="s">
        <v>2934</v>
      </c>
      <c r="N2371" s="1202" t="s">
        <v>2934</v>
      </c>
      <c r="O2371" s="1211" t="s">
        <v>2934</v>
      </c>
      <c r="P2371" s="1202">
        <f t="shared" si="135"/>
        <v>7430.46</v>
      </c>
    </row>
    <row r="2372" spans="1:16" ht="18.75">
      <c r="A2372" s="1206">
        <v>56</v>
      </c>
      <c r="B2372" s="1210" t="s">
        <v>139</v>
      </c>
      <c r="C2372" s="1220" t="s">
        <v>3011</v>
      </c>
      <c r="D2372" s="62" t="s">
        <v>193</v>
      </c>
      <c r="E2372" s="12">
        <v>73.16</v>
      </c>
      <c r="F2372" s="12">
        <v>404</v>
      </c>
      <c r="G2372" s="1214">
        <f>F2372*E2372</f>
        <v>29556.639999999999</v>
      </c>
      <c r="H2372" s="1202" t="s">
        <v>2934</v>
      </c>
      <c r="I2372" s="1202" t="s">
        <v>2934</v>
      </c>
      <c r="J2372" s="1202" t="s">
        <v>2934</v>
      </c>
      <c r="K2372" s="1202" t="s">
        <v>2934</v>
      </c>
      <c r="L2372" s="1202" t="s">
        <v>2934</v>
      </c>
      <c r="M2372" s="1202" t="s">
        <v>2934</v>
      </c>
      <c r="N2372" s="1202" t="s">
        <v>2934</v>
      </c>
      <c r="O2372" s="1211" t="s">
        <v>2934</v>
      </c>
      <c r="P2372" s="1202">
        <f>F2372*E2372</f>
        <v>29556.639999999999</v>
      </c>
    </row>
    <row r="2373" spans="1:16" ht="18.75">
      <c r="A2373" s="1206">
        <v>57</v>
      </c>
      <c r="B2373" s="1210" t="s">
        <v>738</v>
      </c>
      <c r="C2373" s="1224" t="s">
        <v>3012</v>
      </c>
      <c r="D2373" s="478" t="s">
        <v>9</v>
      </c>
      <c r="E2373" s="13">
        <v>250</v>
      </c>
      <c r="F2373" s="1210" t="s">
        <v>2937</v>
      </c>
      <c r="G2373" s="1210" t="s">
        <v>2934</v>
      </c>
      <c r="H2373" s="1210"/>
      <c r="I2373" s="1210"/>
      <c r="J2373" s="1210"/>
      <c r="K2373" s="1210"/>
      <c r="L2373" s="1210"/>
      <c r="M2373" s="1210"/>
      <c r="N2373" s="1202">
        <v>40</v>
      </c>
      <c r="O2373" s="1211">
        <f t="shared" ref="O2373" si="136">N2373*E2373</f>
        <v>10000</v>
      </c>
      <c r="P2373" s="1202">
        <f>O2373</f>
        <v>10000</v>
      </c>
    </row>
    <row r="2374" spans="1:16" ht="37.5">
      <c r="A2374" s="1206">
        <v>58</v>
      </c>
      <c r="B2374" s="1210" t="s">
        <v>3013</v>
      </c>
      <c r="C2374" s="1237" t="s">
        <v>3014</v>
      </c>
      <c r="D2374" s="478" t="s">
        <v>9</v>
      </c>
      <c r="E2374" s="1209">
        <v>58764</v>
      </c>
      <c r="F2374" s="1219">
        <v>1</v>
      </c>
      <c r="G2374" s="1202">
        <f t="shared" ref="G2374:G2375" si="137">F2374*E2374</f>
        <v>58764</v>
      </c>
      <c r="H2374" s="1202" t="s">
        <v>2934</v>
      </c>
      <c r="I2374" s="1202" t="s">
        <v>2934</v>
      </c>
      <c r="J2374" s="1202" t="s">
        <v>2934</v>
      </c>
      <c r="K2374" s="1202" t="s">
        <v>2934</v>
      </c>
      <c r="L2374" s="1202" t="s">
        <v>2934</v>
      </c>
      <c r="M2374" s="1202" t="s">
        <v>2934</v>
      </c>
      <c r="N2374" s="1202" t="s">
        <v>2934</v>
      </c>
      <c r="O2374" s="1211" t="s">
        <v>2934</v>
      </c>
      <c r="P2374" s="1202">
        <f t="shared" ref="P2374:P2375" si="138">F2374*E2374</f>
        <v>58764</v>
      </c>
    </row>
    <row r="2375" spans="1:16" ht="18.75">
      <c r="A2375" s="1206">
        <v>59</v>
      </c>
      <c r="B2375" s="1210" t="s">
        <v>1188</v>
      </c>
      <c r="C2375" s="1238" t="s">
        <v>3015</v>
      </c>
      <c r="D2375" s="1239" t="s">
        <v>2</v>
      </c>
      <c r="E2375" s="1209">
        <v>22132.5</v>
      </c>
      <c r="F2375" s="1210">
        <v>2</v>
      </c>
      <c r="G2375" s="1202">
        <f t="shared" si="137"/>
        <v>44265</v>
      </c>
      <c r="H2375" s="1202" t="s">
        <v>2934</v>
      </c>
      <c r="I2375" s="1202" t="s">
        <v>2934</v>
      </c>
      <c r="J2375" s="1202" t="s">
        <v>2934</v>
      </c>
      <c r="K2375" s="1202" t="s">
        <v>2934</v>
      </c>
      <c r="L2375" s="1202" t="s">
        <v>2934</v>
      </c>
      <c r="M2375" s="1202" t="s">
        <v>2934</v>
      </c>
      <c r="N2375" s="1202" t="s">
        <v>2934</v>
      </c>
      <c r="O2375" s="1211" t="s">
        <v>2934</v>
      </c>
      <c r="P2375" s="1202">
        <f t="shared" si="138"/>
        <v>44265</v>
      </c>
    </row>
    <row r="2376" spans="1:16" ht="37.5">
      <c r="A2376" s="1206">
        <v>60</v>
      </c>
      <c r="B2376" s="1210" t="s">
        <v>3016</v>
      </c>
      <c r="C2376" s="1250" t="s">
        <v>3017</v>
      </c>
      <c r="D2376" s="478" t="s">
        <v>9</v>
      </c>
      <c r="E2376" s="13">
        <v>2200</v>
      </c>
      <c r="F2376" s="1210" t="s">
        <v>2937</v>
      </c>
      <c r="G2376" s="1210" t="s">
        <v>2937</v>
      </c>
      <c r="H2376" s="1210" t="s">
        <v>2937</v>
      </c>
      <c r="I2376" s="1210" t="s">
        <v>2937</v>
      </c>
      <c r="J2376" s="1210" t="s">
        <v>2937</v>
      </c>
      <c r="K2376" s="1210" t="s">
        <v>2937</v>
      </c>
      <c r="L2376" s="1210" t="s">
        <v>2937</v>
      </c>
      <c r="M2376" s="1210" t="s">
        <v>2937</v>
      </c>
      <c r="N2376" s="1202">
        <v>1</v>
      </c>
      <c r="O2376" s="1211">
        <f t="shared" ref="O2376" si="139">N2376*E2376</f>
        <v>2200</v>
      </c>
      <c r="P2376" s="1202">
        <f>O2376</f>
        <v>2200</v>
      </c>
    </row>
    <row r="2377" spans="1:16" ht="18.75">
      <c r="A2377" s="1206">
        <v>61</v>
      </c>
      <c r="B2377" s="1210" t="s">
        <v>3018</v>
      </c>
      <c r="C2377" s="1238" t="s">
        <v>3019</v>
      </c>
      <c r="D2377" s="1219" t="s">
        <v>2</v>
      </c>
      <c r="E2377" s="1209">
        <v>50000</v>
      </c>
      <c r="F2377" s="1210">
        <v>1</v>
      </c>
      <c r="G2377" s="1202">
        <f t="shared" ref="G2377:G2379" si="140">F2377*E2377</f>
        <v>50000</v>
      </c>
      <c r="H2377" s="1202" t="s">
        <v>2934</v>
      </c>
      <c r="I2377" s="1202" t="s">
        <v>2934</v>
      </c>
      <c r="J2377" s="1202" t="s">
        <v>2934</v>
      </c>
      <c r="K2377" s="1202" t="s">
        <v>2934</v>
      </c>
      <c r="L2377" s="1202" t="s">
        <v>2934</v>
      </c>
      <c r="M2377" s="1202" t="s">
        <v>2934</v>
      </c>
      <c r="N2377" s="1202" t="s">
        <v>2934</v>
      </c>
      <c r="O2377" s="1211" t="s">
        <v>2934</v>
      </c>
      <c r="P2377" s="1202">
        <f t="shared" ref="P2377:P2379" si="141">F2377*E2377</f>
        <v>50000</v>
      </c>
    </row>
    <row r="2378" spans="1:16" ht="18.75">
      <c r="A2378" s="1206">
        <v>62</v>
      </c>
      <c r="B2378" s="1226" t="s">
        <v>3018</v>
      </c>
      <c r="C2378" s="1223" t="s">
        <v>3020</v>
      </c>
      <c r="D2378" s="478" t="s">
        <v>9</v>
      </c>
      <c r="E2378" s="1209">
        <v>193800</v>
      </c>
      <c r="F2378" s="1210">
        <v>1</v>
      </c>
      <c r="G2378" s="1202">
        <f t="shared" si="140"/>
        <v>193800</v>
      </c>
      <c r="H2378" s="1202" t="s">
        <v>2934</v>
      </c>
      <c r="I2378" s="1202" t="s">
        <v>2934</v>
      </c>
      <c r="J2378" s="1202" t="s">
        <v>2934</v>
      </c>
      <c r="K2378" s="1202" t="s">
        <v>2934</v>
      </c>
      <c r="L2378" s="1202" t="s">
        <v>2934</v>
      </c>
      <c r="M2378" s="1202" t="s">
        <v>2934</v>
      </c>
      <c r="N2378" s="1202" t="s">
        <v>2934</v>
      </c>
      <c r="O2378" s="1211" t="s">
        <v>2934</v>
      </c>
      <c r="P2378" s="1202">
        <f t="shared" si="141"/>
        <v>193800</v>
      </c>
    </row>
    <row r="2379" spans="1:16" ht="18.75">
      <c r="A2379" s="1206">
        <v>63</v>
      </c>
      <c r="B2379" s="1210" t="s">
        <v>1101</v>
      </c>
      <c r="C2379" s="1238" t="s">
        <v>3021</v>
      </c>
      <c r="D2379" s="1239" t="s">
        <v>2</v>
      </c>
      <c r="E2379" s="1209">
        <v>55501.5</v>
      </c>
      <c r="F2379" s="1210">
        <v>1</v>
      </c>
      <c r="G2379" s="1202">
        <f t="shared" si="140"/>
        <v>55501.5</v>
      </c>
      <c r="H2379" s="1202" t="s">
        <v>2934</v>
      </c>
      <c r="I2379" s="1202" t="s">
        <v>2934</v>
      </c>
      <c r="J2379" s="1202" t="s">
        <v>2934</v>
      </c>
      <c r="K2379" s="1202" t="s">
        <v>2934</v>
      </c>
      <c r="L2379" s="1202" t="s">
        <v>2934</v>
      </c>
      <c r="M2379" s="1202" t="s">
        <v>2934</v>
      </c>
      <c r="N2379" s="1202" t="s">
        <v>2934</v>
      </c>
      <c r="O2379" s="1211" t="s">
        <v>2934</v>
      </c>
      <c r="P2379" s="1202">
        <f t="shared" si="141"/>
        <v>55501.5</v>
      </c>
    </row>
    <row r="2380" spans="1:16" ht="18.75">
      <c r="A2380" s="1206">
        <v>64</v>
      </c>
      <c r="B2380" s="1226" t="s">
        <v>1101</v>
      </c>
      <c r="C2380" s="1242" t="s">
        <v>3022</v>
      </c>
      <c r="D2380" s="478" t="s">
        <v>9</v>
      </c>
      <c r="E2380" s="1209">
        <v>2000</v>
      </c>
      <c r="F2380" s="1219">
        <v>1</v>
      </c>
      <c r="G2380" s="1202">
        <f>F2380*E2380</f>
        <v>2000</v>
      </c>
      <c r="H2380" s="1210" t="s">
        <v>2934</v>
      </c>
      <c r="I2380" s="1210" t="s">
        <v>2934</v>
      </c>
      <c r="J2380" s="1210" t="s">
        <v>2934</v>
      </c>
      <c r="K2380" s="1210" t="s">
        <v>2934</v>
      </c>
      <c r="L2380" s="1210" t="s">
        <v>2934</v>
      </c>
      <c r="M2380" s="1210" t="s">
        <v>2934</v>
      </c>
      <c r="N2380" s="1210" t="s">
        <v>2934</v>
      </c>
      <c r="O2380" s="1243" t="s">
        <v>2934</v>
      </c>
      <c r="P2380" s="1202">
        <f>G2380*F2380</f>
        <v>2000</v>
      </c>
    </row>
    <row r="2381" spans="1:16" ht="30">
      <c r="A2381" s="1206">
        <v>65</v>
      </c>
      <c r="B2381" s="1210" t="s">
        <v>3023</v>
      </c>
      <c r="C2381" s="1251" t="s">
        <v>3024</v>
      </c>
      <c r="D2381" s="11" t="s">
        <v>2</v>
      </c>
      <c r="E2381" s="13">
        <v>10207</v>
      </c>
      <c r="F2381" s="12">
        <v>4</v>
      </c>
      <c r="G2381" s="1202">
        <f t="shared" ref="G2381:G2388" si="142">F2381*E2381</f>
        <v>40828</v>
      </c>
      <c r="H2381" s="1202" t="s">
        <v>2934</v>
      </c>
      <c r="I2381" s="1202" t="s">
        <v>2934</v>
      </c>
      <c r="J2381" s="1202" t="s">
        <v>2934</v>
      </c>
      <c r="K2381" s="1202" t="s">
        <v>2934</v>
      </c>
      <c r="L2381" s="1202" t="s">
        <v>2934</v>
      </c>
      <c r="M2381" s="1202" t="s">
        <v>2934</v>
      </c>
      <c r="N2381" s="1202" t="s">
        <v>2934</v>
      </c>
      <c r="O2381" s="1211" t="s">
        <v>2934</v>
      </c>
      <c r="P2381" s="1202">
        <f t="shared" ref="P2381:P2391" si="143">F2381*E2381</f>
        <v>40828</v>
      </c>
    </row>
    <row r="2382" spans="1:16" ht="18.75">
      <c r="A2382" s="1206">
        <v>66</v>
      </c>
      <c r="B2382" s="1210" t="s">
        <v>3025</v>
      </c>
      <c r="C2382" s="1252" t="s">
        <v>3026</v>
      </c>
      <c r="D2382" s="11" t="s">
        <v>2</v>
      </c>
      <c r="E2382" s="13">
        <v>146.32</v>
      </c>
      <c r="F2382" s="1213">
        <v>170</v>
      </c>
      <c r="G2382" s="1202">
        <f t="shared" si="142"/>
        <v>24874.399999999998</v>
      </c>
      <c r="H2382" s="1202" t="s">
        <v>2934</v>
      </c>
      <c r="I2382" s="1202" t="s">
        <v>2934</v>
      </c>
      <c r="J2382" s="1202" t="s">
        <v>2934</v>
      </c>
      <c r="K2382" s="1202" t="s">
        <v>2934</v>
      </c>
      <c r="L2382" s="1202" t="s">
        <v>2934</v>
      </c>
      <c r="M2382" s="1202" t="s">
        <v>2934</v>
      </c>
      <c r="N2382" s="1202" t="s">
        <v>2934</v>
      </c>
      <c r="O2382" s="1211" t="s">
        <v>2934</v>
      </c>
      <c r="P2382" s="1202">
        <f t="shared" si="143"/>
        <v>24874.399999999998</v>
      </c>
    </row>
    <row r="2383" spans="1:16" ht="30">
      <c r="A2383" s="1206">
        <v>67</v>
      </c>
      <c r="B2383" s="1210" t="s">
        <v>3027</v>
      </c>
      <c r="C2383" s="1229" t="s">
        <v>3028</v>
      </c>
      <c r="D2383" s="62" t="s">
        <v>9</v>
      </c>
      <c r="E2383" s="12">
        <v>1410.1</v>
      </c>
      <c r="F2383" s="12">
        <v>1</v>
      </c>
      <c r="G2383" s="1202">
        <f t="shared" si="142"/>
        <v>1410.1</v>
      </c>
      <c r="H2383" s="1202" t="s">
        <v>2934</v>
      </c>
      <c r="I2383" s="1202" t="s">
        <v>2934</v>
      </c>
      <c r="J2383" s="1202" t="s">
        <v>2934</v>
      </c>
      <c r="K2383" s="1202" t="s">
        <v>2934</v>
      </c>
      <c r="L2383" s="1202" t="s">
        <v>2934</v>
      </c>
      <c r="M2383" s="1202" t="s">
        <v>2934</v>
      </c>
      <c r="N2383" s="1202" t="s">
        <v>2934</v>
      </c>
      <c r="O2383" s="1211" t="s">
        <v>2934</v>
      </c>
      <c r="P2383" s="1202">
        <f t="shared" si="143"/>
        <v>1410.1</v>
      </c>
    </row>
    <row r="2384" spans="1:16" ht="30">
      <c r="A2384" s="1206">
        <v>68</v>
      </c>
      <c r="B2384" s="1210" t="s">
        <v>336</v>
      </c>
      <c r="C2384" s="1253" t="s">
        <v>3029</v>
      </c>
      <c r="D2384" s="62" t="s">
        <v>9</v>
      </c>
      <c r="E2384" s="12">
        <v>1168.2</v>
      </c>
      <c r="F2384" s="12">
        <v>1</v>
      </c>
      <c r="G2384" s="1254">
        <f t="shared" si="142"/>
        <v>1168.2</v>
      </c>
      <c r="H2384" s="1202" t="s">
        <v>2934</v>
      </c>
      <c r="I2384" s="1202" t="s">
        <v>2934</v>
      </c>
      <c r="J2384" s="1202" t="s">
        <v>2934</v>
      </c>
      <c r="K2384" s="1202" t="s">
        <v>2934</v>
      </c>
      <c r="L2384" s="1202" t="s">
        <v>2934</v>
      </c>
      <c r="M2384" s="1202" t="s">
        <v>2934</v>
      </c>
      <c r="N2384" s="1202" t="s">
        <v>2934</v>
      </c>
      <c r="O2384" s="1211" t="s">
        <v>2934</v>
      </c>
      <c r="P2384" s="1202">
        <f t="shared" si="143"/>
        <v>1168.2</v>
      </c>
    </row>
    <row r="2385" spans="1:16" ht="37.5">
      <c r="A2385" s="1206">
        <v>69</v>
      </c>
      <c r="B2385" s="1210" t="s">
        <v>1181</v>
      </c>
      <c r="C2385" s="1220" t="s">
        <v>3030</v>
      </c>
      <c r="D2385" s="478" t="s">
        <v>9</v>
      </c>
      <c r="E2385" s="1209">
        <v>1416</v>
      </c>
      <c r="F2385" s="1210">
        <v>2</v>
      </c>
      <c r="G2385" s="1202">
        <f t="shared" si="142"/>
        <v>2832</v>
      </c>
      <c r="H2385" s="1202" t="s">
        <v>2934</v>
      </c>
      <c r="I2385" s="1202" t="s">
        <v>2934</v>
      </c>
      <c r="J2385" s="1202" t="s">
        <v>2934</v>
      </c>
      <c r="K2385" s="1202" t="s">
        <v>2934</v>
      </c>
      <c r="L2385" s="1202" t="s">
        <v>2934</v>
      </c>
      <c r="M2385" s="1202" t="s">
        <v>2934</v>
      </c>
      <c r="N2385" s="1202" t="s">
        <v>2934</v>
      </c>
      <c r="O2385" s="1211" t="s">
        <v>2934</v>
      </c>
      <c r="P2385" s="1202">
        <f t="shared" si="143"/>
        <v>2832</v>
      </c>
    </row>
    <row r="2386" spans="1:16" ht="18.75">
      <c r="A2386" s="1206">
        <v>70</v>
      </c>
      <c r="B2386" s="1210" t="s">
        <v>813</v>
      </c>
      <c r="C2386" s="1241" t="s">
        <v>3031</v>
      </c>
      <c r="D2386" s="1255" t="s">
        <v>9</v>
      </c>
      <c r="E2386" s="1256">
        <v>800</v>
      </c>
      <c r="F2386" s="1210">
        <v>2</v>
      </c>
      <c r="G2386" s="1202">
        <f t="shared" si="142"/>
        <v>1600</v>
      </c>
      <c r="H2386" s="1202" t="s">
        <v>2934</v>
      </c>
      <c r="I2386" s="1202" t="s">
        <v>2934</v>
      </c>
      <c r="J2386" s="1202" t="s">
        <v>2934</v>
      </c>
      <c r="K2386" s="1202" t="s">
        <v>2934</v>
      </c>
      <c r="L2386" s="1202" t="s">
        <v>2934</v>
      </c>
      <c r="M2386" s="1202" t="s">
        <v>2934</v>
      </c>
      <c r="N2386" s="1202" t="s">
        <v>2934</v>
      </c>
      <c r="O2386" s="1211" t="s">
        <v>2934</v>
      </c>
      <c r="P2386" s="1202">
        <f t="shared" si="143"/>
        <v>1600</v>
      </c>
    </row>
    <row r="2387" spans="1:16" ht="37.5">
      <c r="A2387" s="1206">
        <v>71</v>
      </c>
      <c r="B2387" s="1210" t="s">
        <v>809</v>
      </c>
      <c r="C2387" s="1220" t="s">
        <v>3032</v>
      </c>
      <c r="D2387" s="478" t="s">
        <v>9</v>
      </c>
      <c r="E2387" s="1209">
        <v>5000</v>
      </c>
      <c r="F2387" s="1210">
        <v>1</v>
      </c>
      <c r="G2387" s="1202">
        <f t="shared" si="142"/>
        <v>5000</v>
      </c>
      <c r="H2387" s="1202" t="s">
        <v>2934</v>
      </c>
      <c r="I2387" s="1202" t="s">
        <v>2934</v>
      </c>
      <c r="J2387" s="1202" t="s">
        <v>2934</v>
      </c>
      <c r="K2387" s="1202" t="s">
        <v>2934</v>
      </c>
      <c r="L2387" s="1202" t="s">
        <v>2934</v>
      </c>
      <c r="M2387" s="1202" t="s">
        <v>2934</v>
      </c>
      <c r="N2387" s="1202" t="s">
        <v>2934</v>
      </c>
      <c r="O2387" s="1211" t="s">
        <v>2934</v>
      </c>
      <c r="P2387" s="1202">
        <f t="shared" si="143"/>
        <v>5000</v>
      </c>
    </row>
    <row r="2388" spans="1:16" ht="56.25">
      <c r="A2388" s="1206">
        <v>72</v>
      </c>
      <c r="B2388" s="1210" t="s">
        <v>206</v>
      </c>
      <c r="C2388" s="1257" t="s">
        <v>3033</v>
      </c>
      <c r="D2388" s="478" t="s">
        <v>9</v>
      </c>
      <c r="E2388" s="1209">
        <v>1500</v>
      </c>
      <c r="F2388" s="1210">
        <v>2</v>
      </c>
      <c r="G2388" s="1202">
        <f t="shared" si="142"/>
        <v>3000</v>
      </c>
      <c r="H2388" s="1202" t="s">
        <v>2934</v>
      </c>
      <c r="I2388" s="1202" t="s">
        <v>2934</v>
      </c>
      <c r="J2388" s="1202" t="s">
        <v>2934</v>
      </c>
      <c r="K2388" s="1202" t="s">
        <v>2934</v>
      </c>
      <c r="L2388" s="1202" t="s">
        <v>2934</v>
      </c>
      <c r="M2388" s="1202" t="s">
        <v>2934</v>
      </c>
      <c r="N2388" s="1202" t="s">
        <v>2934</v>
      </c>
      <c r="O2388" s="1211" t="s">
        <v>2934</v>
      </c>
      <c r="P2388" s="1202">
        <f t="shared" si="143"/>
        <v>3000</v>
      </c>
    </row>
    <row r="2389" spans="1:16" ht="56.25">
      <c r="A2389" s="1206">
        <v>73</v>
      </c>
      <c r="B2389" s="1226" t="s">
        <v>206</v>
      </c>
      <c r="C2389" s="1258" t="s">
        <v>3034</v>
      </c>
      <c r="D2389" s="478" t="s">
        <v>9</v>
      </c>
      <c r="E2389" s="13">
        <v>1500</v>
      </c>
      <c r="F2389" s="1210">
        <v>1</v>
      </c>
      <c r="G2389" s="1202">
        <f>F2389*E2389</f>
        <v>1500</v>
      </c>
      <c r="H2389" s="1202" t="s">
        <v>2934</v>
      </c>
      <c r="I2389" s="1202" t="s">
        <v>2934</v>
      </c>
      <c r="J2389" s="1202" t="s">
        <v>2934</v>
      </c>
      <c r="K2389" s="1202" t="s">
        <v>2934</v>
      </c>
      <c r="L2389" s="1202" t="s">
        <v>2934</v>
      </c>
      <c r="M2389" s="1202" t="s">
        <v>2934</v>
      </c>
      <c r="N2389" s="1202" t="s">
        <v>2934</v>
      </c>
      <c r="O2389" s="1211" t="s">
        <v>2934</v>
      </c>
      <c r="P2389" s="1202">
        <f t="shared" si="143"/>
        <v>1500</v>
      </c>
    </row>
    <row r="2390" spans="1:16" ht="18.75">
      <c r="A2390" s="1206">
        <v>74</v>
      </c>
      <c r="B2390" s="1210" t="s">
        <v>721</v>
      </c>
      <c r="C2390" s="1252" t="s">
        <v>3035</v>
      </c>
      <c r="D2390" s="11" t="s">
        <v>2</v>
      </c>
      <c r="E2390" s="13">
        <v>116.82</v>
      </c>
      <c r="F2390" s="12">
        <v>150</v>
      </c>
      <c r="G2390" s="1214">
        <f t="shared" ref="G2390:G2391" si="144">F2390*E2390</f>
        <v>17523</v>
      </c>
      <c r="H2390" s="1202" t="s">
        <v>2934</v>
      </c>
      <c r="I2390" s="1202" t="s">
        <v>2934</v>
      </c>
      <c r="J2390" s="1202" t="s">
        <v>2934</v>
      </c>
      <c r="K2390" s="1202" t="s">
        <v>2934</v>
      </c>
      <c r="L2390" s="1202" t="s">
        <v>2934</v>
      </c>
      <c r="M2390" s="1202" t="s">
        <v>2934</v>
      </c>
      <c r="N2390" s="1202" t="s">
        <v>2934</v>
      </c>
      <c r="O2390" s="1211" t="s">
        <v>2934</v>
      </c>
      <c r="P2390" s="1202">
        <f t="shared" si="143"/>
        <v>17523</v>
      </c>
    </row>
    <row r="2391" spans="1:16" ht="18.75">
      <c r="A2391" s="1206">
        <v>75</v>
      </c>
      <c r="B2391" s="1210" t="s">
        <v>3036</v>
      </c>
      <c r="C2391" s="1232" t="s">
        <v>3037</v>
      </c>
      <c r="D2391" s="478" t="s">
        <v>9</v>
      </c>
      <c r="E2391" s="1209">
        <v>531</v>
      </c>
      <c r="F2391" s="1210">
        <v>4</v>
      </c>
      <c r="G2391" s="1202">
        <f t="shared" si="144"/>
        <v>2124</v>
      </c>
      <c r="H2391" s="1202" t="s">
        <v>2934</v>
      </c>
      <c r="I2391" s="1202" t="s">
        <v>2934</v>
      </c>
      <c r="J2391" s="1202" t="s">
        <v>2934</v>
      </c>
      <c r="K2391" s="1202" t="s">
        <v>2934</v>
      </c>
      <c r="L2391" s="1202" t="s">
        <v>2934</v>
      </c>
      <c r="M2391" s="1202" t="s">
        <v>2934</v>
      </c>
      <c r="N2391" s="1202" t="s">
        <v>2934</v>
      </c>
      <c r="O2391" s="1211" t="s">
        <v>2934</v>
      </c>
      <c r="P2391" s="1202">
        <f t="shared" si="143"/>
        <v>2124</v>
      </c>
    </row>
    <row r="2392" spans="1:16" ht="18.75">
      <c r="A2392" s="1206">
        <v>76</v>
      </c>
      <c r="B2392" s="1210" t="s">
        <v>815</v>
      </c>
      <c r="C2392" s="1252" t="s">
        <v>3038</v>
      </c>
      <c r="D2392" s="478" t="s">
        <v>9</v>
      </c>
      <c r="E2392" s="13">
        <v>50</v>
      </c>
      <c r="F2392" s="1210" t="s">
        <v>2937</v>
      </c>
      <c r="G2392" s="1210" t="s">
        <v>2934</v>
      </c>
      <c r="H2392" s="1210" t="s">
        <v>2934</v>
      </c>
      <c r="I2392" s="1210" t="s">
        <v>2934</v>
      </c>
      <c r="J2392" s="1210" t="s">
        <v>2934</v>
      </c>
      <c r="K2392" s="1210" t="s">
        <v>2934</v>
      </c>
      <c r="L2392" s="1210" t="s">
        <v>2934</v>
      </c>
      <c r="M2392" s="1210" t="s">
        <v>2934</v>
      </c>
      <c r="N2392" s="1202">
        <v>55</v>
      </c>
      <c r="O2392" s="1211">
        <f t="shared" ref="O2392:O2393" si="145">N2392*E2392</f>
        <v>2750</v>
      </c>
      <c r="P2392" s="1202">
        <f t="shared" ref="P2392:P2393" si="146">O2392</f>
        <v>2750</v>
      </c>
    </row>
    <row r="2393" spans="1:16" ht="18.75">
      <c r="A2393" s="1206">
        <v>77</v>
      </c>
      <c r="B2393" s="1210" t="s">
        <v>1343</v>
      </c>
      <c r="C2393" s="1252" t="s">
        <v>3039</v>
      </c>
      <c r="D2393" s="478" t="s">
        <v>9</v>
      </c>
      <c r="E2393" s="13">
        <v>5000</v>
      </c>
      <c r="F2393" s="1210" t="s">
        <v>2934</v>
      </c>
      <c r="G2393" s="1210" t="s">
        <v>3040</v>
      </c>
      <c r="H2393" s="1210" t="s">
        <v>3040</v>
      </c>
      <c r="I2393" s="1210" t="s">
        <v>3040</v>
      </c>
      <c r="J2393" s="1210" t="s">
        <v>3040</v>
      </c>
      <c r="K2393" s="1210" t="s">
        <v>3040</v>
      </c>
      <c r="L2393" s="1210" t="s">
        <v>3040</v>
      </c>
      <c r="M2393" s="1210" t="s">
        <v>3040</v>
      </c>
      <c r="N2393" s="1202">
        <v>1</v>
      </c>
      <c r="O2393" s="1211">
        <f t="shared" si="145"/>
        <v>5000</v>
      </c>
      <c r="P2393" s="1202">
        <f t="shared" si="146"/>
        <v>5000</v>
      </c>
    </row>
    <row r="2394" spans="1:16" ht="37.5">
      <c r="A2394" s="1206">
        <v>78</v>
      </c>
      <c r="B2394" s="1210"/>
      <c r="C2394" s="1259" t="s">
        <v>3041</v>
      </c>
      <c r="D2394" s="478" t="s">
        <v>9</v>
      </c>
      <c r="E2394" s="13">
        <v>5000</v>
      </c>
      <c r="F2394" s="1210">
        <v>1</v>
      </c>
      <c r="G2394" s="1210">
        <f>E2394*F2394</f>
        <v>5000</v>
      </c>
      <c r="H2394" s="1210" t="s">
        <v>3040</v>
      </c>
      <c r="I2394" s="1210" t="s">
        <v>3040</v>
      </c>
      <c r="J2394" s="1210" t="s">
        <v>3040</v>
      </c>
      <c r="K2394" s="1210" t="s">
        <v>3040</v>
      </c>
      <c r="L2394" s="1210" t="s">
        <v>3040</v>
      </c>
      <c r="M2394" s="1210" t="s">
        <v>3040</v>
      </c>
      <c r="N2394" s="1210" t="s">
        <v>3040</v>
      </c>
      <c r="O2394" s="1210" t="s">
        <v>3040</v>
      </c>
      <c r="P2394" s="1202">
        <f>G2394</f>
        <v>5000</v>
      </c>
    </row>
    <row r="2395" spans="1:16" ht="37.5">
      <c r="A2395" s="1206">
        <v>79</v>
      </c>
      <c r="B2395" s="1210"/>
      <c r="C2395" s="1259" t="s">
        <v>3042</v>
      </c>
      <c r="D2395" s="478" t="s">
        <v>9</v>
      </c>
      <c r="E2395" s="13">
        <v>2200</v>
      </c>
      <c r="F2395" s="1210" t="s">
        <v>2934</v>
      </c>
      <c r="G2395" s="1210" t="s">
        <v>2934</v>
      </c>
      <c r="H2395" s="1210" t="s">
        <v>3040</v>
      </c>
      <c r="I2395" s="1210" t="s">
        <v>3040</v>
      </c>
      <c r="J2395" s="1210" t="s">
        <v>3040</v>
      </c>
      <c r="K2395" s="1210" t="s">
        <v>3040</v>
      </c>
      <c r="L2395" s="1210" t="s">
        <v>3040</v>
      </c>
      <c r="M2395" s="1210" t="s">
        <v>3040</v>
      </c>
      <c r="N2395" s="1202">
        <v>2</v>
      </c>
      <c r="O2395" s="1211">
        <f>N2395*E2395</f>
        <v>4400</v>
      </c>
      <c r="P2395" s="1202">
        <f>O2395</f>
        <v>4400</v>
      </c>
    </row>
    <row r="2396" spans="1:16" ht="18.75">
      <c r="A2396" s="1206">
        <v>80</v>
      </c>
      <c r="B2396" s="1210" t="s">
        <v>3043</v>
      </c>
      <c r="C2396" s="1242" t="s">
        <v>3044</v>
      </c>
      <c r="D2396" s="478" t="s">
        <v>5</v>
      </c>
      <c r="E2396" s="1209">
        <v>20</v>
      </c>
      <c r="F2396" s="1219">
        <v>225</v>
      </c>
      <c r="G2396" s="1202">
        <f>F2396*E2396</f>
        <v>4500</v>
      </c>
      <c r="H2396" s="1202" t="s">
        <v>2934</v>
      </c>
      <c r="I2396" s="1202" t="s">
        <v>2934</v>
      </c>
      <c r="J2396" s="1202" t="s">
        <v>2934</v>
      </c>
      <c r="K2396" s="1202" t="s">
        <v>2934</v>
      </c>
      <c r="L2396" s="1202" t="s">
        <v>2934</v>
      </c>
      <c r="M2396" s="1202" t="s">
        <v>2934</v>
      </c>
      <c r="N2396" s="1202" t="s">
        <v>2934</v>
      </c>
      <c r="O2396" s="1211" t="s">
        <v>2934</v>
      </c>
      <c r="P2396" s="1202">
        <f t="shared" ref="P2396" si="147">F2396*E2396</f>
        <v>4500</v>
      </c>
    </row>
    <row r="2397" spans="1:16" ht="18.75">
      <c r="A2397" s="1206"/>
      <c r="B2397" s="1210"/>
      <c r="C2397" s="1242"/>
      <c r="D2397" s="478"/>
      <c r="E2397" s="1209"/>
      <c r="F2397" s="1219"/>
      <c r="G2397" s="1214">
        <f>SUM(G2317:G2396)</f>
        <v>2097435.0239499994</v>
      </c>
      <c r="H2397" s="1202"/>
      <c r="I2397" s="1202"/>
      <c r="J2397" s="1202"/>
      <c r="K2397" s="1202"/>
      <c r="L2397" s="1202"/>
      <c r="M2397" s="1202"/>
      <c r="N2397" s="1202"/>
      <c r="O2397" s="1211">
        <f>SUM(O2325:O2396)</f>
        <v>27200</v>
      </c>
      <c r="P2397" s="1202">
        <f>SUM(P2317:P2396)</f>
        <v>2124635.0239499994</v>
      </c>
    </row>
    <row r="2398" spans="1:16" ht="112.5">
      <c r="A2398" s="1260" t="s">
        <v>3045</v>
      </c>
      <c r="B2398" s="1260"/>
      <c r="C2398" s="1260"/>
      <c r="D2398" s="1260"/>
      <c r="E2398" s="1202"/>
      <c r="F2398" s="1202"/>
      <c r="G2398" s="1202" t="s">
        <v>3046</v>
      </c>
      <c r="H2398" s="1214"/>
      <c r="I2398" s="1261" t="s">
        <v>3047</v>
      </c>
      <c r="J2398" s="1214"/>
      <c r="K2398" s="1262" t="s">
        <v>3048</v>
      </c>
      <c r="L2398" s="1214"/>
      <c r="M2398" s="1261" t="s">
        <v>3049</v>
      </c>
      <c r="N2398" s="1214"/>
      <c r="O2398" s="1263" t="s">
        <v>3050</v>
      </c>
      <c r="P2398" s="1264" t="s">
        <v>2930</v>
      </c>
    </row>
    <row r="2399" spans="1:16" ht="20.25">
      <c r="A2399" s="1265"/>
      <c r="B2399" s="1265"/>
      <c r="C2399" s="1265"/>
      <c r="D2399" s="1265"/>
      <c r="E2399" s="1265"/>
      <c r="F2399" s="1265"/>
      <c r="G2399" s="1266">
        <f>G2397</f>
        <v>2097435.0239499994</v>
      </c>
      <c r="H2399" s="1265"/>
      <c r="I2399" s="1265"/>
      <c r="J2399" s="1265"/>
      <c r="K2399" s="1265"/>
      <c r="L2399" s="1265"/>
      <c r="M2399" s="1265"/>
      <c r="N2399" s="1265"/>
      <c r="O2399" s="1267">
        <f>O2397</f>
        <v>27200</v>
      </c>
      <c r="P2399" s="1268">
        <f>O2399+G2399</f>
        <v>2124635.0239499994</v>
      </c>
    </row>
    <row r="2400" spans="1:16" ht="20.25">
      <c r="A2400" s="1269"/>
      <c r="B2400" s="1269"/>
      <c r="C2400" s="1266"/>
      <c r="D2400" s="1269"/>
      <c r="E2400" s="1269"/>
      <c r="F2400" s="1269"/>
      <c r="G2400" s="1270"/>
      <c r="H2400" s="1269"/>
      <c r="I2400" s="1269"/>
      <c r="J2400" s="1269"/>
      <c r="K2400" s="996" t="s">
        <v>1780</v>
      </c>
      <c r="L2400" s="996"/>
      <c r="M2400" s="996"/>
      <c r="N2400" s="996"/>
      <c r="O2400" s="1271" t="s">
        <v>1781</v>
      </c>
      <c r="P2400" s="1271"/>
    </row>
    <row r="2401" spans="1:16" ht="18.75">
      <c r="A2401" s="1269"/>
      <c r="B2401" s="1269"/>
      <c r="C2401" s="1269"/>
      <c r="D2401" s="1269"/>
      <c r="E2401" s="1269"/>
      <c r="F2401" s="1269"/>
      <c r="G2401" s="1272"/>
      <c r="H2401" s="1269"/>
      <c r="I2401" s="1269"/>
      <c r="J2401" s="1269"/>
      <c r="K2401" s="1273"/>
      <c r="L2401" s="1273"/>
      <c r="M2401" s="1273"/>
      <c r="N2401" s="1273"/>
      <c r="O2401" s="1274"/>
      <c r="P2401" s="1274"/>
    </row>
    <row r="2402" spans="1:16" ht="18.75">
      <c r="A2402" s="1269"/>
      <c r="B2402" s="1269"/>
      <c r="C2402" s="1275"/>
      <c r="D2402" s="1269"/>
      <c r="E2402" s="1269"/>
      <c r="F2402" s="1269"/>
      <c r="G2402" s="1275"/>
      <c r="H2402" s="1269"/>
      <c r="I2402" s="1269"/>
      <c r="J2402" s="1269"/>
      <c r="K2402" s="996" t="s">
        <v>1782</v>
      </c>
      <c r="L2402" s="996"/>
      <c r="M2402" s="996"/>
      <c r="N2402" s="996"/>
      <c r="O2402" s="1271" t="s">
        <v>1781</v>
      </c>
      <c r="P2402" s="1271"/>
    </row>
    <row r="2403" spans="1:16" ht="18.75">
      <c r="A2403" s="1269"/>
      <c r="B2403" s="1269"/>
      <c r="C2403" s="1269"/>
      <c r="D2403" s="1269"/>
      <c r="E2403" s="1269"/>
      <c r="F2403" s="1269"/>
      <c r="G2403" s="1275"/>
      <c r="H2403" s="1269"/>
      <c r="I2403" s="1269"/>
      <c r="J2403" s="1275"/>
      <c r="K2403" s="1273"/>
      <c r="L2403" s="1273"/>
      <c r="M2403" s="1273"/>
      <c r="N2403" s="1273"/>
      <c r="O2403" s="1276"/>
      <c r="P2403" s="1276"/>
    </row>
    <row r="2404" spans="1:16" ht="18.75">
      <c r="A2404" s="1269"/>
      <c r="B2404" s="1269"/>
      <c r="C2404" s="1275"/>
      <c r="D2404" s="1269"/>
      <c r="E2404" s="1269"/>
      <c r="F2404" s="1269"/>
      <c r="G2404" s="1275"/>
      <c r="H2404" s="1269"/>
      <c r="I2404" s="1269"/>
      <c r="J2404" s="1269"/>
      <c r="K2404" s="996" t="s">
        <v>1783</v>
      </c>
      <c r="L2404" s="996"/>
      <c r="M2404" s="996"/>
      <c r="N2404" s="996"/>
      <c r="O2404" s="1271" t="s">
        <v>1781</v>
      </c>
      <c r="P2404" s="1271"/>
    </row>
    <row r="2405" spans="1:16" ht="18.75">
      <c r="A2405" s="1269"/>
      <c r="B2405" s="1269"/>
      <c r="C2405" s="1269"/>
      <c r="D2405" s="1269"/>
      <c r="E2405" s="1269"/>
      <c r="F2405" s="1269"/>
      <c r="G2405" s="1275"/>
      <c r="H2405" s="1269"/>
      <c r="I2405" s="1269"/>
      <c r="J2405" s="1269"/>
      <c r="K2405" s="1273"/>
      <c r="L2405" s="1273"/>
      <c r="M2405" s="1273"/>
      <c r="N2405" s="1273"/>
      <c r="O2405" s="1274"/>
      <c r="P2405" s="1274"/>
    </row>
  </sheetData>
  <mergeCells count="331">
    <mergeCell ref="K2405:N2405"/>
    <mergeCell ref="O2405:P2405"/>
    <mergeCell ref="K2402:N2402"/>
    <mergeCell ref="O2402:P2402"/>
    <mergeCell ref="K2403:N2403"/>
    <mergeCell ref="O2403:P2403"/>
    <mergeCell ref="K2404:N2404"/>
    <mergeCell ref="O2404:P2404"/>
    <mergeCell ref="P2315:P2316"/>
    <mergeCell ref="A2398:D2398"/>
    <mergeCell ref="K2400:N2400"/>
    <mergeCell ref="O2400:P2400"/>
    <mergeCell ref="K2401:N2401"/>
    <mergeCell ref="O2401:P2401"/>
    <mergeCell ref="F2315:G2315"/>
    <mergeCell ref="H2315:I2315"/>
    <mergeCell ref="J2315:K2315"/>
    <mergeCell ref="L2315:M2315"/>
    <mergeCell ref="N2315:O2315"/>
    <mergeCell ref="A2289:B2289"/>
    <mergeCell ref="B2290:B2303"/>
    <mergeCell ref="I2310:K2310"/>
    <mergeCell ref="A2313:C2313"/>
    <mergeCell ref="A2314:C2314"/>
    <mergeCell ref="B2258:B2259"/>
    <mergeCell ref="B2267:B2268"/>
    <mergeCell ref="B2272:B2273"/>
    <mergeCell ref="B2280:B2281"/>
    <mergeCell ref="B2284:B2288"/>
    <mergeCell ref="J2172:J2173"/>
    <mergeCell ref="K2172:K2173"/>
    <mergeCell ref="A2174:B2174"/>
    <mergeCell ref="A2194:B2194"/>
    <mergeCell ref="B2236:B2237"/>
    <mergeCell ref="A2172:A2173"/>
    <mergeCell ref="B2172:B2173"/>
    <mergeCell ref="C2172:C2173"/>
    <mergeCell ref="D2172:D2173"/>
    <mergeCell ref="E2172:I2172"/>
    <mergeCell ref="A2167:K2168"/>
    <mergeCell ref="A2170:C2170"/>
    <mergeCell ref="G2170:J2170"/>
    <mergeCell ref="A2171:C2171"/>
    <mergeCell ref="H2171:J2171"/>
    <mergeCell ref="A1919:K1919"/>
    <mergeCell ref="A1920:K1920"/>
    <mergeCell ref="A1921:K1921"/>
    <mergeCell ref="B1922:B1923"/>
    <mergeCell ref="C1922:C1923"/>
    <mergeCell ref="E1922:I1922"/>
    <mergeCell ref="J1922:J1923"/>
    <mergeCell ref="A1999:C1999"/>
    <mergeCell ref="A2021:K2021"/>
    <mergeCell ref="B2023:B2024"/>
    <mergeCell ref="C2023:C2024"/>
    <mergeCell ref="E2023:I2023"/>
    <mergeCell ref="J2023:J2024"/>
    <mergeCell ref="A2154:A2155"/>
    <mergeCell ref="K2154:K2155"/>
    <mergeCell ref="A2153:K2153"/>
    <mergeCell ref="B2154:B2155"/>
    <mergeCell ref="C2154:C2155"/>
    <mergeCell ref="E2154:I2154"/>
    <mergeCell ref="J2154:J2155"/>
    <mergeCell ref="A2149:C2149"/>
    <mergeCell ref="A2096:A2097"/>
    <mergeCell ref="K2096:K2097"/>
    <mergeCell ref="A2094:K2095"/>
    <mergeCell ref="B2096:B2097"/>
    <mergeCell ref="C2096:C2097"/>
    <mergeCell ref="E2096:I2096"/>
    <mergeCell ref="J2096:J2097"/>
    <mergeCell ref="A2080:K2082"/>
    <mergeCell ref="A2023:A2024"/>
    <mergeCell ref="K2023:K2024"/>
    <mergeCell ref="A1915:E1915"/>
    <mergeCell ref="A1922:A1923"/>
    <mergeCell ref="K1922:K1923"/>
    <mergeCell ref="C1803:C1804"/>
    <mergeCell ref="A1811:E1811"/>
    <mergeCell ref="M1814:N1814"/>
    <mergeCell ref="A1818:A1819"/>
    <mergeCell ref="B1818:B1819"/>
    <mergeCell ref="C1818:C1819"/>
    <mergeCell ref="D1818:D1819"/>
    <mergeCell ref="E1818:E1819"/>
    <mergeCell ref="F1818:G1818"/>
    <mergeCell ref="H1818:I1818"/>
    <mergeCell ref="J1818:K1818"/>
    <mergeCell ref="L1818:M1818"/>
    <mergeCell ref="N1818:O1818"/>
    <mergeCell ref="A1781:A1782"/>
    <mergeCell ref="C1781:C1782"/>
    <mergeCell ref="A1783:A1784"/>
    <mergeCell ref="C1783:C1785"/>
    <mergeCell ref="A1801:A1802"/>
    <mergeCell ref="B1801:B1802"/>
    <mergeCell ref="C1801:C1802"/>
    <mergeCell ref="C1720:C1721"/>
    <mergeCell ref="C1722:C1723"/>
    <mergeCell ref="C1724:C1725"/>
    <mergeCell ref="C1726:C1727"/>
    <mergeCell ref="A1764:A1765"/>
    <mergeCell ref="B1764:B1765"/>
    <mergeCell ref="C1764:C1765"/>
    <mergeCell ref="A1661:A1662"/>
    <mergeCell ref="C1661:C1662"/>
    <mergeCell ref="C1679:C1680"/>
    <mergeCell ref="C1709:C1710"/>
    <mergeCell ref="C1717:C1718"/>
    <mergeCell ref="B1626:B1627"/>
    <mergeCell ref="C1626:C1627"/>
    <mergeCell ref="B1629:B1630"/>
    <mergeCell ref="C1629:C1630"/>
    <mergeCell ref="B1632:B1633"/>
    <mergeCell ref="C1632:C1633"/>
    <mergeCell ref="C1607:C1608"/>
    <mergeCell ref="A1615:A1616"/>
    <mergeCell ref="B1615:B1616"/>
    <mergeCell ref="C1615:C1616"/>
    <mergeCell ref="B1623:B1625"/>
    <mergeCell ref="C1623:C1625"/>
    <mergeCell ref="B1546:B1549"/>
    <mergeCell ref="C1546:C1549"/>
    <mergeCell ref="A1557:A1558"/>
    <mergeCell ref="C1557:C1558"/>
    <mergeCell ref="C1559:C1560"/>
    <mergeCell ref="A1522:O1522"/>
    <mergeCell ref="A1524:C1524"/>
    <mergeCell ref="A1525:C1525"/>
    <mergeCell ref="A1527:A1528"/>
    <mergeCell ref="B1527:B1528"/>
    <mergeCell ref="C1527:C1528"/>
    <mergeCell ref="D1527:D1528"/>
    <mergeCell ref="E1527:E1528"/>
    <mergeCell ref="F1527:G1527"/>
    <mergeCell ref="H1527:I1527"/>
    <mergeCell ref="J1527:K1527"/>
    <mergeCell ref="L1527:M1527"/>
    <mergeCell ref="N1527:O1527"/>
    <mergeCell ref="F1422:G1422"/>
    <mergeCell ref="H1422:I1422"/>
    <mergeCell ref="J1422:K1422"/>
    <mergeCell ref="L1422:M1422"/>
    <mergeCell ref="N1422:O1422"/>
    <mergeCell ref="A1422:A1423"/>
    <mergeCell ref="B1422:B1423"/>
    <mergeCell ref="C1422:C1423"/>
    <mergeCell ref="D1422:D1423"/>
    <mergeCell ref="E1422:E1423"/>
    <mergeCell ref="N804:O804"/>
    <mergeCell ref="A952:C952"/>
    <mergeCell ref="A961:A962"/>
    <mergeCell ref="B961:B962"/>
    <mergeCell ref="C961:C962"/>
    <mergeCell ref="D961:D962"/>
    <mergeCell ref="E961:E962"/>
    <mergeCell ref="F961:G961"/>
    <mergeCell ref="H961:I961"/>
    <mergeCell ref="J961:K961"/>
    <mergeCell ref="L961:M961"/>
    <mergeCell ref="N961:O961"/>
    <mergeCell ref="E804:E805"/>
    <mergeCell ref="F804:G804"/>
    <mergeCell ref="H804:I804"/>
    <mergeCell ref="J804:K804"/>
    <mergeCell ref="L804:M804"/>
    <mergeCell ref="G699:G701"/>
    <mergeCell ref="A707:I707"/>
    <mergeCell ref="A710:I710"/>
    <mergeCell ref="A800:O800"/>
    <mergeCell ref="A699:A701"/>
    <mergeCell ref="B699:B701"/>
    <mergeCell ref="C699:C701"/>
    <mergeCell ref="E699:E701"/>
    <mergeCell ref="F699:F701"/>
    <mergeCell ref="G695:H695"/>
    <mergeCell ref="I695:Q695"/>
    <mergeCell ref="A697:G698"/>
    <mergeCell ref="J697:M697"/>
    <mergeCell ref="N697:O697"/>
    <mergeCell ref="P697:Q697"/>
    <mergeCell ref="A606:A608"/>
    <mergeCell ref="B606:B608"/>
    <mergeCell ref="C606:C608"/>
    <mergeCell ref="E606:E608"/>
    <mergeCell ref="F606:F608"/>
    <mergeCell ref="Q572:Q574"/>
    <mergeCell ref="E599:F599"/>
    <mergeCell ref="H600:P600"/>
    <mergeCell ref="P601:Q601"/>
    <mergeCell ref="A604:F605"/>
    <mergeCell ref="G604:H605"/>
    <mergeCell ref="I604:J605"/>
    <mergeCell ref="K604:L605"/>
    <mergeCell ref="M604:N605"/>
    <mergeCell ref="O604:P605"/>
    <mergeCell ref="F569:G569"/>
    <mergeCell ref="C570:P571"/>
    <mergeCell ref="A572:A574"/>
    <mergeCell ref="B572:B574"/>
    <mergeCell ref="C572:C574"/>
    <mergeCell ref="D572:D573"/>
    <mergeCell ref="E572:E574"/>
    <mergeCell ref="F572:F574"/>
    <mergeCell ref="G572:H574"/>
    <mergeCell ref="I572:J574"/>
    <mergeCell ref="K572:L574"/>
    <mergeCell ref="M572:N574"/>
    <mergeCell ref="O572:P574"/>
    <mergeCell ref="H560:P560"/>
    <mergeCell ref="C561:Q562"/>
    <mergeCell ref="A563:A565"/>
    <mergeCell ref="B563:B565"/>
    <mergeCell ref="C563:C565"/>
    <mergeCell ref="D563:D565"/>
    <mergeCell ref="E563:E565"/>
    <mergeCell ref="F563:F565"/>
    <mergeCell ref="G563:H565"/>
    <mergeCell ref="I563:J565"/>
    <mergeCell ref="K563:L565"/>
    <mergeCell ref="M563:N565"/>
    <mergeCell ref="O563:P565"/>
    <mergeCell ref="Q563:Q565"/>
    <mergeCell ref="H505:P505"/>
    <mergeCell ref="C506:Q507"/>
    <mergeCell ref="A508:A510"/>
    <mergeCell ref="B508:B510"/>
    <mergeCell ref="C508:C510"/>
    <mergeCell ref="D508:D510"/>
    <mergeCell ref="E508:E510"/>
    <mergeCell ref="F508:F510"/>
    <mergeCell ref="G508:H510"/>
    <mergeCell ref="I508:J510"/>
    <mergeCell ref="K508:L510"/>
    <mergeCell ref="M508:N510"/>
    <mergeCell ref="O508:P510"/>
    <mergeCell ref="Q508:Q510"/>
    <mergeCell ref="H393:I393"/>
    <mergeCell ref="C401:Q402"/>
    <mergeCell ref="A403:A405"/>
    <mergeCell ref="B403:B405"/>
    <mergeCell ref="C403:C405"/>
    <mergeCell ref="D403:D405"/>
    <mergeCell ref="E403:E405"/>
    <mergeCell ref="F403:F405"/>
    <mergeCell ref="G403:H405"/>
    <mergeCell ref="I403:J405"/>
    <mergeCell ref="K403:L405"/>
    <mergeCell ref="M403:N405"/>
    <mergeCell ref="O403:P405"/>
    <mergeCell ref="Q403:Q405"/>
    <mergeCell ref="H388:I388"/>
    <mergeCell ref="B389:K389"/>
    <mergeCell ref="A390:A391"/>
    <mergeCell ref="B390:B391"/>
    <mergeCell ref="C390:C391"/>
    <mergeCell ref="D390:D391"/>
    <mergeCell ref="E390:I390"/>
    <mergeCell ref="K390:K391"/>
    <mergeCell ref="H382:I382"/>
    <mergeCell ref="B383:K383"/>
    <mergeCell ref="A384:A385"/>
    <mergeCell ref="B384:B385"/>
    <mergeCell ref="C384:C385"/>
    <mergeCell ref="D384:D385"/>
    <mergeCell ref="E384:I384"/>
    <mergeCell ref="K384:K385"/>
    <mergeCell ref="A356:K357"/>
    <mergeCell ref="A359:C359"/>
    <mergeCell ref="A360:C360"/>
    <mergeCell ref="H360:K360"/>
    <mergeCell ref="A361:A362"/>
    <mergeCell ref="B361:B362"/>
    <mergeCell ref="C361:C362"/>
    <mergeCell ref="D361:D362"/>
    <mergeCell ref="E361:I361"/>
    <mergeCell ref="K361:K362"/>
    <mergeCell ref="A303:K303"/>
    <mergeCell ref="A305:J305"/>
    <mergeCell ref="A307:K307"/>
    <mergeCell ref="B338:J338"/>
    <mergeCell ref="A350:J350"/>
    <mergeCell ref="A244:J244"/>
    <mergeCell ref="B250:J250"/>
    <mergeCell ref="B282:J282"/>
    <mergeCell ref="A283:K283"/>
    <mergeCell ref="B302:J302"/>
    <mergeCell ref="B142:B143"/>
    <mergeCell ref="C142:C143"/>
    <mergeCell ref="D142:D143"/>
    <mergeCell ref="K142:K143"/>
    <mergeCell ref="A141:K141"/>
    <mergeCell ref="A142:A143"/>
    <mergeCell ref="E142:I142"/>
    <mergeCell ref="J142:J143"/>
    <mergeCell ref="A135:J136"/>
    <mergeCell ref="A138:C138"/>
    <mergeCell ref="H138:I138"/>
    <mergeCell ref="A139:C139"/>
    <mergeCell ref="I139:J139"/>
    <mergeCell ref="K97:K98"/>
    <mergeCell ref="A97:A98"/>
    <mergeCell ref="B97:B98"/>
    <mergeCell ref="C97:C98"/>
    <mergeCell ref="E97:I97"/>
    <mergeCell ref="J97:J98"/>
    <mergeCell ref="A96:K96"/>
    <mergeCell ref="A38:K38"/>
    <mergeCell ref="A39:A40"/>
    <mergeCell ref="B39:B40"/>
    <mergeCell ref="C39:C40"/>
    <mergeCell ref="E39:I39"/>
    <mergeCell ref="J39:J40"/>
    <mergeCell ref="K39:K40"/>
    <mergeCell ref="A1:K1"/>
    <mergeCell ref="A2:K2"/>
    <mergeCell ref="A115:K115"/>
    <mergeCell ref="A116:A117"/>
    <mergeCell ref="B116:B117"/>
    <mergeCell ref="C116:C117"/>
    <mergeCell ref="E116:I116"/>
    <mergeCell ref="J116:J117"/>
    <mergeCell ref="K116:K117"/>
    <mergeCell ref="A3:K3"/>
    <mergeCell ref="A4:A5"/>
    <mergeCell ref="B4:B5"/>
    <mergeCell ref="C4:C5"/>
    <mergeCell ref="E4:I4"/>
    <mergeCell ref="J4:J5"/>
    <mergeCell ref="K4:K5"/>
  </mergeCells>
  <printOptions horizontalCentered="1" verticalCentered="1"/>
  <pageMargins left="0" right="0"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A3" sqref="A3:C3"/>
    </sheetView>
  </sheetViews>
  <sheetFormatPr defaultRowHeight="15"/>
  <cols>
    <col min="1" max="1" width="8" customWidth="1"/>
    <col min="2" max="2" width="68.140625" customWidth="1"/>
    <col min="3" max="3" width="39" customWidth="1"/>
    <col min="4" max="4" width="10.5703125" bestFit="1" customWidth="1"/>
    <col min="5" max="5" width="11.85546875" customWidth="1"/>
    <col min="6" max="6" width="11.5703125" bestFit="1" customWidth="1"/>
    <col min="7" max="7" width="15.5703125" customWidth="1"/>
    <col min="9" max="9" width="19.140625" customWidth="1"/>
  </cols>
  <sheetData>
    <row r="1" spans="1:6" ht="26.25">
      <c r="A1" s="136" t="s">
        <v>14</v>
      </c>
      <c r="B1" s="136"/>
      <c r="C1" s="136"/>
    </row>
    <row r="2" spans="1:6" ht="24" customHeight="1">
      <c r="A2" s="137" t="s">
        <v>117</v>
      </c>
      <c r="B2" s="137"/>
      <c r="C2" s="137"/>
    </row>
    <row r="3" spans="1:6" ht="24" customHeight="1">
      <c r="A3" s="137" t="s">
        <v>252</v>
      </c>
      <c r="B3" s="137"/>
      <c r="C3" s="137"/>
    </row>
    <row r="4" spans="1:6" ht="15.75">
      <c r="A4" s="10" t="s">
        <v>15</v>
      </c>
      <c r="B4" s="10" t="s">
        <v>16</v>
      </c>
      <c r="C4" s="11" t="s">
        <v>0</v>
      </c>
      <c r="F4" s="15"/>
    </row>
    <row r="5" spans="1:6" ht="21">
      <c r="A5" s="138" t="s">
        <v>17</v>
      </c>
      <c r="B5" s="139"/>
      <c r="C5" s="8"/>
      <c r="E5" s="15"/>
    </row>
    <row r="6" spans="1:6">
      <c r="A6" s="1">
        <v>1</v>
      </c>
      <c r="B6" s="1" t="s">
        <v>18</v>
      </c>
      <c r="C6" s="9">
        <f>'Stock &amp; T&amp;P'!L30+'Stock &amp; T&amp;P'!L113</f>
        <v>2462701.7999999998</v>
      </c>
      <c r="E6" s="15"/>
    </row>
    <row r="7" spans="1:6">
      <c r="A7" s="1">
        <v>2</v>
      </c>
      <c r="B7" s="1" t="s">
        <v>19</v>
      </c>
      <c r="C7" s="8">
        <v>0</v>
      </c>
      <c r="E7" s="15"/>
    </row>
    <row r="8" spans="1:6">
      <c r="A8" s="1">
        <v>3</v>
      </c>
      <c r="B8" s="1" t="s">
        <v>20</v>
      </c>
      <c r="C8" s="9">
        <v>0</v>
      </c>
      <c r="E8" s="15"/>
    </row>
    <row r="9" spans="1:6">
      <c r="A9" s="1">
        <v>4</v>
      </c>
      <c r="B9" s="1" t="s">
        <v>21</v>
      </c>
      <c r="C9" s="8">
        <v>0</v>
      </c>
      <c r="E9" s="15"/>
    </row>
    <row r="10" spans="1:6">
      <c r="A10" s="1">
        <v>5</v>
      </c>
      <c r="B10" s="1" t="s">
        <v>1</v>
      </c>
      <c r="C10" s="9">
        <f>'Stock &amp; T&amp;P'!L38+'Stock &amp; T&amp;P'!L115</f>
        <v>398048</v>
      </c>
      <c r="D10" s="15"/>
      <c r="E10" s="18"/>
    </row>
    <row r="11" spans="1:6" ht="18.75">
      <c r="A11" s="134" t="s">
        <v>22</v>
      </c>
      <c r="B11" s="135"/>
      <c r="C11" s="13">
        <f>SUM(C6:C10)</f>
        <v>2860749.8</v>
      </c>
      <c r="E11" s="18"/>
    </row>
    <row r="12" spans="1:6" ht="23.25" customHeight="1">
      <c r="A12" s="140" t="s">
        <v>23</v>
      </c>
      <c r="B12" s="141"/>
      <c r="C12" s="8"/>
    </row>
    <row r="13" spans="1:6">
      <c r="A13" s="1">
        <v>1</v>
      </c>
      <c r="B13" s="1" t="s">
        <v>18</v>
      </c>
      <c r="C13" s="9">
        <f>'Stock &amp; T&amp;P'!M95+'Stock &amp; T&amp;P'!L132</f>
        <v>16845738.772</v>
      </c>
    </row>
    <row r="14" spans="1:6">
      <c r="A14" s="1">
        <v>2</v>
      </c>
      <c r="B14" s="1" t="s">
        <v>19</v>
      </c>
      <c r="C14" s="8">
        <v>0</v>
      </c>
      <c r="E14" s="15"/>
    </row>
    <row r="15" spans="1:6">
      <c r="A15" s="1">
        <v>3</v>
      </c>
      <c r="B15" s="1" t="s">
        <v>20</v>
      </c>
      <c r="C15" s="8">
        <v>0</v>
      </c>
    </row>
    <row r="16" spans="1:6">
      <c r="A16" s="1">
        <v>4</v>
      </c>
      <c r="B16" s="1" t="s">
        <v>21</v>
      </c>
      <c r="C16" s="8">
        <v>0</v>
      </c>
    </row>
    <row r="17" spans="1:5">
      <c r="A17" s="1">
        <v>5</v>
      </c>
      <c r="B17" s="1" t="s">
        <v>1</v>
      </c>
      <c r="C17" s="8">
        <f>'Stock &amp; T&amp;P'!L96</f>
        <v>63587.569999999992</v>
      </c>
    </row>
    <row r="18" spans="1:5" ht="18.75">
      <c r="A18" s="134" t="s">
        <v>24</v>
      </c>
      <c r="B18" s="135"/>
      <c r="C18" s="12">
        <f>SUM(C13:C17)</f>
        <v>16909326.342</v>
      </c>
    </row>
    <row r="19" spans="1:5" ht="18.75">
      <c r="A19" s="134" t="s">
        <v>25</v>
      </c>
      <c r="B19" s="135"/>
      <c r="C19" s="13">
        <f>C11+C18</f>
        <v>19770076.142000001</v>
      </c>
      <c r="E19" s="15"/>
    </row>
    <row r="22" spans="1:5">
      <c r="E22" s="15"/>
    </row>
  </sheetData>
  <mergeCells count="8">
    <mergeCell ref="A18:B18"/>
    <mergeCell ref="A19:B19"/>
    <mergeCell ref="A1:C1"/>
    <mergeCell ref="A2:C2"/>
    <mergeCell ref="A3:C3"/>
    <mergeCell ref="A5:B5"/>
    <mergeCell ref="A11:B11"/>
    <mergeCell ref="A12: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Stock &amp; T&amp;P</vt:lpstr>
      <vt:lpstr>Absract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2026-08-07T09:57:50Z</dcterms:modified>
</cp:coreProperties>
</file>